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4"/>
  </bookViews>
  <sheets>
    <sheet name="총괄" sheetId="16" r:id="rId1"/>
    <sheet name="01" sheetId="988" r:id="rId2"/>
    <sheet name="02" sheetId="989" r:id="rId3"/>
    <sheet name="03" sheetId="990" r:id="rId4"/>
    <sheet name="04" sheetId="991" r:id="rId5"/>
    <sheet name="05" sheetId="992" r:id="rId6"/>
    <sheet name="07" sheetId="993" r:id="rId7"/>
    <sheet name="08" sheetId="994" r:id="rId8"/>
    <sheet name="09" sheetId="995" r:id="rId9"/>
    <sheet name="10" sheetId="996" r:id="rId10"/>
    <sheet name="11" sheetId="997" r:id="rId11"/>
    <sheet name="14" sheetId="998" r:id="rId12"/>
    <sheet name="15" sheetId="999" r:id="rId13"/>
    <sheet name="16" sheetId="1000" r:id="rId14"/>
    <sheet name="17" sheetId="1001" r:id="rId15"/>
    <sheet name="18" sheetId="1002" r:id="rId16"/>
    <sheet name="21" sheetId="1003" r:id="rId17"/>
    <sheet name="22" sheetId="1004" r:id="rId18"/>
    <sheet name="23" sheetId="1005" r:id="rId19"/>
    <sheet name="24" sheetId="1006" r:id="rId20"/>
    <sheet name="25" sheetId="1007" r:id="rId21"/>
    <sheet name="28" sheetId="1008" r:id="rId22"/>
    <sheet name="29" sheetId="1009" r:id="rId23"/>
    <sheet name="30" sheetId="1010" r:id="rId24"/>
    <sheet name="31" sheetId="1011" r:id="rId25"/>
  </sheets>
  <definedNames>
    <definedName name="_xlnm.Print_Area" localSheetId="1">'01'!$A$1:$AD$86</definedName>
    <definedName name="_xlnm.Print_Area" localSheetId="2">'02'!$A$1:$AD$86</definedName>
    <definedName name="_xlnm.Print_Area" localSheetId="3">'03'!$A$1:$AD$87</definedName>
    <definedName name="_xlnm.Print_Area" localSheetId="4">'04'!$A$1:$AD$86</definedName>
    <definedName name="_xlnm.Print_Area" localSheetId="5">'05'!$A$1:$AD$86</definedName>
    <definedName name="_xlnm.Print_Area" localSheetId="6">'07'!$A$1:$AD$86</definedName>
    <definedName name="_xlnm.Print_Area" localSheetId="7">'08'!$A$1:$AD$86</definedName>
    <definedName name="_xlnm.Print_Area" localSheetId="8">'09'!$A$1:$AD$86</definedName>
    <definedName name="_xlnm.Print_Area" localSheetId="9">'10'!$A$1:$AD$86</definedName>
    <definedName name="_xlnm.Print_Area" localSheetId="10">'11'!$A$1:$AD$86</definedName>
    <definedName name="_xlnm.Print_Area" localSheetId="11">'14'!$A$1:$AD$86</definedName>
    <definedName name="_xlnm.Print_Area" localSheetId="12">'15'!$A$1:$AD$86</definedName>
    <definedName name="_xlnm.Print_Area" localSheetId="13">'16'!$A$1:$AD$86</definedName>
    <definedName name="_xlnm.Print_Area" localSheetId="14">'17'!$A$1:$AD$87</definedName>
    <definedName name="_xlnm.Print_Area" localSheetId="15">'18'!$A$1:$AD$86</definedName>
    <definedName name="_xlnm.Print_Area" localSheetId="16">'21'!$A$1:$AD$87</definedName>
    <definedName name="_xlnm.Print_Area" localSheetId="17">'22'!$A$1:$AD$86</definedName>
    <definedName name="_xlnm.Print_Area" localSheetId="18">'23'!$A$1:$AD$87</definedName>
    <definedName name="_xlnm.Print_Area" localSheetId="19">'24'!$A$1:$AD$86</definedName>
    <definedName name="_xlnm.Print_Area" localSheetId="20">'25'!$A$1:$AD$87</definedName>
    <definedName name="_xlnm.Print_Area" localSheetId="21">'28'!$A$1:$AD$87</definedName>
    <definedName name="_xlnm.Print_Area" localSheetId="22">'29'!$A$1:$AD$88</definedName>
    <definedName name="_xlnm.Print_Area" localSheetId="23">'30'!$A$1:$AD$86</definedName>
    <definedName name="_xlnm.Print_Area" localSheetId="24">'31'!$A$1:$AD$86</definedName>
  </definedNames>
  <calcPr calcId="144525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0" i="1011"/>
  <c r="M20" i="1011" s="1"/>
  <c r="L19" i="1011"/>
  <c r="L18" i="1011"/>
  <c r="L16" i="1011"/>
  <c r="L13" i="1011"/>
  <c r="K13" i="1011" s="1"/>
  <c r="L12" i="1011"/>
  <c r="K12" i="1011" s="1"/>
  <c r="L11" i="1011"/>
  <c r="K11" i="1011"/>
  <c r="L10" i="1011"/>
  <c r="K10" i="1011" s="1"/>
  <c r="L9" i="1011"/>
  <c r="K9" i="1011" s="1"/>
  <c r="L8" i="1011"/>
  <c r="K8" i="1011" s="1"/>
  <c r="K19" i="1011"/>
  <c r="K18" i="1011"/>
  <c r="K16" i="1011"/>
  <c r="A74" i="1011"/>
  <c r="A75" i="1011" s="1"/>
  <c r="A76" i="1011" s="1"/>
  <c r="A77" i="1011" s="1"/>
  <c r="A78" i="1011" s="1"/>
  <c r="A79" i="1011" s="1"/>
  <c r="A80" i="1011" s="1"/>
  <c r="A81" i="1011" s="1"/>
  <c r="AF60" i="1011"/>
  <c r="AF62" i="1011" s="1"/>
  <c r="AF59" i="1011"/>
  <c r="AA21" i="1011"/>
  <c r="Z21" i="1011"/>
  <c r="Y21" i="1011"/>
  <c r="X21" i="1011"/>
  <c r="W21" i="1011"/>
  <c r="V21" i="1011"/>
  <c r="U21" i="1011"/>
  <c r="T21" i="1011"/>
  <c r="S21" i="1011"/>
  <c r="R21" i="1011"/>
  <c r="N21" i="1011"/>
  <c r="J21" i="1011"/>
  <c r="I21" i="1011"/>
  <c r="AF20" i="1011"/>
  <c r="AB20" i="1011"/>
  <c r="Q20" i="1011"/>
  <c r="O20" i="1011"/>
  <c r="AF19" i="1011"/>
  <c r="Q19" i="1011"/>
  <c r="AB19" i="1011"/>
  <c r="AF18" i="1011"/>
  <c r="Q18" i="1011"/>
  <c r="P18" i="1011"/>
  <c r="AC18" i="1011" s="1"/>
  <c r="O18" i="1011"/>
  <c r="AF17" i="1011"/>
  <c r="AB17" i="1011"/>
  <c r="Q17" i="1011"/>
  <c r="P17" i="1011"/>
  <c r="AC17" i="1011" s="1"/>
  <c r="AD17" i="1011" s="1"/>
  <c r="O17" i="1011"/>
  <c r="M17" i="1011"/>
  <c r="K17" i="1011"/>
  <c r="AF16" i="1011"/>
  <c r="Q16" i="1011"/>
  <c r="AB16" i="1011"/>
  <c r="AF15" i="1011"/>
  <c r="AB15" i="1011"/>
  <c r="Q15" i="1011"/>
  <c r="P15" i="1011"/>
  <c r="AC15" i="1011" s="1"/>
  <c r="O15" i="1011"/>
  <c r="M15" i="1011"/>
  <c r="K15" i="1011"/>
  <c r="AF14" i="1011"/>
  <c r="AB14" i="1011"/>
  <c r="Q14" i="1011"/>
  <c r="P14" i="1011"/>
  <c r="AC14" i="1011" s="1"/>
  <c r="O14" i="1011"/>
  <c r="M14" i="1011"/>
  <c r="K14" i="1011"/>
  <c r="AF13" i="1011"/>
  <c r="AB13" i="1011"/>
  <c r="Q13" i="1011"/>
  <c r="P13" i="1011" s="1"/>
  <c r="AC13" i="1011" s="1"/>
  <c r="O13" i="1011"/>
  <c r="M13" i="1011"/>
  <c r="AF12" i="1011"/>
  <c r="AB12" i="1011"/>
  <c r="Q12" i="1011"/>
  <c r="P12" i="1011"/>
  <c r="AC12" i="1011" s="1"/>
  <c r="O12" i="1011"/>
  <c r="M12" i="1011"/>
  <c r="AF11" i="1011"/>
  <c r="AB11" i="1011"/>
  <c r="Q11" i="1011"/>
  <c r="P11" i="1011" s="1"/>
  <c r="AC11" i="1011" s="1"/>
  <c r="O11" i="1011"/>
  <c r="M11" i="1011"/>
  <c r="AF10" i="1011"/>
  <c r="AB10" i="1011"/>
  <c r="Q10" i="1011"/>
  <c r="P10" i="1011" s="1"/>
  <c r="AC10" i="1011" s="1"/>
  <c r="O10" i="1011"/>
  <c r="M10" i="1011"/>
  <c r="AF9" i="1011"/>
  <c r="Q9" i="1011"/>
  <c r="AB9" i="1011"/>
  <c r="AF8" i="1011"/>
  <c r="AB8" i="1011"/>
  <c r="Q8" i="1011"/>
  <c r="P8" i="1011"/>
  <c r="AC8" i="1011" s="1"/>
  <c r="M8" i="1011"/>
  <c r="L21" i="1011"/>
  <c r="O21" i="1011" s="1"/>
  <c r="AF7" i="1011"/>
  <c r="AC7" i="1011"/>
  <c r="AB7" i="1011"/>
  <c r="Q7" i="1011"/>
  <c r="P7" i="1011"/>
  <c r="O7" i="1011"/>
  <c r="M7" i="1011"/>
  <c r="K7" i="1011"/>
  <c r="AF6" i="1011"/>
  <c r="AC6" i="1011"/>
  <c r="AB6" i="1011"/>
  <c r="Q6" i="1011"/>
  <c r="P6" i="1011"/>
  <c r="O6" i="1011"/>
  <c r="M6" i="1011"/>
  <c r="K6" i="1011"/>
  <c r="AD11" i="1011" l="1"/>
  <c r="Q21" i="1011"/>
  <c r="K20" i="1011"/>
  <c r="AD13" i="1011"/>
  <c r="AD15" i="1011"/>
  <c r="AD7" i="1011"/>
  <c r="AD10" i="1011"/>
  <c r="AD14" i="1011"/>
  <c r="AD12" i="1011"/>
  <c r="O16" i="1011"/>
  <c r="M18" i="1011"/>
  <c r="AB18" i="1011"/>
  <c r="AD18" i="1011" s="1"/>
  <c r="O19" i="1011"/>
  <c r="P20" i="1011"/>
  <c r="AC20" i="1011" s="1"/>
  <c r="AD20" i="1011" s="1"/>
  <c r="O9" i="1011"/>
  <c r="AD6" i="1011"/>
  <c r="O8" i="1011"/>
  <c r="AD8" i="1011" s="1"/>
  <c r="K21" i="1011"/>
  <c r="P9" i="1011"/>
  <c r="AC9" i="1011" s="1"/>
  <c r="AD9" i="1011" s="1"/>
  <c r="P16" i="1011"/>
  <c r="AC16" i="1011" s="1"/>
  <c r="P19" i="1011"/>
  <c r="AC19" i="1011" s="1"/>
  <c r="M9" i="1011"/>
  <c r="M16" i="1011"/>
  <c r="M19" i="101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1010"/>
  <c r="K20" i="1010" s="1"/>
  <c r="L19" i="1010"/>
  <c r="K19" i="1010" s="1"/>
  <c r="L18" i="1010"/>
  <c r="K18" i="1010" s="1"/>
  <c r="L16" i="1010"/>
  <c r="K16" i="1010" s="1"/>
  <c r="L12" i="1010"/>
  <c r="K12" i="1010" s="1"/>
  <c r="L9" i="1010"/>
  <c r="K9" i="1010" s="1"/>
  <c r="L8" i="1010"/>
  <c r="K8" i="1010" s="1"/>
  <c r="K13" i="1010"/>
  <c r="K11" i="1010"/>
  <c r="K10" i="1010"/>
  <c r="AD16" i="1011" l="1"/>
  <c r="M21" i="1011"/>
  <c r="AC21" i="1011"/>
  <c r="P21" i="1011"/>
  <c r="AD19" i="1011"/>
  <c r="AD21" i="1011" s="1"/>
  <c r="AB21" i="1011"/>
  <c r="A74" i="1010"/>
  <c r="A75" i="1010" s="1"/>
  <c r="A76" i="1010" s="1"/>
  <c r="A77" i="1010" s="1"/>
  <c r="A78" i="1010" s="1"/>
  <c r="A79" i="1010" s="1"/>
  <c r="A80" i="1010" s="1"/>
  <c r="A81" i="1010" s="1"/>
  <c r="AF60" i="1010"/>
  <c r="AF59" i="1010"/>
  <c r="AA21" i="1010"/>
  <c r="Z21" i="1010"/>
  <c r="Y21" i="1010"/>
  <c r="X21" i="1010"/>
  <c r="W21" i="1010"/>
  <c r="V21" i="1010"/>
  <c r="U21" i="1010"/>
  <c r="T21" i="1010"/>
  <c r="S21" i="1010"/>
  <c r="R21" i="1010"/>
  <c r="N21" i="1010"/>
  <c r="J21" i="1010"/>
  <c r="I21" i="1010"/>
  <c r="AF20" i="1010"/>
  <c r="AB20" i="1010"/>
  <c r="Q20" i="1010"/>
  <c r="P20" i="1010" s="1"/>
  <c r="AC20" i="1010" s="1"/>
  <c r="O20" i="1010"/>
  <c r="M20" i="1010"/>
  <c r="AF19" i="1010"/>
  <c r="AB19" i="1010"/>
  <c r="Q19" i="1010"/>
  <c r="P19" i="1010" s="1"/>
  <c r="AC19" i="1010" s="1"/>
  <c r="M19" i="1010"/>
  <c r="AF18" i="1010"/>
  <c r="Q18" i="1010"/>
  <c r="P18" i="1010" s="1"/>
  <c r="AC18" i="1010" s="1"/>
  <c r="AF17" i="1010"/>
  <c r="AB17" i="1010"/>
  <c r="Q17" i="1010"/>
  <c r="P17" i="1010"/>
  <c r="AC17" i="1010" s="1"/>
  <c r="O17" i="1010"/>
  <c r="M17" i="1010"/>
  <c r="K17" i="1010"/>
  <c r="AF16" i="1010"/>
  <c r="AB16" i="1010"/>
  <c r="Q16" i="1010"/>
  <c r="P16" i="1010" s="1"/>
  <c r="AC16" i="1010" s="1"/>
  <c r="M16" i="1010"/>
  <c r="AF15" i="1010"/>
  <c r="AB15" i="1010"/>
  <c r="Q15" i="1010"/>
  <c r="P15" i="1010"/>
  <c r="AC15" i="1010" s="1"/>
  <c r="O15" i="1010"/>
  <c r="M15" i="1010"/>
  <c r="K15" i="1010"/>
  <c r="AF14" i="1010"/>
  <c r="AB14" i="1010"/>
  <c r="Q14" i="1010"/>
  <c r="P14" i="1010"/>
  <c r="AC14" i="1010" s="1"/>
  <c r="O14" i="1010"/>
  <c r="M14" i="1010"/>
  <c r="K14" i="1010"/>
  <c r="AF13" i="1010"/>
  <c r="AB13" i="1010"/>
  <c r="Q13" i="1010"/>
  <c r="P13" i="1010" s="1"/>
  <c r="AC13" i="1010" s="1"/>
  <c r="O13" i="1010"/>
  <c r="M13" i="1010"/>
  <c r="AF12" i="1010"/>
  <c r="AB12" i="1010"/>
  <c r="Q12" i="1010"/>
  <c r="P12" i="1010" s="1"/>
  <c r="AC12" i="1010" s="1"/>
  <c r="O12" i="1010"/>
  <c r="M12" i="1010"/>
  <c r="AF11" i="1010"/>
  <c r="AB11" i="1010"/>
  <c r="Q11" i="1010"/>
  <c r="P11" i="1010" s="1"/>
  <c r="AC11" i="1010" s="1"/>
  <c r="M11" i="1010"/>
  <c r="AF10" i="1010"/>
  <c r="Q10" i="1010"/>
  <c r="P10" i="1010"/>
  <c r="AC10" i="1010" s="1"/>
  <c r="AF9" i="1010"/>
  <c r="AB9" i="1010"/>
  <c r="Q9" i="1010"/>
  <c r="P9" i="1010" s="1"/>
  <c r="AC9" i="1010" s="1"/>
  <c r="O9" i="1010"/>
  <c r="M9" i="1010"/>
  <c r="AF8" i="1010"/>
  <c r="AB8" i="1010"/>
  <c r="Q8" i="1010"/>
  <c r="M8" i="1010"/>
  <c r="L21" i="1010"/>
  <c r="O21" i="1010" s="1"/>
  <c r="AF7" i="1010"/>
  <c r="AB7" i="1010"/>
  <c r="Q7" i="1010"/>
  <c r="P7" i="1010"/>
  <c r="AC7" i="1010" s="1"/>
  <c r="O7" i="1010"/>
  <c r="M7" i="1010"/>
  <c r="K7" i="1010"/>
  <c r="AF6" i="1010"/>
  <c r="AB6" i="1010"/>
  <c r="Q6" i="1010"/>
  <c r="P6" i="1010"/>
  <c r="AC6" i="1010" s="1"/>
  <c r="O6" i="1010"/>
  <c r="M6" i="1010"/>
  <c r="K6" i="1010"/>
  <c r="AE18" i="1011" l="1"/>
  <c r="AE15" i="1011"/>
  <c r="AE13" i="1011"/>
  <c r="AE8" i="1011"/>
  <c r="AE16" i="1011"/>
  <c r="AE9" i="1011"/>
  <c r="AE19" i="1011"/>
  <c r="AE20" i="1011"/>
  <c r="AE14" i="1011"/>
  <c r="AE12" i="1011"/>
  <c r="AE11" i="1011"/>
  <c r="AE6" i="1011"/>
  <c r="AE17" i="1011"/>
  <c r="AE10" i="1011"/>
  <c r="AE7" i="1011"/>
  <c r="AD9" i="1010"/>
  <c r="AD7" i="1010"/>
  <c r="AF62" i="1010"/>
  <c r="AD15" i="1010"/>
  <c r="AD17" i="1010"/>
  <c r="AD14" i="1010"/>
  <c r="Q21" i="1010"/>
  <c r="AD20" i="1010"/>
  <c r="AD13" i="1010"/>
  <c r="AD12" i="1010"/>
  <c r="M18" i="1010"/>
  <c r="AB18" i="1010"/>
  <c r="O19" i="1010"/>
  <c r="AD19" i="1010" s="1"/>
  <c r="AD6" i="1010"/>
  <c r="O8" i="1010"/>
  <c r="M10" i="1010"/>
  <c r="AB10" i="1010"/>
  <c r="O11" i="1010"/>
  <c r="AD11" i="1010" s="1"/>
  <c r="O16" i="1010"/>
  <c r="AD16" i="1010" s="1"/>
  <c r="O18" i="1010"/>
  <c r="K21" i="1010"/>
  <c r="P8" i="1010"/>
  <c r="AC8" i="1010" s="1"/>
  <c r="O10" i="1010"/>
  <c r="AD17" i="16"/>
  <c r="AD16" i="16"/>
  <c r="AD15" i="16"/>
  <c r="AD14" i="16"/>
  <c r="AD13" i="16"/>
  <c r="AD10" i="16"/>
  <c r="AD9" i="16"/>
  <c r="AD8" i="16"/>
  <c r="AD7" i="16"/>
  <c r="AD6" i="16"/>
  <c r="AD5" i="16"/>
  <c r="AD4" i="16"/>
  <c r="AD3" i="16"/>
  <c r="L10" i="1009"/>
  <c r="K10" i="1009" s="1"/>
  <c r="L22" i="1009"/>
  <c r="O22" i="1009" s="1"/>
  <c r="L21" i="1009"/>
  <c r="L20" i="1009"/>
  <c r="K20" i="1009" s="1"/>
  <c r="AF20" i="1009"/>
  <c r="Q20" i="1009"/>
  <c r="M20" i="1009"/>
  <c r="AB20" i="1009"/>
  <c r="L19" i="1009"/>
  <c r="K19" i="1009" s="1"/>
  <c r="L17" i="1009"/>
  <c r="K17" i="1009" s="1"/>
  <c r="K14" i="1009"/>
  <c r="L13" i="1009"/>
  <c r="K13" i="1009" s="1"/>
  <c r="L12" i="1009"/>
  <c r="K12" i="1009" s="1"/>
  <c r="L11" i="1009"/>
  <c r="K11" i="1009" s="1"/>
  <c r="L9" i="1009"/>
  <c r="K9" i="1009" s="1"/>
  <c r="L8" i="1009"/>
  <c r="K8" i="1009" s="1"/>
  <c r="K21" i="1009"/>
  <c r="K7" i="1009"/>
  <c r="A76" i="1009"/>
  <c r="A77" i="1009" s="1"/>
  <c r="A78" i="1009" s="1"/>
  <c r="A79" i="1009" s="1"/>
  <c r="A80" i="1009" s="1"/>
  <c r="A81" i="1009" s="1"/>
  <c r="A82" i="1009" s="1"/>
  <c r="A83" i="1009" s="1"/>
  <c r="AF62" i="1009"/>
  <c r="AF64" i="1009" s="1"/>
  <c r="AF61" i="1009"/>
  <c r="AA23" i="1009"/>
  <c r="Z23" i="1009"/>
  <c r="Y23" i="1009"/>
  <c r="X23" i="1009"/>
  <c r="W23" i="1009"/>
  <c r="V23" i="1009"/>
  <c r="U23" i="1009"/>
  <c r="T23" i="1009"/>
  <c r="S23" i="1009"/>
  <c r="R23" i="1009"/>
  <c r="N23" i="1009"/>
  <c r="J23" i="1009"/>
  <c r="I23" i="1009"/>
  <c r="AF22" i="1009"/>
  <c r="AB22" i="1009"/>
  <c r="Q22" i="1009"/>
  <c r="P22" i="1009" s="1"/>
  <c r="AC22" i="1009" s="1"/>
  <c r="M22" i="1009"/>
  <c r="AF21" i="1009"/>
  <c r="Q21" i="1009"/>
  <c r="AB21" i="1009"/>
  <c r="AF19" i="1009"/>
  <c r="Q19" i="1009"/>
  <c r="P19" i="1009"/>
  <c r="AC19" i="1009" s="1"/>
  <c r="O19" i="1009"/>
  <c r="AF18" i="1009"/>
  <c r="AB18" i="1009"/>
  <c r="Q18" i="1009"/>
  <c r="P18" i="1009"/>
  <c r="AC18" i="1009" s="1"/>
  <c r="O18" i="1009"/>
  <c r="M18" i="1009"/>
  <c r="K18" i="1009"/>
  <c r="AF17" i="1009"/>
  <c r="Q17" i="1009"/>
  <c r="AB17" i="1009"/>
  <c r="AF16" i="1009"/>
  <c r="AB16" i="1009"/>
  <c r="Q16" i="1009"/>
  <c r="P16" i="1009"/>
  <c r="AC16" i="1009" s="1"/>
  <c r="O16" i="1009"/>
  <c r="M16" i="1009"/>
  <c r="K16" i="1009"/>
  <c r="AF15" i="1009"/>
  <c r="AB15" i="1009"/>
  <c r="Q15" i="1009"/>
  <c r="P15" i="1009"/>
  <c r="AC15" i="1009" s="1"/>
  <c r="AD15" i="1009" s="1"/>
  <c r="AD11" i="16" s="1"/>
  <c r="O15" i="1009"/>
  <c r="M15" i="1009"/>
  <c r="K15" i="1009"/>
  <c r="AF14" i="1009"/>
  <c r="AB14" i="1009"/>
  <c r="Q14" i="1009"/>
  <c r="P14" i="1009" s="1"/>
  <c r="AC14" i="1009" s="1"/>
  <c r="O14" i="1009"/>
  <c r="M14" i="1009"/>
  <c r="AF13" i="1009"/>
  <c r="AB13" i="1009"/>
  <c r="Q13" i="1009"/>
  <c r="P13" i="1009" s="1"/>
  <c r="AC13" i="1009" s="1"/>
  <c r="O13" i="1009"/>
  <c r="M13" i="1009"/>
  <c r="AF12" i="1009"/>
  <c r="AB12" i="1009"/>
  <c r="Q12" i="1009"/>
  <c r="P12" i="1009" s="1"/>
  <c r="AC12" i="1009" s="1"/>
  <c r="O12" i="1009"/>
  <c r="M12" i="1009"/>
  <c r="AF11" i="1009"/>
  <c r="AB11" i="1009"/>
  <c r="Q11" i="1009"/>
  <c r="P11" i="1009" s="1"/>
  <c r="AC11" i="1009" s="1"/>
  <c r="O11" i="1009"/>
  <c r="M11" i="1009"/>
  <c r="AF10" i="1009"/>
  <c r="Q10" i="1009"/>
  <c r="P10" i="1009" s="1"/>
  <c r="AC10" i="1009" s="1"/>
  <c r="AF9" i="1009"/>
  <c r="Q9" i="1009"/>
  <c r="P9" i="1009" s="1"/>
  <c r="AC9" i="1009" s="1"/>
  <c r="O9" i="1009"/>
  <c r="M9" i="1009"/>
  <c r="AB9" i="1009"/>
  <c r="AF8" i="1009"/>
  <c r="AB8" i="1009"/>
  <c r="Q8" i="1009"/>
  <c r="P8" i="1009" s="1"/>
  <c r="AC8" i="1009" s="1"/>
  <c r="O8" i="1009"/>
  <c r="M8" i="1009"/>
  <c r="AF7" i="1009"/>
  <c r="Q7" i="1009"/>
  <c r="AF6" i="1009"/>
  <c r="AB6" i="1009"/>
  <c r="Q6" i="1009"/>
  <c r="P6" i="1009"/>
  <c r="O6" i="1009"/>
  <c r="M6" i="1009"/>
  <c r="K6" i="1009"/>
  <c r="AD8" i="1010" l="1"/>
  <c r="AD10" i="1010"/>
  <c r="M21" i="1010"/>
  <c r="AD18" i="1010"/>
  <c r="P21" i="1010"/>
  <c r="AB21" i="1010"/>
  <c r="AC21" i="1010"/>
  <c r="L23" i="1009"/>
  <c r="O23" i="1009" s="1"/>
  <c r="AB10" i="1009"/>
  <c r="AD10" i="1009" s="1"/>
  <c r="M10" i="1009"/>
  <c r="O10" i="1009"/>
  <c r="K22" i="1009"/>
  <c r="AD18" i="1009"/>
  <c r="O20" i="1009"/>
  <c r="AD13" i="1009"/>
  <c r="P20" i="1009"/>
  <c r="AC20" i="1009" s="1"/>
  <c r="AD20" i="1009" s="1"/>
  <c r="AD8" i="1009"/>
  <c r="AD16" i="1009"/>
  <c r="AD12" i="16" s="1"/>
  <c r="Q23" i="1009"/>
  <c r="AD12" i="1009"/>
  <c r="AD22" i="1009"/>
  <c r="AD11" i="1009"/>
  <c r="AD14" i="1009"/>
  <c r="AD9" i="1009"/>
  <c r="AB7" i="1009"/>
  <c r="O7" i="1009"/>
  <c r="O17" i="1009"/>
  <c r="M19" i="1009"/>
  <c r="AB19" i="1009"/>
  <c r="AD19" i="1009" s="1"/>
  <c r="O21" i="1009"/>
  <c r="M7" i="1009"/>
  <c r="AC6" i="1009"/>
  <c r="K23" i="1009"/>
  <c r="P7" i="1009"/>
  <c r="AC7" i="1009" s="1"/>
  <c r="P17" i="1009"/>
  <c r="AC17" i="1009" s="1"/>
  <c r="AD17" i="1009" s="1"/>
  <c r="P21" i="1009"/>
  <c r="AC21" i="1009" s="1"/>
  <c r="AD21" i="1009" s="1"/>
  <c r="M17" i="1009"/>
  <c r="M21" i="1009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1008"/>
  <c r="L20" i="1008"/>
  <c r="K20" i="1008" s="1"/>
  <c r="L19" i="1008"/>
  <c r="K19" i="1008" s="1"/>
  <c r="L17" i="1008"/>
  <c r="K14" i="1008"/>
  <c r="L13" i="1008"/>
  <c r="K13" i="1008" s="1"/>
  <c r="K10" i="1008"/>
  <c r="L9" i="1008"/>
  <c r="K9" i="1008" s="1"/>
  <c r="L8" i="1008"/>
  <c r="K8" i="1008" s="1"/>
  <c r="L7" i="1008"/>
  <c r="K21" i="1008"/>
  <c r="K17" i="1008"/>
  <c r="K15" i="1008"/>
  <c r="K7" i="1008"/>
  <c r="A75" i="1008"/>
  <c r="A76" i="1008" s="1"/>
  <c r="A77" i="1008" s="1"/>
  <c r="A78" i="1008" s="1"/>
  <c r="A79" i="1008" s="1"/>
  <c r="A80" i="1008" s="1"/>
  <c r="A81" i="1008" s="1"/>
  <c r="A82" i="1008" s="1"/>
  <c r="AF61" i="1008"/>
  <c r="AF63" i="1008" s="1"/>
  <c r="AF60" i="1008"/>
  <c r="AA22" i="1008"/>
  <c r="Z22" i="1008"/>
  <c r="Y22" i="1008"/>
  <c r="X22" i="1008"/>
  <c r="W22" i="1008"/>
  <c r="V22" i="1008"/>
  <c r="U22" i="1008"/>
  <c r="T22" i="1008"/>
  <c r="S22" i="1008"/>
  <c r="R22" i="1008"/>
  <c r="N22" i="1008"/>
  <c r="J22" i="1008"/>
  <c r="I22" i="1008"/>
  <c r="AF21" i="1008"/>
  <c r="AB21" i="1008"/>
  <c r="Q21" i="1008"/>
  <c r="M21" i="1008"/>
  <c r="O21" i="1008"/>
  <c r="AF20" i="1008"/>
  <c r="Q20" i="1008"/>
  <c r="AB20" i="1008"/>
  <c r="AF19" i="1008"/>
  <c r="Q19" i="1008"/>
  <c r="P19" i="1008" s="1"/>
  <c r="AC19" i="1008" s="1"/>
  <c r="O19" i="1008"/>
  <c r="AF18" i="1008"/>
  <c r="AB18" i="1008"/>
  <c r="Q18" i="1008"/>
  <c r="P18" i="1008"/>
  <c r="AC18" i="1008" s="1"/>
  <c r="AD18" i="1008" s="1"/>
  <c r="O18" i="1008"/>
  <c r="M18" i="1008"/>
  <c r="K18" i="1008"/>
  <c r="AF17" i="1008"/>
  <c r="Q17" i="1008"/>
  <c r="AB17" i="1008"/>
  <c r="AF16" i="1008"/>
  <c r="AB16" i="1008"/>
  <c r="Q16" i="1008"/>
  <c r="P16" i="1008"/>
  <c r="AC16" i="1008" s="1"/>
  <c r="O16" i="1008"/>
  <c r="M16" i="1008"/>
  <c r="K16" i="1008"/>
  <c r="AF15" i="1008"/>
  <c r="AB15" i="1008"/>
  <c r="Q15" i="1008"/>
  <c r="O15" i="1008"/>
  <c r="M15" i="1008"/>
  <c r="P15" i="1008"/>
  <c r="AC15" i="1008" s="1"/>
  <c r="AD15" i="1008" s="1"/>
  <c r="AF14" i="1008"/>
  <c r="Q14" i="1008"/>
  <c r="AB14" i="1008"/>
  <c r="AF13" i="1008"/>
  <c r="Q13" i="1008"/>
  <c r="P13" i="1008"/>
  <c r="AC13" i="1008" s="1"/>
  <c r="O13" i="1008"/>
  <c r="AF12" i="1008"/>
  <c r="AB12" i="1008"/>
  <c r="Q12" i="1008"/>
  <c r="P12" i="1008"/>
  <c r="AC12" i="1008" s="1"/>
  <c r="AD12" i="1008" s="1"/>
  <c r="O12" i="1008"/>
  <c r="M12" i="1008"/>
  <c r="K12" i="1008"/>
  <c r="AF11" i="1008"/>
  <c r="AB11" i="1008"/>
  <c r="Q11" i="1008"/>
  <c r="P11" i="1008"/>
  <c r="AC11" i="1008" s="1"/>
  <c r="O11" i="1008"/>
  <c r="M11" i="1008"/>
  <c r="K11" i="1008"/>
  <c r="AF10" i="1008"/>
  <c r="AB10" i="1008"/>
  <c r="Q10" i="1008"/>
  <c r="P10" i="1008"/>
  <c r="AC10" i="1008" s="1"/>
  <c r="O10" i="1008"/>
  <c r="M10" i="1008"/>
  <c r="AF9" i="1008"/>
  <c r="Q9" i="1008"/>
  <c r="M9" i="1008"/>
  <c r="AF8" i="1008"/>
  <c r="AB8" i="1008"/>
  <c r="Q8" i="1008"/>
  <c r="P8" i="1008" s="1"/>
  <c r="AC8" i="1008" s="1"/>
  <c r="O8" i="1008"/>
  <c r="M8" i="1008"/>
  <c r="AF7" i="1008"/>
  <c r="AB7" i="1008"/>
  <c r="Q7" i="1008"/>
  <c r="O7" i="1008"/>
  <c r="M7" i="1008"/>
  <c r="L22" i="1008"/>
  <c r="O22" i="1008" s="1"/>
  <c r="AF6" i="1008"/>
  <c r="AB6" i="1008"/>
  <c r="Q6" i="1008"/>
  <c r="P6" i="1008"/>
  <c r="O6" i="1008"/>
  <c r="M6" i="1008"/>
  <c r="K6" i="1008"/>
  <c r="AD21" i="1010" l="1"/>
  <c r="AE16" i="1010" s="1"/>
  <c r="M23" i="1009"/>
  <c r="AD7" i="1009"/>
  <c r="AB23" i="1009"/>
  <c r="AC23" i="1009"/>
  <c r="AD6" i="1009"/>
  <c r="P23" i="1009"/>
  <c r="AD10" i="1008"/>
  <c r="O9" i="1008"/>
  <c r="P9" i="1008"/>
  <c r="AC9" i="1008" s="1"/>
  <c r="AB9" i="1008"/>
  <c r="Q22" i="1008"/>
  <c r="AD8" i="1008"/>
  <c r="AD11" i="1008"/>
  <c r="AD16" i="1008"/>
  <c r="AC6" i="1008"/>
  <c r="K22" i="1008"/>
  <c r="P7" i="1008"/>
  <c r="AC7" i="1008" s="1"/>
  <c r="AD7" i="1008" s="1"/>
  <c r="M13" i="1008"/>
  <c r="AB13" i="1008"/>
  <c r="O14" i="1008"/>
  <c r="O17" i="1008"/>
  <c r="M19" i="1008"/>
  <c r="AB19" i="1008"/>
  <c r="AD19" i="1008" s="1"/>
  <c r="O20" i="1008"/>
  <c r="P21" i="1008"/>
  <c r="AC21" i="1008" s="1"/>
  <c r="AD21" i="1008" s="1"/>
  <c r="P14" i="1008"/>
  <c r="AC14" i="1008" s="1"/>
  <c r="P17" i="1008"/>
  <c r="AC17" i="1008" s="1"/>
  <c r="P20" i="1008"/>
  <c r="AC20" i="1008" s="1"/>
  <c r="AD20" i="1008" s="1"/>
  <c r="M14" i="1008"/>
  <c r="M17" i="1008"/>
  <c r="M20" i="1008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007"/>
  <c r="L20" i="1007"/>
  <c r="L19" i="1007"/>
  <c r="L17" i="1007"/>
  <c r="L15" i="1007"/>
  <c r="L14" i="1007"/>
  <c r="L13" i="1007"/>
  <c r="AF10" i="1007"/>
  <c r="AB10" i="1007"/>
  <c r="Q10" i="1007"/>
  <c r="P10" i="1007" s="1"/>
  <c r="AC10" i="1007" s="1"/>
  <c r="O10" i="1007"/>
  <c r="M10" i="1007"/>
  <c r="K10" i="1007"/>
  <c r="K9" i="1007"/>
  <c r="L8" i="1007"/>
  <c r="L7" i="1007"/>
  <c r="K7" i="1007" s="1"/>
  <c r="K21" i="1007"/>
  <c r="K20" i="1007"/>
  <c r="K17" i="1007"/>
  <c r="K16" i="1007"/>
  <c r="K15" i="1007"/>
  <c r="K14" i="1007"/>
  <c r="K13" i="1007"/>
  <c r="K11" i="1007"/>
  <c r="K8" i="1007"/>
  <c r="A75" i="1007"/>
  <c r="A76" i="1007" s="1"/>
  <c r="A77" i="1007" s="1"/>
  <c r="A78" i="1007" s="1"/>
  <c r="A79" i="1007" s="1"/>
  <c r="A80" i="1007" s="1"/>
  <c r="A81" i="1007" s="1"/>
  <c r="A82" i="1007" s="1"/>
  <c r="AF63" i="1007"/>
  <c r="AF61" i="1007"/>
  <c r="AF60" i="1007"/>
  <c r="AA22" i="1007"/>
  <c r="Z22" i="1007"/>
  <c r="Y22" i="1007"/>
  <c r="X22" i="1007"/>
  <c r="W22" i="1007"/>
  <c r="V22" i="1007"/>
  <c r="U22" i="1007"/>
  <c r="T22" i="1007"/>
  <c r="S22" i="1007"/>
  <c r="R22" i="1007"/>
  <c r="N22" i="1007"/>
  <c r="J22" i="1007"/>
  <c r="I22" i="1007"/>
  <c r="AF21" i="1007"/>
  <c r="Q21" i="1007"/>
  <c r="O21" i="1007"/>
  <c r="AF20" i="1007"/>
  <c r="Q20" i="1007"/>
  <c r="AB20" i="1007"/>
  <c r="AF19" i="1007"/>
  <c r="Q19" i="1007"/>
  <c r="AF18" i="1007"/>
  <c r="AB18" i="1007"/>
  <c r="Q18" i="1007"/>
  <c r="P18" i="1007"/>
  <c r="AC18" i="1007" s="1"/>
  <c r="AD18" i="1007" s="1"/>
  <c r="O18" i="1007"/>
  <c r="M18" i="1007"/>
  <c r="K18" i="1007"/>
  <c r="AF17" i="1007"/>
  <c r="Q17" i="1007"/>
  <c r="M17" i="1007"/>
  <c r="AB17" i="1007"/>
  <c r="AF16" i="1007"/>
  <c r="AB16" i="1007"/>
  <c r="Q16" i="1007"/>
  <c r="P16" i="1007" s="1"/>
  <c r="AC16" i="1007" s="1"/>
  <c r="AD16" i="1007" s="1"/>
  <c r="O16" i="1007"/>
  <c r="M16" i="1007"/>
  <c r="AF15" i="1007"/>
  <c r="AB15" i="1007"/>
  <c r="Q15" i="1007"/>
  <c r="P15" i="1007" s="1"/>
  <c r="AC15" i="1007" s="1"/>
  <c r="O15" i="1007"/>
  <c r="M15" i="1007"/>
  <c r="AF14" i="1007"/>
  <c r="AB14" i="1007"/>
  <c r="Q14" i="1007"/>
  <c r="P14" i="1007" s="1"/>
  <c r="AC14" i="1007" s="1"/>
  <c r="O14" i="1007"/>
  <c r="M14" i="1007"/>
  <c r="AF13" i="1007"/>
  <c r="AB13" i="1007"/>
  <c r="Q13" i="1007"/>
  <c r="P13" i="1007" s="1"/>
  <c r="AC13" i="1007" s="1"/>
  <c r="O13" i="1007"/>
  <c r="M13" i="1007"/>
  <c r="AF12" i="1007"/>
  <c r="AB12" i="1007"/>
  <c r="Q12" i="1007"/>
  <c r="P12" i="1007"/>
  <c r="AC12" i="1007" s="1"/>
  <c r="AD12" i="1007" s="1"/>
  <c r="O12" i="1007"/>
  <c r="M12" i="1007"/>
  <c r="K12" i="1007"/>
  <c r="AF11" i="1007"/>
  <c r="AB11" i="1007"/>
  <c r="Q11" i="1007"/>
  <c r="P11" i="1007"/>
  <c r="AC11" i="1007" s="1"/>
  <c r="AD11" i="1007" s="1"/>
  <c r="O11" i="1007"/>
  <c r="M11" i="1007"/>
  <c r="AF9" i="1007"/>
  <c r="AB9" i="1007"/>
  <c r="Q9" i="1007"/>
  <c r="P9" i="1007" s="1"/>
  <c r="AC9" i="1007" s="1"/>
  <c r="O9" i="1007"/>
  <c r="M9" i="1007"/>
  <c r="AF8" i="1007"/>
  <c r="Q8" i="1007"/>
  <c r="P8" i="1007" s="1"/>
  <c r="AC8" i="1007" s="1"/>
  <c r="AF7" i="1007"/>
  <c r="Q7" i="1007"/>
  <c r="P7" i="1007" s="1"/>
  <c r="AC7" i="1007" s="1"/>
  <c r="O7" i="1007"/>
  <c r="L22" i="1007"/>
  <c r="O22" i="1007" s="1"/>
  <c r="AF6" i="1007"/>
  <c r="AB6" i="1007"/>
  <c r="Q6" i="1007"/>
  <c r="P6" i="1007"/>
  <c r="AC6" i="1007" s="1"/>
  <c r="O6" i="1007"/>
  <c r="M6" i="1007"/>
  <c r="K6" i="1007"/>
  <c r="AE19" i="1010" l="1"/>
  <c r="AE20" i="1010"/>
  <c r="AE6" i="1010"/>
  <c r="AE18" i="1010"/>
  <c r="AE15" i="1010"/>
  <c r="AE7" i="1010"/>
  <c r="AE9" i="1010"/>
  <c r="AE8" i="1010"/>
  <c r="AE10" i="1010"/>
  <c r="AE12" i="1010"/>
  <c r="AE11" i="1010"/>
  <c r="AE17" i="1010"/>
  <c r="AE13" i="1010"/>
  <c r="AE14" i="1010"/>
  <c r="AD23" i="1009"/>
  <c r="AD18" i="16" s="1"/>
  <c r="AD9" i="1008"/>
  <c r="AD14" i="1008"/>
  <c r="M22" i="1008"/>
  <c r="AD17" i="1008"/>
  <c r="AB22" i="1008"/>
  <c r="AD13" i="1008"/>
  <c r="AC22" i="1008"/>
  <c r="AD6" i="1008"/>
  <c r="P22" i="1008"/>
  <c r="P19" i="1007"/>
  <c r="AC19" i="1007" s="1"/>
  <c r="AD10" i="1007"/>
  <c r="K19" i="1007"/>
  <c r="Q22" i="1007"/>
  <c r="AD9" i="1007"/>
  <c r="AD13" i="1007"/>
  <c r="AD14" i="1007"/>
  <c r="AD15" i="1007"/>
  <c r="AD6" i="1007"/>
  <c r="M8" i="1007"/>
  <c r="AB8" i="1007"/>
  <c r="K22" i="1007"/>
  <c r="O17" i="1007"/>
  <c r="M19" i="1007"/>
  <c r="AB19" i="1007"/>
  <c r="O20" i="1007"/>
  <c r="P21" i="1007"/>
  <c r="AC21" i="1007" s="1"/>
  <c r="M7" i="1007"/>
  <c r="AB7" i="1007"/>
  <c r="AD7" i="1007" s="1"/>
  <c r="O8" i="1007"/>
  <c r="P17" i="1007"/>
  <c r="AC17" i="1007" s="1"/>
  <c r="AD17" i="1007" s="1"/>
  <c r="O19" i="1007"/>
  <c r="P20" i="1007"/>
  <c r="AC20" i="1007" s="1"/>
  <c r="M21" i="1007"/>
  <c r="AB21" i="1007"/>
  <c r="M20" i="1007"/>
  <c r="Y17" i="16"/>
  <c r="Y16" i="16"/>
  <c r="Y15" i="16"/>
  <c r="Y14" i="16"/>
  <c r="Y12" i="16"/>
  <c r="Y11" i="16"/>
  <c r="Y10" i="16"/>
  <c r="Y9" i="16"/>
  <c r="Y8" i="16"/>
  <c r="Y7" i="16"/>
  <c r="Y6" i="16"/>
  <c r="Y5" i="16"/>
  <c r="Y4" i="16"/>
  <c r="Y3" i="16"/>
  <c r="L20" i="1006"/>
  <c r="K20" i="1006" s="1"/>
  <c r="L19" i="1006"/>
  <c r="L18" i="1006"/>
  <c r="K18" i="1006" s="1"/>
  <c r="AE19" i="1009" l="1"/>
  <c r="AE20" i="1009"/>
  <c r="AE6" i="1009"/>
  <c r="AE7" i="1009"/>
  <c r="AE8" i="1009"/>
  <c r="AE21" i="1009"/>
  <c r="AE18" i="1009"/>
  <c r="AE22" i="1009"/>
  <c r="AE9" i="1009"/>
  <c r="AE10" i="1009"/>
  <c r="AE13" i="1009"/>
  <c r="AE16" i="1009"/>
  <c r="AE17" i="1009"/>
  <c r="AE14" i="1009"/>
  <c r="AE11" i="1009"/>
  <c r="AE12" i="1009"/>
  <c r="AE15" i="1009"/>
  <c r="AD22" i="1008"/>
  <c r="AD20" i="1007"/>
  <c r="M22" i="1007"/>
  <c r="AD19" i="1007"/>
  <c r="AD8" i="1007"/>
  <c r="AB22" i="1007"/>
  <c r="AD21" i="1007"/>
  <c r="AC22" i="1007"/>
  <c r="P22" i="1007"/>
  <c r="K8" i="1006"/>
  <c r="L16" i="1006"/>
  <c r="K16" i="1006" s="1"/>
  <c r="K15" i="1006"/>
  <c r="L12" i="1006"/>
  <c r="K12" i="1006" s="1"/>
  <c r="L10" i="1006"/>
  <c r="O10" i="1006" s="1"/>
  <c r="K9" i="1006"/>
  <c r="L8" i="1006"/>
  <c r="L7" i="1006"/>
  <c r="AB7" i="1006" s="1"/>
  <c r="K19" i="1006"/>
  <c r="K17" i="1006"/>
  <c r="A74" i="1006"/>
  <c r="A75" i="1006" s="1"/>
  <c r="A76" i="1006" s="1"/>
  <c r="A77" i="1006" s="1"/>
  <c r="A78" i="1006" s="1"/>
  <c r="A79" i="1006" s="1"/>
  <c r="A80" i="1006" s="1"/>
  <c r="A81" i="1006" s="1"/>
  <c r="AF60" i="1006"/>
  <c r="AF62" i="1006" s="1"/>
  <c r="AF59" i="1006"/>
  <c r="AA21" i="1006"/>
  <c r="Z21" i="1006"/>
  <c r="Y21" i="1006"/>
  <c r="X21" i="1006"/>
  <c r="W21" i="1006"/>
  <c r="V21" i="1006"/>
  <c r="U21" i="1006"/>
  <c r="T21" i="1006"/>
  <c r="S21" i="1006"/>
  <c r="R21" i="1006"/>
  <c r="N21" i="1006"/>
  <c r="J21" i="1006"/>
  <c r="I21" i="1006"/>
  <c r="AF20" i="1006"/>
  <c r="AB20" i="1006"/>
  <c r="Q20" i="1006"/>
  <c r="M20" i="1006"/>
  <c r="O20" i="1006"/>
  <c r="AF19" i="1006"/>
  <c r="Q19" i="1006"/>
  <c r="AB19" i="1006"/>
  <c r="AF18" i="1006"/>
  <c r="AB18" i="1006"/>
  <c r="Q18" i="1006"/>
  <c r="P18" i="1006"/>
  <c r="AC18" i="1006" s="1"/>
  <c r="O18" i="1006"/>
  <c r="M18" i="1006"/>
  <c r="AF17" i="1006"/>
  <c r="AB17" i="1006"/>
  <c r="Q17" i="1006"/>
  <c r="O17" i="1006"/>
  <c r="M17" i="1006"/>
  <c r="P17" i="1006"/>
  <c r="AC17" i="1006" s="1"/>
  <c r="AF16" i="1006"/>
  <c r="Q16" i="1006"/>
  <c r="AF15" i="1006"/>
  <c r="AB15" i="1006"/>
  <c r="Q15" i="1006"/>
  <c r="P15" i="1006" s="1"/>
  <c r="AC15" i="1006" s="1"/>
  <c r="O15" i="1006"/>
  <c r="M15" i="1006"/>
  <c r="AF14" i="1006"/>
  <c r="AB14" i="1006"/>
  <c r="Q14" i="1006"/>
  <c r="P14" i="1006" s="1"/>
  <c r="AC14" i="1006" s="1"/>
  <c r="O14" i="1006"/>
  <c r="M14" i="1006"/>
  <c r="K14" i="1006"/>
  <c r="AF13" i="1006"/>
  <c r="AB13" i="1006"/>
  <c r="Q13" i="1006"/>
  <c r="P13" i="1006" s="1"/>
  <c r="AC13" i="1006" s="1"/>
  <c r="O13" i="1006"/>
  <c r="M13" i="1006"/>
  <c r="K13" i="1006"/>
  <c r="AF12" i="1006"/>
  <c r="AB12" i="1006"/>
  <c r="Q12" i="1006"/>
  <c r="M12" i="1006"/>
  <c r="O12" i="1006"/>
  <c r="AF11" i="1006"/>
  <c r="AB11" i="1006"/>
  <c r="Q11" i="1006"/>
  <c r="P11" i="1006"/>
  <c r="AC11" i="1006" s="1"/>
  <c r="O11" i="1006"/>
  <c r="M11" i="1006"/>
  <c r="K11" i="1006"/>
  <c r="AF10" i="1006"/>
  <c r="Q10" i="1006"/>
  <c r="P10" i="1006" s="1"/>
  <c r="AC10" i="1006" s="1"/>
  <c r="M10" i="1006"/>
  <c r="AF9" i="1006"/>
  <c r="AB9" i="1006"/>
  <c r="Q9" i="1006"/>
  <c r="P9" i="1006"/>
  <c r="AC9" i="1006" s="1"/>
  <c r="O9" i="1006"/>
  <c r="M9" i="1006"/>
  <c r="AF8" i="1006"/>
  <c r="AB8" i="1006"/>
  <c r="Q8" i="1006"/>
  <c r="M8" i="1006"/>
  <c r="O8" i="1006"/>
  <c r="AF7" i="1006"/>
  <c r="Q7" i="1006"/>
  <c r="AF6" i="1006"/>
  <c r="AB6" i="1006"/>
  <c r="Q6" i="1006"/>
  <c r="P6" i="1006"/>
  <c r="O6" i="1006"/>
  <c r="M6" i="1006"/>
  <c r="K6" i="1006"/>
  <c r="AE19" i="1008" l="1"/>
  <c r="AE16" i="1008"/>
  <c r="AE13" i="1008"/>
  <c r="AE11" i="1008"/>
  <c r="AE6" i="1008"/>
  <c r="AE20" i="1008"/>
  <c r="AE17" i="1008"/>
  <c r="AE14" i="1008"/>
  <c r="AE21" i="1008"/>
  <c r="AE15" i="1008"/>
  <c r="AE7" i="1008"/>
  <c r="AE18" i="1008"/>
  <c r="AE12" i="1008"/>
  <c r="AE10" i="1008"/>
  <c r="AE8" i="1008"/>
  <c r="AE9" i="1008"/>
  <c r="AD22" i="1007"/>
  <c r="AD17" i="1006"/>
  <c r="K10" i="1006"/>
  <c r="K21" i="1006" s="1"/>
  <c r="K7" i="1006"/>
  <c r="AB16" i="1006"/>
  <c r="AD18" i="1006"/>
  <c r="Q21" i="1006"/>
  <c r="AD9" i="1006"/>
  <c r="AD11" i="1006"/>
  <c r="AD13" i="1006"/>
  <c r="AD15" i="1006"/>
  <c r="AD14" i="1006"/>
  <c r="O7" i="1006"/>
  <c r="P8" i="1006"/>
  <c r="AC8" i="1006" s="1"/>
  <c r="AD8" i="1006" s="1"/>
  <c r="P12" i="1006"/>
  <c r="AC12" i="1006" s="1"/>
  <c r="AD12" i="1006" s="1"/>
  <c r="O16" i="1006"/>
  <c r="O19" i="1006"/>
  <c r="P20" i="1006"/>
  <c r="AC20" i="1006" s="1"/>
  <c r="AD20" i="1006" s="1"/>
  <c r="AC6" i="1006"/>
  <c r="P7" i="1006"/>
  <c r="AC7" i="1006" s="1"/>
  <c r="AD7" i="1006" s="1"/>
  <c r="AB10" i="1006"/>
  <c r="AB21" i="1006" s="1"/>
  <c r="P16" i="1006"/>
  <c r="AC16" i="1006" s="1"/>
  <c r="P19" i="1006"/>
  <c r="AC19" i="1006" s="1"/>
  <c r="L21" i="1006"/>
  <c r="O21" i="1006" s="1"/>
  <c r="M7" i="1006"/>
  <c r="M16" i="1006"/>
  <c r="M19" i="100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005"/>
  <c r="K21" i="1005" s="1"/>
  <c r="L20" i="1005"/>
  <c r="L18" i="1005"/>
  <c r="L17" i="1005"/>
  <c r="K17" i="1005" s="1"/>
  <c r="L13" i="1005"/>
  <c r="K13" i="1005" s="1"/>
  <c r="L11" i="1005"/>
  <c r="K11" i="1005" s="1"/>
  <c r="AF10" i="1005"/>
  <c r="AB10" i="1005"/>
  <c r="Q10" i="1005"/>
  <c r="P10" i="1005" s="1"/>
  <c r="AC10" i="1005" s="1"/>
  <c r="O10" i="1005"/>
  <c r="M10" i="1005"/>
  <c r="K10" i="1005"/>
  <c r="K9" i="1005"/>
  <c r="L8" i="1005"/>
  <c r="L7" i="1005"/>
  <c r="K20" i="1005"/>
  <c r="K19" i="1005"/>
  <c r="K18" i="1005"/>
  <c r="K14" i="1005"/>
  <c r="K12" i="1005"/>
  <c r="K8" i="1005"/>
  <c r="K7" i="1005"/>
  <c r="A75" i="1005"/>
  <c r="A76" i="1005" s="1"/>
  <c r="A77" i="1005" s="1"/>
  <c r="A78" i="1005" s="1"/>
  <c r="A79" i="1005" s="1"/>
  <c r="A80" i="1005" s="1"/>
  <c r="A81" i="1005" s="1"/>
  <c r="A82" i="1005" s="1"/>
  <c r="AF63" i="1005"/>
  <c r="AF61" i="1005"/>
  <c r="AF60" i="1005"/>
  <c r="AA22" i="1005"/>
  <c r="Z22" i="1005"/>
  <c r="Y22" i="1005"/>
  <c r="X22" i="1005"/>
  <c r="W22" i="1005"/>
  <c r="V22" i="1005"/>
  <c r="U22" i="1005"/>
  <c r="T22" i="1005"/>
  <c r="S22" i="1005"/>
  <c r="R22" i="1005"/>
  <c r="N22" i="1005"/>
  <c r="J22" i="1005"/>
  <c r="I22" i="1005"/>
  <c r="AF21" i="1005"/>
  <c r="Q21" i="1005"/>
  <c r="O21" i="1005"/>
  <c r="AB21" i="1005"/>
  <c r="AF20" i="1005"/>
  <c r="AB20" i="1005"/>
  <c r="Q20" i="1005"/>
  <c r="P20" i="1005"/>
  <c r="AC20" i="1005" s="1"/>
  <c r="M20" i="1005"/>
  <c r="O20" i="1005"/>
  <c r="AF19" i="1005"/>
  <c r="Q19" i="1005"/>
  <c r="P19" i="1005" s="1"/>
  <c r="AC19" i="1005" s="1"/>
  <c r="AF18" i="1005"/>
  <c r="AB18" i="1005"/>
  <c r="Q18" i="1005"/>
  <c r="P18" i="1005" s="1"/>
  <c r="AC18" i="1005" s="1"/>
  <c r="M18" i="1005"/>
  <c r="O18" i="1005"/>
  <c r="AF17" i="1005"/>
  <c r="Q17" i="1005"/>
  <c r="AF16" i="1005"/>
  <c r="AB16" i="1005"/>
  <c r="Q16" i="1005"/>
  <c r="P16" i="1005"/>
  <c r="AC16" i="1005" s="1"/>
  <c r="O16" i="1005"/>
  <c r="M16" i="1005"/>
  <c r="K16" i="1005"/>
  <c r="AF15" i="1005"/>
  <c r="AB15" i="1005"/>
  <c r="Q15" i="1005"/>
  <c r="P15" i="1005"/>
  <c r="AC15" i="1005" s="1"/>
  <c r="O15" i="1005"/>
  <c r="M15" i="1005"/>
  <c r="K15" i="1005"/>
  <c r="AF14" i="1005"/>
  <c r="AB14" i="1005"/>
  <c r="Q14" i="1005"/>
  <c r="P14" i="1005"/>
  <c r="AC14" i="1005" s="1"/>
  <c r="AD14" i="1005" s="1"/>
  <c r="O14" i="1005"/>
  <c r="M14" i="1005"/>
  <c r="AF13" i="1005"/>
  <c r="Q13" i="1005"/>
  <c r="P13" i="1005"/>
  <c r="AC13" i="1005" s="1"/>
  <c r="AF12" i="1005"/>
  <c r="AB12" i="1005"/>
  <c r="Q12" i="1005"/>
  <c r="P12" i="1005"/>
  <c r="AC12" i="1005" s="1"/>
  <c r="M12" i="1005"/>
  <c r="O12" i="1005"/>
  <c r="AF11" i="1005"/>
  <c r="Q11" i="1005"/>
  <c r="AF9" i="1005"/>
  <c r="AB9" i="1005"/>
  <c r="Q9" i="1005"/>
  <c r="P9" i="1005" s="1"/>
  <c r="AC9" i="1005" s="1"/>
  <c r="O9" i="1005"/>
  <c r="M9" i="1005"/>
  <c r="AF8" i="1005"/>
  <c r="AB8" i="1005"/>
  <c r="Q8" i="1005"/>
  <c r="P8" i="1005" s="1"/>
  <c r="AC8" i="1005" s="1"/>
  <c r="M8" i="1005"/>
  <c r="O8" i="1005"/>
  <c r="AF7" i="1005"/>
  <c r="Q7" i="1005"/>
  <c r="O7" i="1005"/>
  <c r="AF6" i="1005"/>
  <c r="AB6" i="1005"/>
  <c r="Q6" i="1005"/>
  <c r="P6" i="1005"/>
  <c r="O6" i="1005"/>
  <c r="M6" i="1005"/>
  <c r="K6" i="1005"/>
  <c r="AE19" i="1007" l="1"/>
  <c r="AE10" i="1007"/>
  <c r="AE8" i="1007"/>
  <c r="AE15" i="1007"/>
  <c r="AE20" i="1007"/>
  <c r="AE13" i="1007"/>
  <c r="AE7" i="1007"/>
  <c r="AE6" i="1007"/>
  <c r="AE21" i="1007"/>
  <c r="AE14" i="1007"/>
  <c r="AE18" i="1007"/>
  <c r="AE17" i="1007"/>
  <c r="AE11" i="1007"/>
  <c r="AE9" i="1007"/>
  <c r="AE12" i="1007"/>
  <c r="AE16" i="1007"/>
  <c r="AD19" i="1006"/>
  <c r="AD10" i="1006"/>
  <c r="M21" i="1006"/>
  <c r="AC21" i="1006"/>
  <c r="AD6" i="1006"/>
  <c r="AD16" i="1006"/>
  <c r="Y13" i="16" s="1"/>
  <c r="P21" i="1006"/>
  <c r="AD20" i="1005"/>
  <c r="AD18" i="1005"/>
  <c r="AD10" i="1005"/>
  <c r="AB17" i="1005"/>
  <c r="O17" i="1005"/>
  <c r="L22" i="1005"/>
  <c r="O22" i="1005" s="1"/>
  <c r="O11" i="1005"/>
  <c r="Q22" i="1005"/>
  <c r="AD12" i="1005"/>
  <c r="AD9" i="1005"/>
  <c r="AD16" i="1005"/>
  <c r="AD15" i="1005"/>
  <c r="AD8" i="1005"/>
  <c r="AC6" i="1005"/>
  <c r="K22" i="1005"/>
  <c r="P7" i="1005"/>
  <c r="AC7" i="1005" s="1"/>
  <c r="P11" i="1005"/>
  <c r="AC11" i="1005" s="1"/>
  <c r="M13" i="1005"/>
  <c r="AB13" i="1005"/>
  <c r="P17" i="1005"/>
  <c r="AC17" i="1005" s="1"/>
  <c r="AD17" i="1005" s="1"/>
  <c r="M19" i="1005"/>
  <c r="AB19" i="1005"/>
  <c r="P21" i="1005"/>
  <c r="AC21" i="1005" s="1"/>
  <c r="AD21" i="1005" s="1"/>
  <c r="O13" i="1005"/>
  <c r="O19" i="1005"/>
  <c r="M7" i="1005"/>
  <c r="AB7" i="1005"/>
  <c r="M11" i="1005"/>
  <c r="AB11" i="1005"/>
  <c r="M17" i="1005"/>
  <c r="M21" i="1005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0" i="1004"/>
  <c r="L19" i="1004"/>
  <c r="L18" i="1004"/>
  <c r="L17" i="1004"/>
  <c r="K17" i="1004" s="1"/>
  <c r="L16" i="1004"/>
  <c r="AD21" i="1006" l="1"/>
  <c r="Y18" i="16" s="1"/>
  <c r="AB22" i="1005"/>
  <c r="AD7" i="1005"/>
  <c r="AD13" i="1005"/>
  <c r="M22" i="1005"/>
  <c r="AD19" i="1005"/>
  <c r="AD11" i="1005"/>
  <c r="AC22" i="1005"/>
  <c r="AD6" i="1005"/>
  <c r="P22" i="1005"/>
  <c r="L13" i="1004"/>
  <c r="L12" i="1004"/>
  <c r="K12" i="1004" s="1"/>
  <c r="L11" i="1004"/>
  <c r="K11" i="1004" s="1"/>
  <c r="L10" i="1004"/>
  <c r="K10" i="1004" s="1"/>
  <c r="K9" i="1004"/>
  <c r="L8" i="1004"/>
  <c r="K8" i="1004" s="1"/>
  <c r="L7" i="1004"/>
  <c r="K20" i="1004"/>
  <c r="K19" i="1004"/>
  <c r="K18" i="1004"/>
  <c r="K16" i="1004"/>
  <c r="K13" i="1004"/>
  <c r="K7" i="1004"/>
  <c r="A74" i="1004"/>
  <c r="A75" i="1004" s="1"/>
  <c r="A76" i="1004" s="1"/>
  <c r="A77" i="1004" s="1"/>
  <c r="A78" i="1004" s="1"/>
  <c r="A79" i="1004" s="1"/>
  <c r="A80" i="1004" s="1"/>
  <c r="A81" i="1004" s="1"/>
  <c r="AF60" i="1004"/>
  <c r="AF59" i="1004"/>
  <c r="AF62" i="1004" s="1"/>
  <c r="AA21" i="1004"/>
  <c r="Z21" i="1004"/>
  <c r="Y21" i="1004"/>
  <c r="X21" i="1004"/>
  <c r="W21" i="1004"/>
  <c r="V21" i="1004"/>
  <c r="U21" i="1004"/>
  <c r="T21" i="1004"/>
  <c r="S21" i="1004"/>
  <c r="R21" i="1004"/>
  <c r="N21" i="1004"/>
  <c r="J21" i="1004"/>
  <c r="I21" i="1004"/>
  <c r="AF20" i="1004"/>
  <c r="Q20" i="1004"/>
  <c r="M20" i="1004"/>
  <c r="O20" i="1004"/>
  <c r="AF19" i="1004"/>
  <c r="Q19" i="1004"/>
  <c r="AB19" i="1004"/>
  <c r="AF18" i="1004"/>
  <c r="Q18" i="1004"/>
  <c r="P18" i="1004"/>
  <c r="AC18" i="1004" s="1"/>
  <c r="O18" i="1004"/>
  <c r="AF17" i="1004"/>
  <c r="AB17" i="1004"/>
  <c r="Q17" i="1004"/>
  <c r="P17" i="1004" s="1"/>
  <c r="AC17" i="1004" s="1"/>
  <c r="AD17" i="1004" s="1"/>
  <c r="O17" i="1004"/>
  <c r="M17" i="1004"/>
  <c r="AF16" i="1004"/>
  <c r="AB16" i="1004"/>
  <c r="Q16" i="1004"/>
  <c r="P16" i="1004" s="1"/>
  <c r="AC16" i="1004" s="1"/>
  <c r="M16" i="1004"/>
  <c r="AF15" i="1004"/>
  <c r="AB15" i="1004"/>
  <c r="Q15" i="1004"/>
  <c r="P15" i="1004"/>
  <c r="AC15" i="1004" s="1"/>
  <c r="AD15" i="1004" s="1"/>
  <c r="O15" i="1004"/>
  <c r="M15" i="1004"/>
  <c r="K15" i="1004"/>
  <c r="AF14" i="1004"/>
  <c r="AB14" i="1004"/>
  <c r="Q14" i="1004"/>
  <c r="P14" i="1004"/>
  <c r="AC14" i="1004" s="1"/>
  <c r="O14" i="1004"/>
  <c r="M14" i="1004"/>
  <c r="K14" i="1004"/>
  <c r="AF13" i="1004"/>
  <c r="Q13" i="1004"/>
  <c r="P13" i="1004"/>
  <c r="AC13" i="1004" s="1"/>
  <c r="AF12" i="1004"/>
  <c r="AB12" i="1004"/>
  <c r="Q12" i="1004"/>
  <c r="P12" i="1004" s="1"/>
  <c r="AC12" i="1004" s="1"/>
  <c r="M12" i="1004"/>
  <c r="AF11" i="1004"/>
  <c r="Q11" i="1004"/>
  <c r="AF10" i="1004"/>
  <c r="AB10" i="1004"/>
  <c r="Q10" i="1004"/>
  <c r="O10" i="1004"/>
  <c r="M10" i="1004"/>
  <c r="P10" i="1004"/>
  <c r="AC10" i="1004" s="1"/>
  <c r="AD10" i="1004" s="1"/>
  <c r="AF9" i="1004"/>
  <c r="AB9" i="1004"/>
  <c r="Q9" i="1004"/>
  <c r="P9" i="1004" s="1"/>
  <c r="AC9" i="1004" s="1"/>
  <c r="M9" i="1004"/>
  <c r="AF8" i="1004"/>
  <c r="Q8" i="1004"/>
  <c r="P8" i="1004"/>
  <c r="AC8" i="1004" s="1"/>
  <c r="AF7" i="1004"/>
  <c r="Q7" i="1004"/>
  <c r="P7" i="1004"/>
  <c r="AC7" i="1004" s="1"/>
  <c r="O7" i="1004"/>
  <c r="AF6" i="1004"/>
  <c r="AB6" i="1004"/>
  <c r="Q6" i="1004"/>
  <c r="P6" i="1004"/>
  <c r="AC6" i="1004" s="1"/>
  <c r="O6" i="1004"/>
  <c r="M6" i="1004"/>
  <c r="K6" i="1004"/>
  <c r="AE18" i="1006" l="1"/>
  <c r="AE15" i="1006"/>
  <c r="AE13" i="1006"/>
  <c r="AE9" i="1006"/>
  <c r="AE6" i="1006"/>
  <c r="AE19" i="1006"/>
  <c r="AE16" i="1006"/>
  <c r="AE20" i="1006"/>
  <c r="AE17" i="1006"/>
  <c r="AE14" i="1006"/>
  <c r="AE12" i="1006"/>
  <c r="AE8" i="1006"/>
  <c r="AE11" i="1006"/>
  <c r="AE7" i="1006"/>
  <c r="AE10" i="1006"/>
  <c r="AD22" i="1005"/>
  <c r="AD14" i="1004"/>
  <c r="M11" i="1004"/>
  <c r="AB11" i="1004"/>
  <c r="O11" i="1004"/>
  <c r="L21" i="1004"/>
  <c r="O21" i="1004" s="1"/>
  <c r="P11" i="1004"/>
  <c r="AC11" i="1004" s="1"/>
  <c r="AD11" i="1004" s="1"/>
  <c r="Q21" i="1004"/>
  <c r="AD6" i="1004"/>
  <c r="M8" i="1004"/>
  <c r="AB8" i="1004"/>
  <c r="O9" i="1004"/>
  <c r="AD9" i="1004" s="1"/>
  <c r="O12" i="1004"/>
  <c r="AD12" i="1004" s="1"/>
  <c r="M13" i="1004"/>
  <c r="AB13" i="1004"/>
  <c r="O16" i="1004"/>
  <c r="AD16" i="1004" s="1"/>
  <c r="M18" i="1004"/>
  <c r="AB18" i="1004"/>
  <c r="AD18" i="1004" s="1"/>
  <c r="O19" i="1004"/>
  <c r="P20" i="1004"/>
  <c r="AC20" i="1004" s="1"/>
  <c r="M7" i="1004"/>
  <c r="AB7" i="1004"/>
  <c r="AD7" i="1004" s="1"/>
  <c r="O8" i="1004"/>
  <c r="O13" i="1004"/>
  <c r="P19" i="1004"/>
  <c r="AC19" i="1004" s="1"/>
  <c r="K21" i="1004"/>
  <c r="AB20" i="1004"/>
  <c r="M19" i="1004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AE19" i="1005" l="1"/>
  <c r="AE10" i="1005"/>
  <c r="AE18" i="1005"/>
  <c r="AE21" i="1005"/>
  <c r="AE16" i="1005"/>
  <c r="AE8" i="1005"/>
  <c r="AE7" i="1005"/>
  <c r="AE6" i="1005"/>
  <c r="AE20" i="1005"/>
  <c r="AE11" i="1005"/>
  <c r="AE13" i="1005"/>
  <c r="AE12" i="1005"/>
  <c r="AE9" i="1005"/>
  <c r="AE15" i="1005"/>
  <c r="AE17" i="1005"/>
  <c r="AE14" i="1005"/>
  <c r="AD19" i="1004"/>
  <c r="M21" i="1004"/>
  <c r="AB21" i="1004"/>
  <c r="AD13" i="1004"/>
  <c r="AD8" i="1004"/>
  <c r="AC21" i="1004"/>
  <c r="AD20" i="1004"/>
  <c r="P21" i="1004"/>
  <c r="L21" i="1003"/>
  <c r="L20" i="1003"/>
  <c r="L19" i="1003"/>
  <c r="L17" i="1003"/>
  <c r="L14" i="1003"/>
  <c r="K14" i="1003"/>
  <c r="AF14" i="1003"/>
  <c r="AB14" i="1003"/>
  <c r="Q14" i="1003"/>
  <c r="P14" i="1003" s="1"/>
  <c r="AC14" i="1003" s="1"/>
  <c r="O14" i="1003"/>
  <c r="M14" i="1003"/>
  <c r="K13" i="1003"/>
  <c r="L12" i="1003"/>
  <c r="K12" i="1003" s="1"/>
  <c r="L10" i="1003"/>
  <c r="K10" i="1003" s="1"/>
  <c r="L9" i="1003"/>
  <c r="K9" i="1003" s="1"/>
  <c r="L8" i="1003"/>
  <c r="K8" i="1003" s="1"/>
  <c r="L7" i="1003"/>
  <c r="K7" i="1003" s="1"/>
  <c r="K21" i="1003"/>
  <c r="K20" i="1003"/>
  <c r="K19" i="1003"/>
  <c r="K17" i="1003"/>
  <c r="A76" i="1003"/>
  <c r="A77" i="1003" s="1"/>
  <c r="A78" i="1003" s="1"/>
  <c r="A79" i="1003" s="1"/>
  <c r="A80" i="1003" s="1"/>
  <c r="A81" i="1003" s="1"/>
  <c r="A82" i="1003" s="1"/>
  <c r="A75" i="1003"/>
  <c r="AF61" i="1003"/>
  <c r="AF60" i="1003"/>
  <c r="AF63" i="1003" s="1"/>
  <c r="AA22" i="1003"/>
  <c r="Z22" i="1003"/>
  <c r="Y22" i="1003"/>
  <c r="X22" i="1003"/>
  <c r="W22" i="1003"/>
  <c r="V22" i="1003"/>
  <c r="U22" i="1003"/>
  <c r="T22" i="1003"/>
  <c r="S22" i="1003"/>
  <c r="R22" i="1003"/>
  <c r="N22" i="1003"/>
  <c r="J22" i="1003"/>
  <c r="I22" i="1003"/>
  <c r="AF21" i="1003"/>
  <c r="Q21" i="1003"/>
  <c r="O21" i="1003"/>
  <c r="AF20" i="1003"/>
  <c r="AB20" i="1003"/>
  <c r="Q20" i="1003"/>
  <c r="P20" i="1003" s="1"/>
  <c r="AC20" i="1003" s="1"/>
  <c r="M20" i="1003"/>
  <c r="O20" i="1003"/>
  <c r="AF19" i="1003"/>
  <c r="Q19" i="1003"/>
  <c r="P19" i="1003"/>
  <c r="AC19" i="1003" s="1"/>
  <c r="AF18" i="1003"/>
  <c r="AB18" i="1003"/>
  <c r="Q18" i="1003"/>
  <c r="P18" i="1003"/>
  <c r="AC18" i="1003" s="1"/>
  <c r="AD18" i="1003" s="1"/>
  <c r="O18" i="1003"/>
  <c r="M18" i="1003"/>
  <c r="K18" i="1003"/>
  <c r="AF17" i="1003"/>
  <c r="AB17" i="1003"/>
  <c r="Q17" i="1003"/>
  <c r="P17" i="1003" s="1"/>
  <c r="AC17" i="1003" s="1"/>
  <c r="O17" i="1003"/>
  <c r="M17" i="1003"/>
  <c r="AF16" i="1003"/>
  <c r="AC16" i="1003"/>
  <c r="AB16" i="1003"/>
  <c r="Q16" i="1003"/>
  <c r="P16" i="1003"/>
  <c r="O16" i="1003"/>
  <c r="M16" i="1003"/>
  <c r="K16" i="1003"/>
  <c r="AF15" i="1003"/>
  <c r="AC15" i="1003"/>
  <c r="AB15" i="1003"/>
  <c r="Q15" i="1003"/>
  <c r="P15" i="1003"/>
  <c r="O15" i="1003"/>
  <c r="M15" i="1003"/>
  <c r="K15" i="1003"/>
  <c r="AF13" i="1003"/>
  <c r="Q13" i="1003"/>
  <c r="P13" i="1003" s="1"/>
  <c r="AC13" i="1003" s="1"/>
  <c r="O13" i="1003"/>
  <c r="AF12" i="1003"/>
  <c r="AB12" i="1003"/>
  <c r="Q12" i="1003"/>
  <c r="P12" i="1003" s="1"/>
  <c r="AC12" i="1003" s="1"/>
  <c r="O12" i="1003"/>
  <c r="M12" i="1003"/>
  <c r="AF11" i="1003"/>
  <c r="AB11" i="1003"/>
  <c r="Q11" i="1003"/>
  <c r="P11" i="1003"/>
  <c r="AC11" i="1003" s="1"/>
  <c r="O11" i="1003"/>
  <c r="M11" i="1003"/>
  <c r="K11" i="1003"/>
  <c r="AF10" i="1003"/>
  <c r="AB10" i="1003"/>
  <c r="Q10" i="1003"/>
  <c r="P10" i="1003" s="1"/>
  <c r="AC10" i="1003" s="1"/>
  <c r="M10" i="1003"/>
  <c r="O10" i="1003"/>
  <c r="AF9" i="1003"/>
  <c r="Q9" i="1003"/>
  <c r="AF8" i="1003"/>
  <c r="AB8" i="1003"/>
  <c r="Q8" i="1003"/>
  <c r="P8" i="1003" s="1"/>
  <c r="AC8" i="1003" s="1"/>
  <c r="O8" i="1003"/>
  <c r="M8" i="1003"/>
  <c r="AF7" i="1003"/>
  <c r="Q7" i="1003"/>
  <c r="O7" i="1003"/>
  <c r="L22" i="1003"/>
  <c r="O22" i="1003" s="1"/>
  <c r="AF6" i="1003"/>
  <c r="AB6" i="1003"/>
  <c r="Q6" i="1003"/>
  <c r="P6" i="1003"/>
  <c r="O6" i="1003"/>
  <c r="M6" i="1003"/>
  <c r="K6" i="1003"/>
  <c r="AD21" i="1004" l="1"/>
  <c r="AE19" i="1004" s="1"/>
  <c r="Q22" i="1003"/>
  <c r="AD20" i="1003"/>
  <c r="AD14" i="1003"/>
  <c r="AD15" i="1003"/>
  <c r="AD17" i="1003"/>
  <c r="O9" i="1003"/>
  <c r="AD16" i="1003"/>
  <c r="AD12" i="1003"/>
  <c r="AD8" i="1003"/>
  <c r="AD11" i="1003"/>
  <c r="AD10" i="1003"/>
  <c r="M7" i="1003"/>
  <c r="AB7" i="1003"/>
  <c r="P9" i="1003"/>
  <c r="AC9" i="1003" s="1"/>
  <c r="M13" i="1003"/>
  <c r="AB13" i="1003"/>
  <c r="AD13" i="1003" s="1"/>
  <c r="M19" i="1003"/>
  <c r="AB19" i="1003"/>
  <c r="P21" i="1003"/>
  <c r="AC21" i="1003" s="1"/>
  <c r="O19" i="1003"/>
  <c r="AC6" i="1003"/>
  <c r="K22" i="1003"/>
  <c r="P7" i="1003"/>
  <c r="AC7" i="1003" s="1"/>
  <c r="M9" i="1003"/>
  <c r="AB9" i="1003"/>
  <c r="M21" i="1003"/>
  <c r="AB21" i="1003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0" i="1002"/>
  <c r="K20" i="1002" s="1"/>
  <c r="L19" i="1002"/>
  <c r="L18" i="1002"/>
  <c r="K18" i="1002" s="1"/>
  <c r="L16" i="1002"/>
  <c r="L13" i="1002"/>
  <c r="K13" i="1002" s="1"/>
  <c r="L10" i="1002"/>
  <c r="K10" i="1002" s="1"/>
  <c r="L9" i="1002"/>
  <c r="K9" i="1002" s="1"/>
  <c r="L8" i="1002"/>
  <c r="K8" i="1002" s="1"/>
  <c r="L7" i="1002"/>
  <c r="K7" i="1002" s="1"/>
  <c r="K16" i="1002"/>
  <c r="K12" i="1002"/>
  <c r="A74" i="1002"/>
  <c r="A75" i="1002" s="1"/>
  <c r="A76" i="1002" s="1"/>
  <c r="A77" i="1002" s="1"/>
  <c r="A78" i="1002" s="1"/>
  <c r="A79" i="1002" s="1"/>
  <c r="A80" i="1002" s="1"/>
  <c r="A81" i="1002" s="1"/>
  <c r="AF60" i="1002"/>
  <c r="AF62" i="1002" s="1"/>
  <c r="AF59" i="1002"/>
  <c r="AA21" i="1002"/>
  <c r="Z21" i="1002"/>
  <c r="Y21" i="1002"/>
  <c r="X21" i="1002"/>
  <c r="W21" i="1002"/>
  <c r="V21" i="1002"/>
  <c r="U21" i="1002"/>
  <c r="T21" i="1002"/>
  <c r="S21" i="1002"/>
  <c r="R21" i="1002"/>
  <c r="N21" i="1002"/>
  <c r="J21" i="1002"/>
  <c r="I21" i="1002"/>
  <c r="AF20" i="1002"/>
  <c r="Q20" i="1002"/>
  <c r="AF19" i="1002"/>
  <c r="Q19" i="1002"/>
  <c r="AF18" i="1002"/>
  <c r="AB18" i="1002"/>
  <c r="Q18" i="1002"/>
  <c r="P18" i="1002"/>
  <c r="AC18" i="1002" s="1"/>
  <c r="O18" i="1002"/>
  <c r="M18" i="1002"/>
  <c r="AF17" i="1002"/>
  <c r="AB17" i="1002"/>
  <c r="Q17" i="1002"/>
  <c r="P17" i="1002"/>
  <c r="AC17" i="1002" s="1"/>
  <c r="O17" i="1002"/>
  <c r="M17" i="1002"/>
  <c r="K17" i="1002"/>
  <c r="AF16" i="1002"/>
  <c r="Q16" i="1002"/>
  <c r="P16" i="1002" s="1"/>
  <c r="AC16" i="1002" s="1"/>
  <c r="AF15" i="1002"/>
  <c r="AB15" i="1002"/>
  <c r="Q15" i="1002"/>
  <c r="P15" i="1002"/>
  <c r="AC15" i="1002" s="1"/>
  <c r="O15" i="1002"/>
  <c r="M15" i="1002"/>
  <c r="K15" i="1002"/>
  <c r="AF14" i="1002"/>
  <c r="AB14" i="1002"/>
  <c r="Q14" i="1002"/>
  <c r="P14" i="1002"/>
  <c r="AC14" i="1002" s="1"/>
  <c r="O14" i="1002"/>
  <c r="M14" i="1002"/>
  <c r="K14" i="1002"/>
  <c r="AF13" i="1002"/>
  <c r="Q13" i="1002"/>
  <c r="AF12" i="1002"/>
  <c r="AB12" i="1002"/>
  <c r="Q12" i="1002"/>
  <c r="P12" i="1002" s="1"/>
  <c r="AC12" i="1002" s="1"/>
  <c r="O12" i="1002"/>
  <c r="M12" i="1002"/>
  <c r="AF11" i="1002"/>
  <c r="AB11" i="1002"/>
  <c r="Q11" i="1002"/>
  <c r="P11" i="1002"/>
  <c r="AC11" i="1002" s="1"/>
  <c r="O11" i="1002"/>
  <c r="M11" i="1002"/>
  <c r="K11" i="1002"/>
  <c r="AF10" i="1002"/>
  <c r="Q10" i="1002"/>
  <c r="O10" i="1002"/>
  <c r="AF9" i="1002"/>
  <c r="AB9" i="1002"/>
  <c r="Q9" i="1002"/>
  <c r="P9" i="1002"/>
  <c r="AC9" i="1002" s="1"/>
  <c r="O9" i="1002"/>
  <c r="M9" i="1002"/>
  <c r="AF8" i="1002"/>
  <c r="Q8" i="1002"/>
  <c r="AF7" i="1002"/>
  <c r="AB7" i="1002"/>
  <c r="Q7" i="1002"/>
  <c r="P7" i="1002"/>
  <c r="AC7" i="1002" s="1"/>
  <c r="M7" i="1002"/>
  <c r="AF6" i="1002"/>
  <c r="AC6" i="1002"/>
  <c r="AB6" i="1002"/>
  <c r="Q6" i="1002"/>
  <c r="P6" i="1002"/>
  <c r="O6" i="1002"/>
  <c r="M6" i="1002"/>
  <c r="K6" i="1002"/>
  <c r="AE7" i="1004" l="1"/>
  <c r="AE10" i="1004"/>
  <c r="AE9" i="1004"/>
  <c r="AE18" i="1004"/>
  <c r="AE13" i="1004"/>
  <c r="AE20" i="1004"/>
  <c r="AE16" i="1004"/>
  <c r="AE17" i="1004"/>
  <c r="AE14" i="1004"/>
  <c r="AE12" i="1004"/>
  <c r="AE11" i="1004"/>
  <c r="AE6" i="1004"/>
  <c r="AE8" i="1004"/>
  <c r="AE15" i="1004"/>
  <c r="AD7" i="1003"/>
  <c r="AD19" i="1003"/>
  <c r="AB22" i="1003"/>
  <c r="AD21" i="1003"/>
  <c r="M22" i="1003"/>
  <c r="AC22" i="1003"/>
  <c r="AD6" i="1003"/>
  <c r="AD9" i="1003"/>
  <c r="P22" i="1003"/>
  <c r="AD9" i="1002"/>
  <c r="AD15" i="1002"/>
  <c r="AD14" i="1002"/>
  <c r="AD11" i="1002"/>
  <c r="Q21" i="1002"/>
  <c r="P19" i="1002"/>
  <c r="AC19" i="1002" s="1"/>
  <c r="AB20" i="1002"/>
  <c r="O20" i="1002"/>
  <c r="M20" i="1002"/>
  <c r="M19" i="1002"/>
  <c r="AB19" i="1002"/>
  <c r="K19" i="1002"/>
  <c r="O19" i="1002"/>
  <c r="M13" i="1002"/>
  <c r="AB13" i="1002"/>
  <c r="O13" i="1002"/>
  <c r="P13" i="1002"/>
  <c r="AC13" i="1002" s="1"/>
  <c r="L21" i="1002"/>
  <c r="O21" i="1002" s="1"/>
  <c r="O8" i="1002"/>
  <c r="P8" i="1002"/>
  <c r="AC8" i="1002" s="1"/>
  <c r="AD17" i="1002"/>
  <c r="AD12" i="1002"/>
  <c r="AD18" i="1002"/>
  <c r="AD6" i="1002"/>
  <c r="M8" i="1002"/>
  <c r="AB8" i="1002"/>
  <c r="P10" i="1002"/>
  <c r="AC10" i="1002" s="1"/>
  <c r="P20" i="1002"/>
  <c r="AC20" i="1002" s="1"/>
  <c r="M16" i="1002"/>
  <c r="AB16" i="1002"/>
  <c r="AD16" i="1002" s="1"/>
  <c r="O7" i="1002"/>
  <c r="AD7" i="1002" s="1"/>
  <c r="K21" i="1002"/>
  <c r="M10" i="1002"/>
  <c r="AB10" i="1002"/>
  <c r="O16" i="1002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001"/>
  <c r="O21" i="1001" s="1"/>
  <c r="L17" i="1001"/>
  <c r="K13" i="1001"/>
  <c r="AF13" i="1001"/>
  <c r="AB13" i="1001"/>
  <c r="Q13" i="1001"/>
  <c r="P13" i="1001" s="1"/>
  <c r="AC13" i="1001" s="1"/>
  <c r="O13" i="1001"/>
  <c r="M13" i="1001"/>
  <c r="L10" i="1001"/>
  <c r="K10" i="1001" s="1"/>
  <c r="L9" i="1001"/>
  <c r="K9" i="1001" s="1"/>
  <c r="L8" i="1001"/>
  <c r="K8" i="1001" s="1"/>
  <c r="L7" i="1001"/>
  <c r="K7" i="1001" s="1"/>
  <c r="K21" i="1001"/>
  <c r="K20" i="1001"/>
  <c r="K19" i="1001"/>
  <c r="K17" i="1001"/>
  <c r="K16" i="1001"/>
  <c r="K12" i="1001"/>
  <c r="A75" i="1001"/>
  <c r="A76" i="1001" s="1"/>
  <c r="A77" i="1001" s="1"/>
  <c r="A78" i="1001" s="1"/>
  <c r="A79" i="1001" s="1"/>
  <c r="A80" i="1001" s="1"/>
  <c r="A81" i="1001" s="1"/>
  <c r="A82" i="1001" s="1"/>
  <c r="AF61" i="1001"/>
  <c r="AF63" i="1001" s="1"/>
  <c r="AF60" i="1001"/>
  <c r="AA22" i="1001"/>
  <c r="Z22" i="1001"/>
  <c r="Y22" i="1001"/>
  <c r="X22" i="1001"/>
  <c r="W22" i="1001"/>
  <c r="V22" i="1001"/>
  <c r="U22" i="1001"/>
  <c r="T22" i="1001"/>
  <c r="S22" i="1001"/>
  <c r="R22" i="1001"/>
  <c r="N22" i="1001"/>
  <c r="J22" i="1001"/>
  <c r="I22" i="1001"/>
  <c r="AF21" i="1001"/>
  <c r="Q21" i="1001"/>
  <c r="P21" i="1001" s="1"/>
  <c r="AC21" i="1001" s="1"/>
  <c r="AF20" i="1001"/>
  <c r="AB20" i="1001"/>
  <c r="Q20" i="1001"/>
  <c r="P20" i="1001" s="1"/>
  <c r="AC20" i="1001" s="1"/>
  <c r="O20" i="1001"/>
  <c r="M20" i="1001"/>
  <c r="AF19" i="1001"/>
  <c r="Q19" i="1001"/>
  <c r="P19" i="1001" s="1"/>
  <c r="AC19" i="1001" s="1"/>
  <c r="O19" i="1001"/>
  <c r="M19" i="1001"/>
  <c r="AB19" i="1001"/>
  <c r="AF18" i="1001"/>
  <c r="AB18" i="1001"/>
  <c r="Q18" i="1001"/>
  <c r="P18" i="1001"/>
  <c r="AC18" i="1001" s="1"/>
  <c r="AD18" i="1001" s="1"/>
  <c r="O18" i="1001"/>
  <c r="M18" i="1001"/>
  <c r="K18" i="1001"/>
  <c r="AF17" i="1001"/>
  <c r="AB17" i="1001"/>
  <c r="Q17" i="1001"/>
  <c r="P17" i="1001" s="1"/>
  <c r="AC17" i="1001" s="1"/>
  <c r="M17" i="1001"/>
  <c r="O17" i="1001"/>
  <c r="AF16" i="1001"/>
  <c r="AB16" i="1001"/>
  <c r="Q16" i="1001"/>
  <c r="P16" i="1001" s="1"/>
  <c r="AC16" i="1001" s="1"/>
  <c r="AD16" i="1001" s="1"/>
  <c r="O16" i="1001"/>
  <c r="M16" i="1001"/>
  <c r="AF15" i="1001"/>
  <c r="AC15" i="1001"/>
  <c r="AB15" i="1001"/>
  <c r="Q15" i="1001"/>
  <c r="P15" i="1001"/>
  <c r="O15" i="1001"/>
  <c r="M15" i="1001"/>
  <c r="K15" i="1001"/>
  <c r="AF14" i="1001"/>
  <c r="AC14" i="1001"/>
  <c r="AD14" i="1001" s="1"/>
  <c r="AB14" i="1001"/>
  <c r="Q14" i="1001"/>
  <c r="P14" i="1001"/>
  <c r="O14" i="1001"/>
  <c r="M14" i="1001"/>
  <c r="K14" i="1001"/>
  <c r="AF12" i="1001"/>
  <c r="Q12" i="1001"/>
  <c r="AB12" i="1001"/>
  <c r="AF11" i="1001"/>
  <c r="AB11" i="1001"/>
  <c r="Q11" i="1001"/>
  <c r="P11" i="1001"/>
  <c r="AC11" i="1001" s="1"/>
  <c r="O11" i="1001"/>
  <c r="M11" i="1001"/>
  <c r="K11" i="1001"/>
  <c r="AF10" i="1001"/>
  <c r="AB10" i="1001"/>
  <c r="Q10" i="1001"/>
  <c r="P10" i="1001" s="1"/>
  <c r="AC10" i="1001" s="1"/>
  <c r="AD10" i="1001" s="1"/>
  <c r="O10" i="1001"/>
  <c r="M10" i="1001"/>
  <c r="AF9" i="1001"/>
  <c r="Q9" i="1001"/>
  <c r="AB9" i="1001"/>
  <c r="AF8" i="1001"/>
  <c r="AB8" i="1001"/>
  <c r="Q8" i="1001"/>
  <c r="P8" i="1001" s="1"/>
  <c r="AC8" i="1001" s="1"/>
  <c r="M8" i="1001"/>
  <c r="L22" i="1001"/>
  <c r="O22" i="1001" s="1"/>
  <c r="AF7" i="1001"/>
  <c r="AB7" i="1001"/>
  <c r="Q7" i="1001"/>
  <c r="P7" i="1001" s="1"/>
  <c r="AC7" i="1001" s="1"/>
  <c r="O7" i="1001"/>
  <c r="M7" i="1001"/>
  <c r="AF6" i="1001"/>
  <c r="AB6" i="1001"/>
  <c r="Q6" i="1001"/>
  <c r="P6" i="1001"/>
  <c r="AC6" i="1001" s="1"/>
  <c r="O6" i="1001"/>
  <c r="M6" i="1001"/>
  <c r="K6" i="1001"/>
  <c r="AD22" i="1003" l="1"/>
  <c r="AD13" i="1002"/>
  <c r="AD19" i="1002"/>
  <c r="AD20" i="1002"/>
  <c r="M21" i="1002"/>
  <c r="AB21" i="1002"/>
  <c r="AC21" i="1002"/>
  <c r="AD8" i="1002"/>
  <c r="AD10" i="1002"/>
  <c r="P21" i="1002"/>
  <c r="Q22" i="1001"/>
  <c r="AB21" i="1001"/>
  <c r="AD21" i="1001" s="1"/>
  <c r="M21" i="1001"/>
  <c r="AD13" i="1001"/>
  <c r="AD7" i="1001"/>
  <c r="AD19" i="1001"/>
  <c r="AD11" i="1001"/>
  <c r="AD15" i="1001"/>
  <c r="AD20" i="1001"/>
  <c r="K22" i="1001"/>
  <c r="AD17" i="1001"/>
  <c r="O9" i="1001"/>
  <c r="O12" i="1001"/>
  <c r="AD6" i="1001"/>
  <c r="O8" i="1001"/>
  <c r="AD8" i="1001" s="1"/>
  <c r="P9" i="1001"/>
  <c r="AC9" i="1001" s="1"/>
  <c r="AD9" i="1001" s="1"/>
  <c r="P12" i="1001"/>
  <c r="AC12" i="1001" s="1"/>
  <c r="M9" i="1001"/>
  <c r="M12" i="1001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1000"/>
  <c r="K20" i="1000" s="1"/>
  <c r="K19" i="1000"/>
  <c r="L18" i="1000"/>
  <c r="K18" i="1000" s="1"/>
  <c r="L16" i="1000"/>
  <c r="K16" i="1000" s="1"/>
  <c r="K15" i="1000"/>
  <c r="L12" i="1000"/>
  <c r="K12" i="1000" s="1"/>
  <c r="L10" i="1000"/>
  <c r="K10" i="1000" s="1"/>
  <c r="L9" i="1000"/>
  <c r="K9" i="1000" s="1"/>
  <c r="L8" i="1000"/>
  <c r="AB8" i="1000" s="1"/>
  <c r="K17" i="1000"/>
  <c r="K8" i="1000"/>
  <c r="A74" i="1000"/>
  <c r="A75" i="1000" s="1"/>
  <c r="A76" i="1000" s="1"/>
  <c r="A77" i="1000" s="1"/>
  <c r="A78" i="1000" s="1"/>
  <c r="A79" i="1000" s="1"/>
  <c r="A80" i="1000" s="1"/>
  <c r="A81" i="1000" s="1"/>
  <c r="AF62" i="1000"/>
  <c r="AF60" i="1000"/>
  <c r="AF59" i="1000"/>
  <c r="AA21" i="1000"/>
  <c r="Z21" i="1000"/>
  <c r="Y21" i="1000"/>
  <c r="X21" i="1000"/>
  <c r="W21" i="1000"/>
  <c r="V21" i="1000"/>
  <c r="U21" i="1000"/>
  <c r="T21" i="1000"/>
  <c r="S21" i="1000"/>
  <c r="R21" i="1000"/>
  <c r="N21" i="1000"/>
  <c r="J21" i="1000"/>
  <c r="I21" i="1000"/>
  <c r="AF20" i="1000"/>
  <c r="Q20" i="1000"/>
  <c r="AB20" i="1000"/>
  <c r="AF19" i="1000"/>
  <c r="Q19" i="1000"/>
  <c r="P19" i="1000" s="1"/>
  <c r="AC19" i="1000" s="1"/>
  <c r="M19" i="1000"/>
  <c r="AF18" i="1000"/>
  <c r="Q18" i="1000"/>
  <c r="P18" i="1000"/>
  <c r="AC18" i="1000" s="1"/>
  <c r="AF17" i="1000"/>
  <c r="AB17" i="1000"/>
  <c r="Q17" i="1000"/>
  <c r="P17" i="1000"/>
  <c r="AC17" i="1000" s="1"/>
  <c r="AD17" i="1000" s="1"/>
  <c r="M17" i="1000"/>
  <c r="O17" i="1000"/>
  <c r="AF16" i="1000"/>
  <c r="AB16" i="1000"/>
  <c r="Q16" i="1000"/>
  <c r="P16" i="1000" s="1"/>
  <c r="AC16" i="1000" s="1"/>
  <c r="O16" i="1000"/>
  <c r="M16" i="1000"/>
  <c r="AF15" i="1000"/>
  <c r="AB15" i="1000"/>
  <c r="Q15" i="1000"/>
  <c r="P15" i="1000"/>
  <c r="AC15" i="1000" s="1"/>
  <c r="O15" i="1000"/>
  <c r="M15" i="1000"/>
  <c r="AF14" i="1000"/>
  <c r="AC14" i="1000"/>
  <c r="AD14" i="1000" s="1"/>
  <c r="AB14" i="1000"/>
  <c r="Q14" i="1000"/>
  <c r="P14" i="1000"/>
  <c r="O14" i="1000"/>
  <c r="M14" i="1000"/>
  <c r="K14" i="1000"/>
  <c r="AF13" i="1000"/>
  <c r="AB13" i="1000"/>
  <c r="Q13" i="1000"/>
  <c r="P13" i="1000"/>
  <c r="AC13" i="1000" s="1"/>
  <c r="O13" i="1000"/>
  <c r="M13" i="1000"/>
  <c r="K13" i="1000"/>
  <c r="AF12" i="1000"/>
  <c r="Q12" i="1000"/>
  <c r="O12" i="1000"/>
  <c r="AB12" i="1000"/>
  <c r="AF11" i="1000"/>
  <c r="AB11" i="1000"/>
  <c r="Q11" i="1000"/>
  <c r="P11" i="1000"/>
  <c r="AC11" i="1000" s="1"/>
  <c r="AD11" i="1000" s="1"/>
  <c r="O11" i="1000"/>
  <c r="M11" i="1000"/>
  <c r="K11" i="1000"/>
  <c r="AF10" i="1000"/>
  <c r="AB10" i="1000"/>
  <c r="Q10" i="1000"/>
  <c r="P10" i="1000"/>
  <c r="AC10" i="1000" s="1"/>
  <c r="O10" i="1000"/>
  <c r="M10" i="1000"/>
  <c r="AF9" i="1000"/>
  <c r="Q9" i="1000"/>
  <c r="O9" i="1000"/>
  <c r="AB9" i="1000"/>
  <c r="AF8" i="1000"/>
  <c r="Q8" i="1000"/>
  <c r="M8" i="1000"/>
  <c r="L21" i="1000"/>
  <c r="O21" i="1000" s="1"/>
  <c r="AF7" i="1000"/>
  <c r="AB7" i="1000"/>
  <c r="Q7" i="1000"/>
  <c r="P7" i="1000"/>
  <c r="AC7" i="1000" s="1"/>
  <c r="O7" i="1000"/>
  <c r="M7" i="1000"/>
  <c r="K7" i="1000"/>
  <c r="AF6" i="1000"/>
  <c r="AC6" i="1000"/>
  <c r="AB6" i="1000"/>
  <c r="Q6" i="1000"/>
  <c r="P6" i="1000"/>
  <c r="O6" i="1000"/>
  <c r="M6" i="1000"/>
  <c r="K6" i="1000"/>
  <c r="AE7" i="1003" l="1"/>
  <c r="AE14" i="1003"/>
  <c r="AE6" i="1003"/>
  <c r="AE21" i="1003"/>
  <c r="AE20" i="1003"/>
  <c r="AE13" i="1003"/>
  <c r="AE16" i="1003"/>
  <c r="AE12" i="1003"/>
  <c r="AE11" i="1003"/>
  <c r="AE15" i="1003"/>
  <c r="AE10" i="1003"/>
  <c r="AE8" i="1003"/>
  <c r="AE9" i="1003"/>
  <c r="AE19" i="1003"/>
  <c r="AE18" i="1003"/>
  <c r="AE17" i="1003"/>
  <c r="AD21" i="1002"/>
  <c r="AE14" i="1002" s="1"/>
  <c r="AB22" i="1001"/>
  <c r="M22" i="1001"/>
  <c r="AD12" i="1001"/>
  <c r="AD22" i="1001" s="1"/>
  <c r="AE13" i="1001" s="1"/>
  <c r="P22" i="1001"/>
  <c r="AC22" i="1001"/>
  <c r="AD10" i="1000"/>
  <c r="Q21" i="1000"/>
  <c r="O20" i="1000"/>
  <c r="AB19" i="1000"/>
  <c r="AD13" i="1000"/>
  <c r="AD16" i="1000"/>
  <c r="AD7" i="1000"/>
  <c r="AD15" i="1000"/>
  <c r="AD6" i="1000"/>
  <c r="O8" i="1000"/>
  <c r="K21" i="1000"/>
  <c r="P9" i="1000"/>
  <c r="AC9" i="1000" s="1"/>
  <c r="AD9" i="1000" s="1"/>
  <c r="P12" i="1000"/>
  <c r="AC12" i="1000" s="1"/>
  <c r="AD12" i="1000" s="1"/>
  <c r="M18" i="1000"/>
  <c r="AB18" i="1000"/>
  <c r="O19" i="1000"/>
  <c r="AD19" i="1000" s="1"/>
  <c r="P20" i="1000"/>
  <c r="AC20" i="1000" s="1"/>
  <c r="AD20" i="1000" s="1"/>
  <c r="P8" i="1000"/>
  <c r="AC8" i="1000" s="1"/>
  <c r="AD8" i="1000" s="1"/>
  <c r="O18" i="1000"/>
  <c r="M9" i="1000"/>
  <c r="M12" i="1000"/>
  <c r="M20" i="1000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999"/>
  <c r="O20" i="999" s="1"/>
  <c r="L19" i="999"/>
  <c r="L18" i="999"/>
  <c r="L17" i="999"/>
  <c r="K17" i="999" s="1"/>
  <c r="L12" i="999"/>
  <c r="K12" i="999" s="1"/>
  <c r="L10" i="999"/>
  <c r="K10" i="999" s="1"/>
  <c r="L9" i="999"/>
  <c r="K9" i="999" s="1"/>
  <c r="L8" i="999"/>
  <c r="K8" i="999" s="1"/>
  <c r="K20" i="999"/>
  <c r="K19" i="999"/>
  <c r="K18" i="999"/>
  <c r="K16" i="999"/>
  <c r="A74" i="999"/>
  <c r="A75" i="999" s="1"/>
  <c r="A76" i="999" s="1"/>
  <c r="A77" i="999" s="1"/>
  <c r="A78" i="999" s="1"/>
  <c r="A79" i="999" s="1"/>
  <c r="A80" i="999" s="1"/>
  <c r="A81" i="999" s="1"/>
  <c r="AF60" i="999"/>
  <c r="AF59" i="999"/>
  <c r="AF62" i="999" s="1"/>
  <c r="AA21" i="999"/>
  <c r="Z21" i="999"/>
  <c r="Y21" i="999"/>
  <c r="X21" i="999"/>
  <c r="W21" i="999"/>
  <c r="V21" i="999"/>
  <c r="U21" i="999"/>
  <c r="T21" i="999"/>
  <c r="S21" i="999"/>
  <c r="R21" i="999"/>
  <c r="N21" i="999"/>
  <c r="J21" i="999"/>
  <c r="I21" i="999"/>
  <c r="AF20" i="999"/>
  <c r="Q20" i="999"/>
  <c r="AF19" i="999"/>
  <c r="Q19" i="999"/>
  <c r="AB19" i="999"/>
  <c r="AF18" i="999"/>
  <c r="Q18" i="999"/>
  <c r="P18" i="999"/>
  <c r="AC18" i="999" s="1"/>
  <c r="O18" i="999"/>
  <c r="AF17" i="999"/>
  <c r="Q17" i="999"/>
  <c r="P17" i="999" s="1"/>
  <c r="AC17" i="999" s="1"/>
  <c r="O17" i="999"/>
  <c r="M17" i="999"/>
  <c r="AF16" i="999"/>
  <c r="Q16" i="999"/>
  <c r="M16" i="999"/>
  <c r="O16" i="999"/>
  <c r="AF15" i="999"/>
  <c r="AB15" i="999"/>
  <c r="Q15" i="999"/>
  <c r="P15" i="999"/>
  <c r="AC15" i="999" s="1"/>
  <c r="AD15" i="999" s="1"/>
  <c r="O15" i="999"/>
  <c r="M15" i="999"/>
  <c r="K15" i="999"/>
  <c r="AF14" i="999"/>
  <c r="AB14" i="999"/>
  <c r="Q14" i="999"/>
  <c r="P14" i="999"/>
  <c r="AC14" i="999" s="1"/>
  <c r="O14" i="999"/>
  <c r="M14" i="999"/>
  <c r="K14" i="999"/>
  <c r="AF13" i="999"/>
  <c r="AB13" i="999"/>
  <c r="Q13" i="999"/>
  <c r="P13" i="999"/>
  <c r="AC13" i="999" s="1"/>
  <c r="O13" i="999"/>
  <c r="M13" i="999"/>
  <c r="K13" i="999"/>
  <c r="AF12" i="999"/>
  <c r="Q12" i="999"/>
  <c r="P12" i="999" s="1"/>
  <c r="AC12" i="999" s="1"/>
  <c r="AF11" i="999"/>
  <c r="AB11" i="999"/>
  <c r="Q11" i="999"/>
  <c r="P11" i="999"/>
  <c r="AC11" i="999" s="1"/>
  <c r="AD11" i="999" s="1"/>
  <c r="O11" i="999"/>
  <c r="M11" i="999"/>
  <c r="K11" i="999"/>
  <c r="AF10" i="999"/>
  <c r="Q10" i="999"/>
  <c r="P10" i="999"/>
  <c r="AC10" i="999" s="1"/>
  <c r="AF9" i="999"/>
  <c r="Q9" i="999"/>
  <c r="P9" i="999" s="1"/>
  <c r="AC9" i="999" s="1"/>
  <c r="O9" i="999"/>
  <c r="AF8" i="999"/>
  <c r="Q8" i="999"/>
  <c r="O8" i="999"/>
  <c r="M8" i="999"/>
  <c r="AF7" i="999"/>
  <c r="AB7" i="999"/>
  <c r="Q7" i="999"/>
  <c r="P7" i="999"/>
  <c r="AC7" i="999" s="1"/>
  <c r="AD7" i="999" s="1"/>
  <c r="O7" i="999"/>
  <c r="M7" i="999"/>
  <c r="K7" i="999"/>
  <c r="AF6" i="999"/>
  <c r="AB6" i="999"/>
  <c r="Q6" i="999"/>
  <c r="P6" i="999"/>
  <c r="O6" i="999"/>
  <c r="M6" i="999"/>
  <c r="K6" i="999"/>
  <c r="AE10" i="1002" l="1"/>
  <c r="AE16" i="1002"/>
  <c r="AE9" i="1002"/>
  <c r="AE11" i="1002"/>
  <c r="AE7" i="1002"/>
  <c r="AE8" i="1002"/>
  <c r="AE18" i="1002"/>
  <c r="AE17" i="1002"/>
  <c r="AE12" i="1002"/>
  <c r="AE6" i="1002"/>
  <c r="AE20" i="1002"/>
  <c r="AE13" i="1002"/>
  <c r="AE15" i="1002"/>
  <c r="AE19" i="1002"/>
  <c r="AE17" i="1001"/>
  <c r="AE11" i="1001"/>
  <c r="AE8" i="1001"/>
  <c r="AE12" i="1001"/>
  <c r="AE9" i="1001"/>
  <c r="AE20" i="1001"/>
  <c r="AE15" i="1001"/>
  <c r="AE21" i="1001"/>
  <c r="AE18" i="1001"/>
  <c r="AE10" i="1001"/>
  <c r="AE14" i="1001"/>
  <c r="AE7" i="1001"/>
  <c r="AE19" i="1001"/>
  <c r="AE16" i="1001"/>
  <c r="AE6" i="1001"/>
  <c r="AB21" i="1000"/>
  <c r="M21" i="1000"/>
  <c r="AC21" i="1000"/>
  <c r="AD18" i="1000"/>
  <c r="AD21" i="1000" s="1"/>
  <c r="P21" i="1000"/>
  <c r="Q21" i="999"/>
  <c r="L21" i="999"/>
  <c r="O21" i="999" s="1"/>
  <c r="AD14" i="999"/>
  <c r="AD13" i="999"/>
  <c r="P8" i="999"/>
  <c r="AC8" i="999" s="1"/>
  <c r="M10" i="999"/>
  <c r="AB10" i="999"/>
  <c r="P16" i="999"/>
  <c r="AC16" i="999" s="1"/>
  <c r="M18" i="999"/>
  <c r="AB18" i="999"/>
  <c r="AD18" i="999" s="1"/>
  <c r="O19" i="999"/>
  <c r="P20" i="999"/>
  <c r="AC20" i="999" s="1"/>
  <c r="M9" i="999"/>
  <c r="AB9" i="999"/>
  <c r="AD9" i="999" s="1"/>
  <c r="O10" i="999"/>
  <c r="M12" i="999"/>
  <c r="AB12" i="999"/>
  <c r="AB17" i="999"/>
  <c r="AD17" i="999" s="1"/>
  <c r="P19" i="999"/>
  <c r="AC19" i="999" s="1"/>
  <c r="AD19" i="999" s="1"/>
  <c r="AC6" i="999"/>
  <c r="AB8" i="999"/>
  <c r="K21" i="999"/>
  <c r="O12" i="999"/>
  <c r="AB16" i="999"/>
  <c r="M20" i="999"/>
  <c r="AB20" i="999"/>
  <c r="M19" i="999"/>
  <c r="AE18" i="1000" l="1"/>
  <c r="AE15" i="1000"/>
  <c r="AE7" i="1000"/>
  <c r="AE19" i="1000"/>
  <c r="AE11" i="1000"/>
  <c r="AE8" i="1000"/>
  <c r="AE13" i="1000"/>
  <c r="AE20" i="1000"/>
  <c r="AE16" i="1000"/>
  <c r="AE14" i="1000"/>
  <c r="AE12" i="1000"/>
  <c r="AE9" i="1000"/>
  <c r="AE6" i="1000"/>
  <c r="AE17" i="1000"/>
  <c r="AE10" i="1000"/>
  <c r="AD20" i="999"/>
  <c r="AB21" i="999"/>
  <c r="AD12" i="999"/>
  <c r="M21" i="999"/>
  <c r="AD10" i="999"/>
  <c r="AC21" i="999"/>
  <c r="AD6" i="999"/>
  <c r="P21" i="999"/>
  <c r="AD16" i="999"/>
  <c r="AD8" i="999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0" i="998"/>
  <c r="K20" i="998" s="1"/>
  <c r="L19" i="998"/>
  <c r="K19" i="998" s="1"/>
  <c r="L18" i="998"/>
  <c r="K18" i="998" s="1"/>
  <c r="L17" i="998"/>
  <c r="K17" i="998"/>
  <c r="L16" i="998"/>
  <c r="L12" i="998"/>
  <c r="K12" i="998" s="1"/>
  <c r="L10" i="998"/>
  <c r="O10" i="998" s="1"/>
  <c r="L9" i="998"/>
  <c r="L8" i="998"/>
  <c r="K16" i="998"/>
  <c r="K9" i="998"/>
  <c r="K8" i="998"/>
  <c r="K7" i="998"/>
  <c r="A74" i="998"/>
  <c r="A75" i="998" s="1"/>
  <c r="A76" i="998" s="1"/>
  <c r="A77" i="998" s="1"/>
  <c r="A78" i="998" s="1"/>
  <c r="A79" i="998" s="1"/>
  <c r="A80" i="998" s="1"/>
  <c r="A81" i="998" s="1"/>
  <c r="AF60" i="998"/>
  <c r="AF59" i="998"/>
  <c r="AF62" i="998" s="1"/>
  <c r="AA21" i="998"/>
  <c r="Z21" i="998"/>
  <c r="Y21" i="998"/>
  <c r="X21" i="998"/>
  <c r="W21" i="998"/>
  <c r="V21" i="998"/>
  <c r="U21" i="998"/>
  <c r="T21" i="998"/>
  <c r="S21" i="998"/>
  <c r="R21" i="998"/>
  <c r="N21" i="998"/>
  <c r="J21" i="998"/>
  <c r="AF20" i="998"/>
  <c r="Q20" i="998"/>
  <c r="AF19" i="998"/>
  <c r="Q19" i="998"/>
  <c r="P19" i="998" s="1"/>
  <c r="AC19" i="998" s="1"/>
  <c r="O19" i="998"/>
  <c r="AB19" i="998"/>
  <c r="AF18" i="998"/>
  <c r="AB18" i="998"/>
  <c r="Q18" i="998"/>
  <c r="P18" i="998" s="1"/>
  <c r="AC18" i="998" s="1"/>
  <c r="O18" i="998"/>
  <c r="M18" i="998"/>
  <c r="AF17" i="998"/>
  <c r="AB17" i="998"/>
  <c r="Q17" i="998"/>
  <c r="P17" i="998" s="1"/>
  <c r="AC17" i="998" s="1"/>
  <c r="O17" i="998"/>
  <c r="M17" i="998"/>
  <c r="AF16" i="998"/>
  <c r="AB16" i="998"/>
  <c r="Q16" i="998"/>
  <c r="P16" i="998"/>
  <c r="AC16" i="998" s="1"/>
  <c r="AD16" i="998" s="1"/>
  <c r="O16" i="998"/>
  <c r="M16" i="998"/>
  <c r="AF15" i="998"/>
  <c r="AC15" i="998"/>
  <c r="AD15" i="998" s="1"/>
  <c r="AB15" i="998"/>
  <c r="Q15" i="998"/>
  <c r="P15" i="998"/>
  <c r="O15" i="998"/>
  <c r="M15" i="998"/>
  <c r="K15" i="998"/>
  <c r="AF14" i="998"/>
  <c r="AC14" i="998"/>
  <c r="AB14" i="998"/>
  <c r="Q14" i="998"/>
  <c r="P14" i="998"/>
  <c r="O14" i="998"/>
  <c r="M14" i="998"/>
  <c r="K14" i="998"/>
  <c r="AF13" i="998"/>
  <c r="AC13" i="998"/>
  <c r="AB13" i="998"/>
  <c r="Q13" i="998"/>
  <c r="P13" i="998"/>
  <c r="O13" i="998"/>
  <c r="M13" i="998"/>
  <c r="K13" i="998"/>
  <c r="AF12" i="998"/>
  <c r="AB12" i="998"/>
  <c r="Q12" i="998"/>
  <c r="P12" i="998" s="1"/>
  <c r="AC12" i="998" s="1"/>
  <c r="O12" i="998"/>
  <c r="M12" i="998"/>
  <c r="I21" i="998"/>
  <c r="AF11" i="998"/>
  <c r="AB11" i="998"/>
  <c r="Q11" i="998"/>
  <c r="P11" i="998"/>
  <c r="AC11" i="998" s="1"/>
  <c r="AD11" i="998" s="1"/>
  <c r="O11" i="998"/>
  <c r="M11" i="998"/>
  <c r="K11" i="998"/>
  <c r="AF10" i="998"/>
  <c r="Q10" i="998"/>
  <c r="AF9" i="998"/>
  <c r="AB9" i="998"/>
  <c r="Q9" i="998"/>
  <c r="P9" i="998" s="1"/>
  <c r="AC9" i="998" s="1"/>
  <c r="O9" i="998"/>
  <c r="M9" i="998"/>
  <c r="AF8" i="998"/>
  <c r="Q8" i="998"/>
  <c r="P8" i="998"/>
  <c r="AC8" i="998" s="1"/>
  <c r="AF7" i="998"/>
  <c r="AB7" i="998"/>
  <c r="Q7" i="998"/>
  <c r="P7" i="998"/>
  <c r="AC7" i="998" s="1"/>
  <c r="AD7" i="998" s="1"/>
  <c r="O7" i="998"/>
  <c r="M7" i="998"/>
  <c r="AF6" i="998"/>
  <c r="AC6" i="998"/>
  <c r="AB6" i="998"/>
  <c r="Q6" i="998"/>
  <c r="P6" i="998"/>
  <c r="O6" i="998"/>
  <c r="M6" i="998"/>
  <c r="K6" i="998"/>
  <c r="AD21" i="999" l="1"/>
  <c r="AE18" i="999" s="1"/>
  <c r="AD9" i="998"/>
  <c r="AD12" i="998"/>
  <c r="Q21" i="998"/>
  <c r="AD18" i="998"/>
  <c r="P20" i="998"/>
  <c r="AC20" i="998" s="1"/>
  <c r="O20" i="998"/>
  <c r="K10" i="998"/>
  <c r="P10" i="998"/>
  <c r="AC10" i="998" s="1"/>
  <c r="AD13" i="998"/>
  <c r="AD14" i="998"/>
  <c r="AD17" i="998"/>
  <c r="AD19" i="998"/>
  <c r="AB8" i="998"/>
  <c r="AD6" i="998"/>
  <c r="O8" i="998"/>
  <c r="AD8" i="998" s="1"/>
  <c r="M10" i="998"/>
  <c r="AB10" i="998"/>
  <c r="M20" i="998"/>
  <c r="AB20" i="998"/>
  <c r="AD20" i="998" s="1"/>
  <c r="L21" i="998"/>
  <c r="O21" i="998" s="1"/>
  <c r="M8" i="998"/>
  <c r="K21" i="998"/>
  <c r="M19" i="998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997"/>
  <c r="L19" i="997"/>
  <c r="K19" i="997" s="1"/>
  <c r="L16" i="997"/>
  <c r="K16" i="997" s="1"/>
  <c r="L10" i="997"/>
  <c r="K10" i="997" s="1"/>
  <c r="K9" i="997"/>
  <c r="L8" i="997"/>
  <c r="K8" i="997" s="1"/>
  <c r="K20" i="997"/>
  <c r="K7" i="997"/>
  <c r="A74" i="997"/>
  <c r="A75" i="997" s="1"/>
  <c r="A76" i="997" s="1"/>
  <c r="A77" i="997" s="1"/>
  <c r="A78" i="997" s="1"/>
  <c r="A79" i="997" s="1"/>
  <c r="A80" i="997" s="1"/>
  <c r="A81" i="997" s="1"/>
  <c r="AF62" i="997"/>
  <c r="AF60" i="997"/>
  <c r="AF59" i="997"/>
  <c r="AA21" i="997"/>
  <c r="Z21" i="997"/>
  <c r="Y21" i="997"/>
  <c r="X21" i="997"/>
  <c r="W21" i="997"/>
  <c r="V21" i="997"/>
  <c r="U21" i="997"/>
  <c r="T21" i="997"/>
  <c r="S21" i="997"/>
  <c r="R21" i="997"/>
  <c r="N21" i="997"/>
  <c r="J21" i="997"/>
  <c r="AF20" i="997"/>
  <c r="Q20" i="997"/>
  <c r="O20" i="997"/>
  <c r="M20" i="997"/>
  <c r="AB20" i="997"/>
  <c r="AF19" i="997"/>
  <c r="AB19" i="997"/>
  <c r="Q19" i="997"/>
  <c r="P19" i="997" s="1"/>
  <c r="AC19" i="997" s="1"/>
  <c r="M19" i="997"/>
  <c r="AF18" i="997"/>
  <c r="AB18" i="997"/>
  <c r="Q18" i="997"/>
  <c r="P18" i="997"/>
  <c r="AC18" i="997" s="1"/>
  <c r="AD18" i="997" s="1"/>
  <c r="O18" i="997"/>
  <c r="M18" i="997"/>
  <c r="K18" i="997"/>
  <c r="AF17" i="997"/>
  <c r="AB17" i="997"/>
  <c r="Q17" i="997"/>
  <c r="P17" i="997"/>
  <c r="AC17" i="997" s="1"/>
  <c r="AD17" i="997" s="1"/>
  <c r="O17" i="997"/>
  <c r="M17" i="997"/>
  <c r="K17" i="997"/>
  <c r="AF16" i="997"/>
  <c r="Q16" i="997"/>
  <c r="P16" i="997" s="1"/>
  <c r="AC16" i="997" s="1"/>
  <c r="AF15" i="997"/>
  <c r="AB15" i="997"/>
  <c r="Q15" i="997"/>
  <c r="P15" i="997"/>
  <c r="AC15" i="997" s="1"/>
  <c r="O15" i="997"/>
  <c r="M15" i="997"/>
  <c r="K15" i="997"/>
  <c r="AF14" i="997"/>
  <c r="AB14" i="997"/>
  <c r="Q14" i="997"/>
  <c r="P14" i="997"/>
  <c r="AC14" i="997" s="1"/>
  <c r="O14" i="997"/>
  <c r="M14" i="997"/>
  <c r="K14" i="997"/>
  <c r="AF13" i="997"/>
  <c r="AB13" i="997"/>
  <c r="Q13" i="997"/>
  <c r="P13" i="997"/>
  <c r="AC13" i="997" s="1"/>
  <c r="O13" i="997"/>
  <c r="M13" i="997"/>
  <c r="K13" i="997"/>
  <c r="AF12" i="997"/>
  <c r="AB12" i="997"/>
  <c r="Q12" i="997"/>
  <c r="P12" i="997"/>
  <c r="AC12" i="997" s="1"/>
  <c r="AD12" i="997" s="1"/>
  <c r="O12" i="997"/>
  <c r="M12" i="997"/>
  <c r="K12" i="997"/>
  <c r="I12" i="997"/>
  <c r="I21" i="997" s="1"/>
  <c r="AF11" i="997"/>
  <c r="AB11" i="997"/>
  <c r="Q11" i="997"/>
  <c r="P11" i="997"/>
  <c r="AC11" i="997" s="1"/>
  <c r="AD11" i="997" s="1"/>
  <c r="O11" i="997"/>
  <c r="M11" i="997"/>
  <c r="K11" i="997"/>
  <c r="AF10" i="997"/>
  <c r="AB10" i="997"/>
  <c r="Q10" i="997"/>
  <c r="P10" i="997" s="1"/>
  <c r="AC10" i="997" s="1"/>
  <c r="O10" i="997"/>
  <c r="M10" i="997"/>
  <c r="AF9" i="997"/>
  <c r="AB9" i="997"/>
  <c r="Q9" i="997"/>
  <c r="P9" i="997" s="1"/>
  <c r="AC9" i="997" s="1"/>
  <c r="O9" i="997"/>
  <c r="M9" i="997"/>
  <c r="AF8" i="997"/>
  <c r="Q8" i="997"/>
  <c r="M8" i="997"/>
  <c r="AF7" i="997"/>
  <c r="AB7" i="997"/>
  <c r="Q7" i="997"/>
  <c r="O7" i="997"/>
  <c r="M7" i="997"/>
  <c r="AF6" i="997"/>
  <c r="AB6" i="997"/>
  <c r="Q6" i="997"/>
  <c r="P6" i="997"/>
  <c r="O6" i="997"/>
  <c r="M6" i="997"/>
  <c r="K6" i="997"/>
  <c r="AE9" i="999" l="1"/>
  <c r="AE6" i="999"/>
  <c r="AE20" i="999"/>
  <c r="AE19" i="999"/>
  <c r="AE17" i="999"/>
  <c r="AE15" i="999"/>
  <c r="AE12" i="999"/>
  <c r="AE8" i="999"/>
  <c r="AE7" i="999"/>
  <c r="AE10" i="999"/>
  <c r="AE16" i="999"/>
  <c r="AE14" i="999"/>
  <c r="AE11" i="999"/>
  <c r="AE13" i="999"/>
  <c r="AC21" i="998"/>
  <c r="P21" i="998"/>
  <c r="AD10" i="998"/>
  <c r="AD21" i="998" s="1"/>
  <c r="M21" i="998"/>
  <c r="AB21" i="998"/>
  <c r="AD10" i="997"/>
  <c r="AD9" i="997"/>
  <c r="O8" i="997"/>
  <c r="L21" i="997"/>
  <c r="O21" i="997" s="1"/>
  <c r="P8" i="997"/>
  <c r="AC8" i="997" s="1"/>
  <c r="AB8" i="997"/>
  <c r="Q21" i="997"/>
  <c r="AD13" i="997"/>
  <c r="AD15" i="997"/>
  <c r="AD14" i="997"/>
  <c r="AC6" i="997"/>
  <c r="K21" i="997"/>
  <c r="P7" i="997"/>
  <c r="AC7" i="997" s="1"/>
  <c r="AD7" i="997" s="1"/>
  <c r="M16" i="997"/>
  <c r="M21" i="997" s="1"/>
  <c r="AB16" i="997"/>
  <c r="O19" i="997"/>
  <c r="AD19" i="997" s="1"/>
  <c r="P20" i="997"/>
  <c r="AC20" i="997" s="1"/>
  <c r="AD20" i="997" s="1"/>
  <c r="O16" i="997"/>
  <c r="A74" i="996"/>
  <c r="A75" i="996" s="1"/>
  <c r="A76" i="996" s="1"/>
  <c r="A77" i="996" s="1"/>
  <c r="A78" i="996" s="1"/>
  <c r="A79" i="996" s="1"/>
  <c r="A80" i="996" s="1"/>
  <c r="A81" i="996" s="1"/>
  <c r="AF62" i="996"/>
  <c r="AF60" i="996"/>
  <c r="AF59" i="996"/>
  <c r="AE18" i="998" l="1"/>
  <c r="AE16" i="998"/>
  <c r="AE11" i="998"/>
  <c r="AE6" i="998"/>
  <c r="AE14" i="998"/>
  <c r="AE20" i="998"/>
  <c r="AE17" i="998"/>
  <c r="AE7" i="998"/>
  <c r="AE15" i="998"/>
  <c r="AE8" i="998"/>
  <c r="AE19" i="998"/>
  <c r="AE12" i="998"/>
  <c r="AE9" i="998"/>
  <c r="AE10" i="998"/>
  <c r="AE13" i="998"/>
  <c r="AD8" i="997"/>
  <c r="AB21" i="997"/>
  <c r="AD16" i="997"/>
  <c r="AC21" i="997"/>
  <c r="AD6" i="997"/>
  <c r="P21" i="997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0" i="996"/>
  <c r="K20" i="996" s="1"/>
  <c r="L19" i="996"/>
  <c r="L16" i="996"/>
  <c r="K16" i="996" s="1"/>
  <c r="L10" i="996"/>
  <c r="L8" i="996"/>
  <c r="K8" i="996" s="1"/>
  <c r="L7" i="996"/>
  <c r="K7" i="996" s="1"/>
  <c r="K19" i="996"/>
  <c r="K18" i="996"/>
  <c r="K17" i="996"/>
  <c r="K13" i="996"/>
  <c r="K11" i="996"/>
  <c r="K9" i="996"/>
  <c r="AA21" i="996"/>
  <c r="Z21" i="996"/>
  <c r="Y21" i="996"/>
  <c r="X21" i="996"/>
  <c r="W21" i="996"/>
  <c r="V21" i="996"/>
  <c r="U21" i="996"/>
  <c r="T21" i="996"/>
  <c r="S21" i="996"/>
  <c r="R21" i="996"/>
  <c r="N21" i="996"/>
  <c r="J21" i="996"/>
  <c r="AF20" i="996"/>
  <c r="Q20" i="996"/>
  <c r="O20" i="996"/>
  <c r="M20" i="996"/>
  <c r="AB20" i="996"/>
  <c r="AF19" i="996"/>
  <c r="AB19" i="996"/>
  <c r="Q19" i="996"/>
  <c r="M19" i="996"/>
  <c r="P19" i="996"/>
  <c r="AC19" i="996" s="1"/>
  <c r="AF18" i="996"/>
  <c r="Q18" i="996"/>
  <c r="P18" i="996"/>
  <c r="AC18" i="996" s="1"/>
  <c r="AF17" i="996"/>
  <c r="Q17" i="996"/>
  <c r="P17" i="996"/>
  <c r="AC17" i="996" s="1"/>
  <c r="M17" i="996"/>
  <c r="O17" i="996"/>
  <c r="AF16" i="996"/>
  <c r="Q16" i="996"/>
  <c r="O16" i="996"/>
  <c r="AB16" i="996"/>
  <c r="AF15" i="996"/>
  <c r="AB15" i="996"/>
  <c r="Q15" i="996"/>
  <c r="P15" i="996"/>
  <c r="AC15" i="996" s="1"/>
  <c r="AD15" i="996" s="1"/>
  <c r="O15" i="996"/>
  <c r="M15" i="996"/>
  <c r="K15" i="996"/>
  <c r="AF14" i="996"/>
  <c r="AB14" i="996"/>
  <c r="Q14" i="996"/>
  <c r="P14" i="996"/>
  <c r="AC14" i="996" s="1"/>
  <c r="O14" i="996"/>
  <c r="M14" i="996"/>
  <c r="K14" i="996"/>
  <c r="AF13" i="996"/>
  <c r="Q13" i="996"/>
  <c r="P13" i="996"/>
  <c r="AC13" i="996" s="1"/>
  <c r="M13" i="996"/>
  <c r="AB13" i="996"/>
  <c r="AF12" i="996"/>
  <c r="AB12" i="996"/>
  <c r="Q12" i="996"/>
  <c r="P12" i="996"/>
  <c r="AC12" i="996" s="1"/>
  <c r="AD12" i="996" s="1"/>
  <c r="O12" i="996"/>
  <c r="M12" i="996"/>
  <c r="K12" i="996"/>
  <c r="I12" i="996"/>
  <c r="I21" i="996" s="1"/>
  <c r="AF11" i="996"/>
  <c r="AB11" i="996"/>
  <c r="Q11" i="996"/>
  <c r="P11" i="996"/>
  <c r="AC11" i="996" s="1"/>
  <c r="AD11" i="996" s="1"/>
  <c r="O11" i="996"/>
  <c r="M11" i="996"/>
  <c r="AF10" i="996"/>
  <c r="Q10" i="996"/>
  <c r="AF9" i="996"/>
  <c r="Q9" i="996"/>
  <c r="O9" i="996"/>
  <c r="P9" i="996"/>
  <c r="AC9" i="996" s="1"/>
  <c r="AF8" i="996"/>
  <c r="AB8" i="996"/>
  <c r="Q8" i="996"/>
  <c r="P8" i="996" s="1"/>
  <c r="AC8" i="996" s="1"/>
  <c r="M8" i="996"/>
  <c r="O8" i="996"/>
  <c r="AF7" i="996"/>
  <c r="Q7" i="996"/>
  <c r="O7" i="996"/>
  <c r="AF6" i="996"/>
  <c r="AB6" i="996"/>
  <c r="Q6" i="996"/>
  <c r="P6" i="996"/>
  <c r="O6" i="996"/>
  <c r="M6" i="996"/>
  <c r="K6" i="996"/>
  <c r="AD21" i="997" l="1"/>
  <c r="AE18" i="997" s="1"/>
  <c r="P10" i="996"/>
  <c r="AC10" i="996" s="1"/>
  <c r="AD10" i="996" s="1"/>
  <c r="Q21" i="996"/>
  <c r="AD8" i="996"/>
  <c r="AB10" i="996"/>
  <c r="M10" i="996"/>
  <c r="K10" i="996"/>
  <c r="AD14" i="996"/>
  <c r="AC6" i="996"/>
  <c r="K21" i="996"/>
  <c r="P7" i="996"/>
  <c r="AC7" i="996" s="1"/>
  <c r="M9" i="996"/>
  <c r="AB9" i="996"/>
  <c r="AD9" i="996" s="1"/>
  <c r="O10" i="996"/>
  <c r="O13" i="996"/>
  <c r="AD13" i="996" s="1"/>
  <c r="P16" i="996"/>
  <c r="AC16" i="996" s="1"/>
  <c r="AD16" i="996" s="1"/>
  <c r="M18" i="996"/>
  <c r="AB18" i="996"/>
  <c r="O19" i="996"/>
  <c r="AD19" i="996" s="1"/>
  <c r="P20" i="996"/>
  <c r="AC20" i="996" s="1"/>
  <c r="AD20" i="996" s="1"/>
  <c r="AB17" i="996"/>
  <c r="AD17" i="996" s="1"/>
  <c r="O18" i="996"/>
  <c r="AD18" i="996" s="1"/>
  <c r="M7" i="996"/>
  <c r="AB7" i="996"/>
  <c r="AB21" i="996" s="1"/>
  <c r="M16" i="996"/>
  <c r="L21" i="996"/>
  <c r="O21" i="996" s="1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0" i="995"/>
  <c r="L19" i="995"/>
  <c r="L18" i="995"/>
  <c r="K18" i="995"/>
  <c r="L17" i="995"/>
  <c r="K17" i="995"/>
  <c r="L16" i="995"/>
  <c r="L13" i="995"/>
  <c r="K13" i="995" s="1"/>
  <c r="L10" i="995"/>
  <c r="K10" i="995"/>
  <c r="L9" i="995"/>
  <c r="L8" i="995"/>
  <c r="L7" i="995"/>
  <c r="AE11" i="997" l="1"/>
  <c r="AE15" i="997"/>
  <c r="AE20" i="997"/>
  <c r="AE14" i="997"/>
  <c r="AE17" i="997"/>
  <c r="AE16" i="997"/>
  <c r="AE7" i="997"/>
  <c r="AE6" i="997"/>
  <c r="AE19" i="997"/>
  <c r="AE13" i="997"/>
  <c r="AE12" i="997"/>
  <c r="AE8" i="997"/>
  <c r="AE10" i="997"/>
  <c r="AE9" i="997"/>
  <c r="M21" i="996"/>
  <c r="AD7" i="996"/>
  <c r="P21" i="996"/>
  <c r="AC21" i="996"/>
  <c r="AD6" i="996"/>
  <c r="K20" i="995"/>
  <c r="K19" i="995"/>
  <c r="K16" i="995"/>
  <c r="K12" i="995"/>
  <c r="K11" i="995"/>
  <c r="K9" i="995"/>
  <c r="K8" i="995"/>
  <c r="K7" i="995"/>
  <c r="A75" i="995"/>
  <c r="A76" i="995" s="1"/>
  <c r="A77" i="995" s="1"/>
  <c r="A78" i="995" s="1"/>
  <c r="A79" i="995" s="1"/>
  <c r="A80" i="995" s="1"/>
  <c r="A81" i="995" s="1"/>
  <c r="A74" i="995"/>
  <c r="AF60" i="995"/>
  <c r="AF59" i="995"/>
  <c r="AF62" i="995" s="1"/>
  <c r="AA21" i="995"/>
  <c r="Z21" i="995"/>
  <c r="Y21" i="995"/>
  <c r="X21" i="995"/>
  <c r="W21" i="995"/>
  <c r="V21" i="995"/>
  <c r="U21" i="995"/>
  <c r="T21" i="995"/>
  <c r="S21" i="995"/>
  <c r="R21" i="995"/>
  <c r="N21" i="995"/>
  <c r="J21" i="995"/>
  <c r="AF20" i="995"/>
  <c r="Q20" i="995"/>
  <c r="O20" i="995"/>
  <c r="AF19" i="995"/>
  <c r="AB19" i="995"/>
  <c r="Q19" i="995"/>
  <c r="P19" i="995" s="1"/>
  <c r="AC19" i="995" s="1"/>
  <c r="M19" i="995"/>
  <c r="O19" i="995"/>
  <c r="AF18" i="995"/>
  <c r="Q18" i="995"/>
  <c r="O18" i="995"/>
  <c r="P18" i="995"/>
  <c r="AC18" i="995" s="1"/>
  <c r="AF17" i="995"/>
  <c r="AB17" i="995"/>
  <c r="Q17" i="995"/>
  <c r="P17" i="995" s="1"/>
  <c r="AC17" i="995" s="1"/>
  <c r="O17" i="995"/>
  <c r="M17" i="995"/>
  <c r="AF16" i="995"/>
  <c r="Q16" i="995"/>
  <c r="P16" i="995"/>
  <c r="AC16" i="995" s="1"/>
  <c r="AB16" i="995"/>
  <c r="AF15" i="995"/>
  <c r="AB15" i="995"/>
  <c r="Q15" i="995"/>
  <c r="P15" i="995"/>
  <c r="AC15" i="995" s="1"/>
  <c r="AD15" i="995" s="1"/>
  <c r="O15" i="995"/>
  <c r="M15" i="995"/>
  <c r="K15" i="995"/>
  <c r="AF14" i="995"/>
  <c r="AB14" i="995"/>
  <c r="Q14" i="995"/>
  <c r="P14" i="995"/>
  <c r="AC14" i="995" s="1"/>
  <c r="AD14" i="995" s="1"/>
  <c r="O14" i="995"/>
  <c r="M14" i="995"/>
  <c r="K14" i="995"/>
  <c r="AF13" i="995"/>
  <c r="AB13" i="995"/>
  <c r="Q13" i="995"/>
  <c r="P13" i="995"/>
  <c r="AC13" i="995" s="1"/>
  <c r="O13" i="995"/>
  <c r="M13" i="995"/>
  <c r="AF12" i="995"/>
  <c r="Q12" i="995"/>
  <c r="AB12" i="995"/>
  <c r="I12" i="995"/>
  <c r="I21" i="995" s="1"/>
  <c r="AF11" i="995"/>
  <c r="Q11" i="995"/>
  <c r="AB11" i="995"/>
  <c r="AF10" i="995"/>
  <c r="AB10" i="995"/>
  <c r="Q10" i="995"/>
  <c r="P10" i="995" s="1"/>
  <c r="AC10" i="995" s="1"/>
  <c r="M10" i="995"/>
  <c r="O10" i="995"/>
  <c r="AF9" i="995"/>
  <c r="Q9" i="995"/>
  <c r="O9" i="995"/>
  <c r="P9" i="995"/>
  <c r="AC9" i="995" s="1"/>
  <c r="AF8" i="995"/>
  <c r="AB8" i="995"/>
  <c r="Q8" i="995"/>
  <c r="P8" i="995"/>
  <c r="AC8" i="995" s="1"/>
  <c r="AD8" i="995" s="1"/>
  <c r="O8" i="995"/>
  <c r="M8" i="995"/>
  <c r="AF7" i="995"/>
  <c r="AB7" i="995"/>
  <c r="Q7" i="995"/>
  <c r="P7" i="995" s="1"/>
  <c r="AC7" i="995" s="1"/>
  <c r="M7" i="995"/>
  <c r="L21" i="995"/>
  <c r="O21" i="995" s="1"/>
  <c r="AF6" i="995"/>
  <c r="AC6" i="995"/>
  <c r="AB6" i="995"/>
  <c r="Q6" i="995"/>
  <c r="P6" i="995"/>
  <c r="O6" i="995"/>
  <c r="M6" i="995"/>
  <c r="K6" i="995"/>
  <c r="AD21" i="996" l="1"/>
  <c r="AD19" i="995"/>
  <c r="AD17" i="995"/>
  <c r="Q21" i="995"/>
  <c r="AD13" i="995"/>
  <c r="AD10" i="995"/>
  <c r="O11" i="995"/>
  <c r="O12" i="995"/>
  <c r="O7" i="995"/>
  <c r="AD7" i="995" s="1"/>
  <c r="M9" i="995"/>
  <c r="AB9" i="995"/>
  <c r="AD9" i="995" s="1"/>
  <c r="P11" i="995"/>
  <c r="AC11" i="995" s="1"/>
  <c r="P12" i="995"/>
  <c r="AC12" i="995" s="1"/>
  <c r="O16" i="995"/>
  <c r="AD16" i="995" s="1"/>
  <c r="M18" i="995"/>
  <c r="AB18" i="995"/>
  <c r="AD18" i="995" s="1"/>
  <c r="P20" i="995"/>
  <c r="AC20" i="995" s="1"/>
  <c r="AD6" i="995"/>
  <c r="K21" i="995"/>
  <c r="M11" i="995"/>
  <c r="M12" i="995"/>
  <c r="M20" i="995"/>
  <c r="AB20" i="995"/>
  <c r="M16" i="995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0" i="994"/>
  <c r="K20" i="994" s="1"/>
  <c r="L19" i="994"/>
  <c r="K19" i="994" s="1"/>
  <c r="L18" i="994"/>
  <c r="K18" i="994" s="1"/>
  <c r="L16" i="994"/>
  <c r="K16" i="994" s="1"/>
  <c r="L12" i="994"/>
  <c r="K12" i="994" s="1"/>
  <c r="L11" i="994"/>
  <c r="L10" i="994"/>
  <c r="K10" i="994" s="1"/>
  <c r="L9" i="994"/>
  <c r="L7" i="994"/>
  <c r="K7" i="994" s="1"/>
  <c r="K8" i="994"/>
  <c r="A74" i="994"/>
  <c r="A75" i="994" s="1"/>
  <c r="A76" i="994" s="1"/>
  <c r="A77" i="994" s="1"/>
  <c r="A78" i="994" s="1"/>
  <c r="A79" i="994" s="1"/>
  <c r="A80" i="994" s="1"/>
  <c r="A81" i="994" s="1"/>
  <c r="AF60" i="994"/>
  <c r="AF59" i="994"/>
  <c r="AF62" i="994" s="1"/>
  <c r="AA21" i="994"/>
  <c r="Z21" i="994"/>
  <c r="Y21" i="994"/>
  <c r="X21" i="994"/>
  <c r="W21" i="994"/>
  <c r="V21" i="994"/>
  <c r="U21" i="994"/>
  <c r="T21" i="994"/>
  <c r="S21" i="994"/>
  <c r="R21" i="994"/>
  <c r="N21" i="994"/>
  <c r="J21" i="994"/>
  <c r="AF20" i="994"/>
  <c r="Q20" i="994"/>
  <c r="P20" i="994" s="1"/>
  <c r="AC20" i="994" s="1"/>
  <c r="O20" i="994"/>
  <c r="AF19" i="994"/>
  <c r="Q19" i="994"/>
  <c r="P19" i="994" s="1"/>
  <c r="AC19" i="994" s="1"/>
  <c r="O19" i="994"/>
  <c r="AB19" i="994"/>
  <c r="AF18" i="994"/>
  <c r="AB18" i="994"/>
  <c r="Q18" i="994"/>
  <c r="P18" i="994"/>
  <c r="AC18" i="994" s="1"/>
  <c r="O18" i="994"/>
  <c r="M18" i="994"/>
  <c r="AF17" i="994"/>
  <c r="AB17" i="994"/>
  <c r="Q17" i="994"/>
  <c r="P17" i="994"/>
  <c r="AC17" i="994" s="1"/>
  <c r="AD17" i="994" s="1"/>
  <c r="O17" i="994"/>
  <c r="M17" i="994"/>
  <c r="K17" i="994"/>
  <c r="AF16" i="994"/>
  <c r="AB16" i="994"/>
  <c r="Q16" i="994"/>
  <c r="P16" i="994"/>
  <c r="AC16" i="994" s="1"/>
  <c r="AD16" i="994" s="1"/>
  <c r="O16" i="994"/>
  <c r="M16" i="994"/>
  <c r="AF15" i="994"/>
  <c r="AB15" i="994"/>
  <c r="Q15" i="994"/>
  <c r="P15" i="994"/>
  <c r="AC15" i="994" s="1"/>
  <c r="AD15" i="994" s="1"/>
  <c r="O15" i="994"/>
  <c r="M15" i="994"/>
  <c r="K15" i="994"/>
  <c r="AF14" i="994"/>
  <c r="AB14" i="994"/>
  <c r="Q14" i="994"/>
  <c r="P14" i="994"/>
  <c r="AC14" i="994" s="1"/>
  <c r="O14" i="994"/>
  <c r="M14" i="994"/>
  <c r="K14" i="994"/>
  <c r="AF13" i="994"/>
  <c r="AC13" i="994"/>
  <c r="AD13" i="994" s="1"/>
  <c r="AB13" i="994"/>
  <c r="Q13" i="994"/>
  <c r="P13" i="994"/>
  <c r="O13" i="994"/>
  <c r="M13" i="994"/>
  <c r="K13" i="994"/>
  <c r="AF12" i="994"/>
  <c r="Q12" i="994"/>
  <c r="P12" i="994" s="1"/>
  <c r="AC12" i="994" s="1"/>
  <c r="O12" i="994"/>
  <c r="I12" i="994"/>
  <c r="I21" i="994" s="1"/>
  <c r="AF11" i="994"/>
  <c r="AB11" i="994"/>
  <c r="Q11" i="994"/>
  <c r="P11" i="994" s="1"/>
  <c r="AC11" i="994" s="1"/>
  <c r="O11" i="994"/>
  <c r="M11" i="994"/>
  <c r="K11" i="994"/>
  <c r="AF10" i="994"/>
  <c r="AB10" i="994"/>
  <c r="Q10" i="994"/>
  <c r="P10" i="994" s="1"/>
  <c r="AC10" i="994" s="1"/>
  <c r="O10" i="994"/>
  <c r="M10" i="994"/>
  <c r="AF9" i="994"/>
  <c r="AB9" i="994"/>
  <c r="Q9" i="994"/>
  <c r="P9" i="994" s="1"/>
  <c r="AC9" i="994" s="1"/>
  <c r="O9" i="994"/>
  <c r="M9" i="994"/>
  <c r="K9" i="994"/>
  <c r="AF8" i="994"/>
  <c r="Q8" i="994"/>
  <c r="P8" i="994" s="1"/>
  <c r="AC8" i="994" s="1"/>
  <c r="O8" i="994"/>
  <c r="AB8" i="994"/>
  <c r="AF7" i="994"/>
  <c r="AB7" i="994"/>
  <c r="Q7" i="994"/>
  <c r="P7" i="994" s="1"/>
  <c r="AC7" i="994" s="1"/>
  <c r="O7" i="994"/>
  <c r="M7" i="994"/>
  <c r="AF6" i="994"/>
  <c r="AB6" i="994"/>
  <c r="Q6" i="994"/>
  <c r="P6" i="994"/>
  <c r="AC6" i="994" s="1"/>
  <c r="O6" i="994"/>
  <c r="M6" i="994"/>
  <c r="K6" i="994"/>
  <c r="AE18" i="996" l="1"/>
  <c r="AE12" i="996"/>
  <c r="AE9" i="996"/>
  <c r="AE7" i="996"/>
  <c r="AE19" i="996"/>
  <c r="AE15" i="996"/>
  <c r="AE13" i="996"/>
  <c r="AE10" i="996"/>
  <c r="AE6" i="996"/>
  <c r="AE20" i="996"/>
  <c r="AE16" i="996"/>
  <c r="AE17" i="996"/>
  <c r="AE14" i="996"/>
  <c r="AE11" i="996"/>
  <c r="AE8" i="996"/>
  <c r="AD20" i="995"/>
  <c r="M21" i="995"/>
  <c r="AC21" i="995"/>
  <c r="AB21" i="995"/>
  <c r="AD12" i="995"/>
  <c r="AD11" i="995"/>
  <c r="P21" i="995"/>
  <c r="AD9" i="994"/>
  <c r="Q21" i="994"/>
  <c r="AD10" i="994"/>
  <c r="K21" i="994"/>
  <c r="AD14" i="994"/>
  <c r="AD18" i="994"/>
  <c r="AD7" i="994"/>
  <c r="AD11" i="994"/>
  <c r="AD8" i="994"/>
  <c r="AD19" i="994"/>
  <c r="AC21" i="994"/>
  <c r="AD6" i="994"/>
  <c r="M12" i="994"/>
  <c r="AB12" i="994"/>
  <c r="AD12" i="994" s="1"/>
  <c r="M20" i="994"/>
  <c r="AB20" i="994"/>
  <c r="AD20" i="994" s="1"/>
  <c r="L21" i="994"/>
  <c r="O21" i="994" s="1"/>
  <c r="P21" i="994"/>
  <c r="M8" i="994"/>
  <c r="M19" i="994"/>
  <c r="H17" i="16"/>
  <c r="H16" i="16"/>
  <c r="H15" i="16"/>
  <c r="H14" i="16"/>
  <c r="H13" i="16"/>
  <c r="H9" i="16"/>
  <c r="H8" i="16"/>
  <c r="H7" i="16"/>
  <c r="H6" i="16"/>
  <c r="H5" i="16"/>
  <c r="H4" i="16"/>
  <c r="H3" i="16"/>
  <c r="L20" i="993"/>
  <c r="K20" i="993"/>
  <c r="L19" i="993"/>
  <c r="K19" i="993" s="1"/>
  <c r="L18" i="993"/>
  <c r="K18" i="993" s="1"/>
  <c r="L16" i="993"/>
  <c r="K16" i="993" s="1"/>
  <c r="L12" i="993"/>
  <c r="K12" i="993" s="1"/>
  <c r="K9" i="993"/>
  <c r="L10" i="993"/>
  <c r="K10" i="993" s="1"/>
  <c r="L8" i="993"/>
  <c r="O8" i="993" s="1"/>
  <c r="AF8" i="993"/>
  <c r="Q8" i="993"/>
  <c r="K17" i="993"/>
  <c r="K11" i="993"/>
  <c r="K7" i="993"/>
  <c r="A74" i="993"/>
  <c r="A75" i="993" s="1"/>
  <c r="A76" i="993" s="1"/>
  <c r="A77" i="993" s="1"/>
  <c r="A78" i="993" s="1"/>
  <c r="A79" i="993" s="1"/>
  <c r="A80" i="993" s="1"/>
  <c r="A81" i="993" s="1"/>
  <c r="AF60" i="993"/>
  <c r="AF62" i="993" s="1"/>
  <c r="AF59" i="993"/>
  <c r="AA21" i="993"/>
  <c r="Z21" i="993"/>
  <c r="Y21" i="993"/>
  <c r="X21" i="993"/>
  <c r="W21" i="993"/>
  <c r="V21" i="993"/>
  <c r="U21" i="993"/>
  <c r="T21" i="993"/>
  <c r="S21" i="993"/>
  <c r="R21" i="993"/>
  <c r="N21" i="993"/>
  <c r="J21" i="993"/>
  <c r="AF20" i="993"/>
  <c r="AB20" i="993"/>
  <c r="Q20" i="993"/>
  <c r="P20" i="993" s="1"/>
  <c r="AC20" i="993" s="1"/>
  <c r="O20" i="993"/>
  <c r="M20" i="993"/>
  <c r="AF19" i="993"/>
  <c r="Q19" i="993"/>
  <c r="P19" i="993"/>
  <c r="AC19" i="993" s="1"/>
  <c r="O19" i="993"/>
  <c r="AF18" i="993"/>
  <c r="Q18" i="993"/>
  <c r="AF17" i="993"/>
  <c r="AB17" i="993"/>
  <c r="Q17" i="993"/>
  <c r="P17" i="993"/>
  <c r="AC17" i="993" s="1"/>
  <c r="AD17" i="993" s="1"/>
  <c r="O17" i="993"/>
  <c r="M17" i="993"/>
  <c r="AF16" i="993"/>
  <c r="Q16" i="993"/>
  <c r="AF15" i="993"/>
  <c r="AB15" i="993"/>
  <c r="Q15" i="993"/>
  <c r="P15" i="993"/>
  <c r="AC15" i="993" s="1"/>
  <c r="O15" i="993"/>
  <c r="M15" i="993"/>
  <c r="K15" i="993"/>
  <c r="AF14" i="993"/>
  <c r="AB14" i="993"/>
  <c r="Q14" i="993"/>
  <c r="P14" i="993"/>
  <c r="AC14" i="993" s="1"/>
  <c r="O14" i="993"/>
  <c r="M14" i="993"/>
  <c r="K14" i="993"/>
  <c r="AF13" i="993"/>
  <c r="AB13" i="993"/>
  <c r="Q13" i="993"/>
  <c r="P13" i="993"/>
  <c r="AC13" i="993" s="1"/>
  <c r="AD13" i="993" s="1"/>
  <c r="H10" i="16" s="1"/>
  <c r="O13" i="993"/>
  <c r="M13" i="993"/>
  <c r="K13" i="993"/>
  <c r="AF12" i="993"/>
  <c r="AB12" i="993"/>
  <c r="Q12" i="993"/>
  <c r="P12" i="993"/>
  <c r="AC12" i="993" s="1"/>
  <c r="O12" i="993"/>
  <c r="M12" i="993"/>
  <c r="I12" i="993"/>
  <c r="I21" i="993" s="1"/>
  <c r="AF11" i="993"/>
  <c r="AB11" i="993"/>
  <c r="Q11" i="993"/>
  <c r="P11" i="993"/>
  <c r="AC11" i="993" s="1"/>
  <c r="O11" i="993"/>
  <c r="M11" i="993"/>
  <c r="AF10" i="993"/>
  <c r="AB10" i="993"/>
  <c r="Q10" i="993"/>
  <c r="P10" i="993" s="1"/>
  <c r="AC10" i="993" s="1"/>
  <c r="O10" i="993"/>
  <c r="M10" i="993"/>
  <c r="AF9" i="993"/>
  <c r="AB9" i="993"/>
  <c r="Q9" i="993"/>
  <c r="P9" i="993"/>
  <c r="AC9" i="993" s="1"/>
  <c r="O9" i="993"/>
  <c r="M9" i="993"/>
  <c r="AF7" i="993"/>
  <c r="Q7" i="993"/>
  <c r="P7" i="993"/>
  <c r="AC7" i="993" s="1"/>
  <c r="M7" i="993"/>
  <c r="AF6" i="993"/>
  <c r="AC6" i="993"/>
  <c r="AB6" i="993"/>
  <c r="Q6" i="993"/>
  <c r="P6" i="993"/>
  <c r="O6" i="993"/>
  <c r="M6" i="993"/>
  <c r="K6" i="993"/>
  <c r="AD21" i="995" l="1"/>
  <c r="AE18" i="995" s="1"/>
  <c r="M21" i="994"/>
  <c r="AD21" i="994"/>
  <c r="AB21" i="994"/>
  <c r="AD14" i="993"/>
  <c r="H11" i="16" s="1"/>
  <c r="P18" i="993"/>
  <c r="AC18" i="993" s="1"/>
  <c r="AD18" i="993" s="1"/>
  <c r="O18" i="993"/>
  <c r="AB16" i="993"/>
  <c r="AD10" i="993"/>
  <c r="K8" i="993"/>
  <c r="K21" i="993" s="1"/>
  <c r="L21" i="993"/>
  <c r="O21" i="993" s="1"/>
  <c r="M8" i="993"/>
  <c r="AB8" i="993"/>
  <c r="P8" i="993"/>
  <c r="AC8" i="993" s="1"/>
  <c r="AD8" i="993" s="1"/>
  <c r="Q21" i="993"/>
  <c r="AD11" i="993"/>
  <c r="AD15" i="993"/>
  <c r="H12" i="16" s="1"/>
  <c r="AD20" i="993"/>
  <c r="AD9" i="993"/>
  <c r="AD12" i="993"/>
  <c r="AB7" i="993"/>
  <c r="O16" i="993"/>
  <c r="M19" i="993"/>
  <c r="AB19" i="993"/>
  <c r="AD19" i="993" s="1"/>
  <c r="O7" i="993"/>
  <c r="AD7" i="993" s="1"/>
  <c r="P16" i="993"/>
  <c r="AC16" i="993" s="1"/>
  <c r="M18" i="993"/>
  <c r="AB18" i="993"/>
  <c r="AD6" i="993"/>
  <c r="M16" i="993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9" i="992"/>
  <c r="K19" i="992" s="1"/>
  <c r="L18" i="992"/>
  <c r="K18" i="992" s="1"/>
  <c r="L17" i="992"/>
  <c r="L16" i="992"/>
  <c r="K16" i="992" s="1"/>
  <c r="L12" i="992"/>
  <c r="K11" i="992"/>
  <c r="L9" i="992"/>
  <c r="K9" i="992" s="1"/>
  <c r="L8" i="992"/>
  <c r="L21" i="992" s="1"/>
  <c r="O21" i="992" s="1"/>
  <c r="L7" i="992"/>
  <c r="K17" i="992"/>
  <c r="K12" i="992"/>
  <c r="K8" i="992"/>
  <c r="K7" i="992"/>
  <c r="A74" i="992"/>
  <c r="A75" i="992" s="1"/>
  <c r="A76" i="992" s="1"/>
  <c r="A77" i="992" s="1"/>
  <c r="A78" i="992" s="1"/>
  <c r="A79" i="992" s="1"/>
  <c r="A80" i="992" s="1"/>
  <c r="A81" i="992" s="1"/>
  <c r="AF62" i="992"/>
  <c r="AF60" i="992"/>
  <c r="AF59" i="992"/>
  <c r="AA21" i="992"/>
  <c r="Z21" i="992"/>
  <c r="Y21" i="992"/>
  <c r="X21" i="992"/>
  <c r="W21" i="992"/>
  <c r="V21" i="992"/>
  <c r="U21" i="992"/>
  <c r="T21" i="992"/>
  <c r="S21" i="992"/>
  <c r="R21" i="992"/>
  <c r="N21" i="992"/>
  <c r="J21" i="992"/>
  <c r="AF20" i="992"/>
  <c r="AC20" i="992"/>
  <c r="AD20" i="992" s="1"/>
  <c r="AB20" i="992"/>
  <c r="Q20" i="992"/>
  <c r="P20" i="992"/>
  <c r="O20" i="992"/>
  <c r="M20" i="992"/>
  <c r="K20" i="992"/>
  <c r="AF19" i="992"/>
  <c r="Q19" i="992"/>
  <c r="P19" i="992" s="1"/>
  <c r="AC19" i="992" s="1"/>
  <c r="AF18" i="992"/>
  <c r="AB18" i="992"/>
  <c r="Q18" i="992"/>
  <c r="P18" i="992" s="1"/>
  <c r="AC18" i="992" s="1"/>
  <c r="O18" i="992"/>
  <c r="M18" i="992"/>
  <c r="AF17" i="992"/>
  <c r="AB17" i="992"/>
  <c r="Q17" i="992"/>
  <c r="P17" i="992" s="1"/>
  <c r="AC17" i="992" s="1"/>
  <c r="AD17" i="992" s="1"/>
  <c r="O17" i="992"/>
  <c r="M17" i="992"/>
  <c r="AF16" i="992"/>
  <c r="Q16" i="992"/>
  <c r="P16" i="992" s="1"/>
  <c r="AC16" i="992" s="1"/>
  <c r="AF15" i="992"/>
  <c r="AB15" i="992"/>
  <c r="Q15" i="992"/>
  <c r="P15" i="992"/>
  <c r="AC15" i="992" s="1"/>
  <c r="AD15" i="992" s="1"/>
  <c r="O15" i="992"/>
  <c r="M15" i="992"/>
  <c r="K15" i="992"/>
  <c r="AF14" i="992"/>
  <c r="AB14" i="992"/>
  <c r="Q14" i="992"/>
  <c r="P14" i="992"/>
  <c r="AC14" i="992" s="1"/>
  <c r="AD14" i="992" s="1"/>
  <c r="O14" i="992"/>
  <c r="M14" i="992"/>
  <c r="K14" i="992"/>
  <c r="AF13" i="992"/>
  <c r="AB13" i="992"/>
  <c r="Q13" i="992"/>
  <c r="P13" i="992"/>
  <c r="AC13" i="992" s="1"/>
  <c r="O13" i="992"/>
  <c r="M13" i="992"/>
  <c r="K13" i="992"/>
  <c r="AF12" i="992"/>
  <c r="AB12" i="992"/>
  <c r="Q12" i="992"/>
  <c r="O12" i="992"/>
  <c r="M12" i="992"/>
  <c r="P12" i="992"/>
  <c r="AC12" i="992" s="1"/>
  <c r="AD12" i="992" s="1"/>
  <c r="I12" i="992"/>
  <c r="I21" i="992" s="1"/>
  <c r="AF11" i="992"/>
  <c r="AB11" i="992"/>
  <c r="Q11" i="992"/>
  <c r="P11" i="992" s="1"/>
  <c r="AC11" i="992" s="1"/>
  <c r="O11" i="992"/>
  <c r="M11" i="992"/>
  <c r="AF10" i="992"/>
  <c r="AB10" i="992"/>
  <c r="Q10" i="992"/>
  <c r="P10" i="992"/>
  <c r="AC10" i="992" s="1"/>
  <c r="O10" i="992"/>
  <c r="M10" i="992"/>
  <c r="K10" i="992"/>
  <c r="AF9" i="992"/>
  <c r="AB9" i="992"/>
  <c r="Q9" i="992"/>
  <c r="P9" i="992" s="1"/>
  <c r="AC9" i="992" s="1"/>
  <c r="O9" i="992"/>
  <c r="M9" i="992"/>
  <c r="AF8" i="992"/>
  <c r="Q8" i="992"/>
  <c r="AF7" i="992"/>
  <c r="Q7" i="992"/>
  <c r="P7" i="992"/>
  <c r="AC7" i="992" s="1"/>
  <c r="AF6" i="992"/>
  <c r="AC6" i="992"/>
  <c r="AB6" i="992"/>
  <c r="Q6" i="992"/>
  <c r="P6" i="992"/>
  <c r="O6" i="992"/>
  <c r="M6" i="992"/>
  <c r="K6" i="992"/>
  <c r="AE11" i="995" l="1"/>
  <c r="AE9" i="995"/>
  <c r="AE20" i="995"/>
  <c r="AE19" i="995"/>
  <c r="AE6" i="995"/>
  <c r="AE16" i="995"/>
  <c r="AE12" i="995"/>
  <c r="AE13" i="995"/>
  <c r="AE7" i="995"/>
  <c r="AE15" i="995"/>
  <c r="AE17" i="995"/>
  <c r="AE14" i="995"/>
  <c r="AE8" i="995"/>
  <c r="AE10" i="995"/>
  <c r="AE18" i="994"/>
  <c r="AE15" i="994"/>
  <c r="AE13" i="994"/>
  <c r="AE10" i="994"/>
  <c r="AE7" i="994"/>
  <c r="AE14" i="994"/>
  <c r="AE12" i="994"/>
  <c r="AE11" i="994"/>
  <c r="AE19" i="994"/>
  <c r="AE16" i="994"/>
  <c r="AE8" i="994"/>
  <c r="AE20" i="994"/>
  <c r="AE17" i="994"/>
  <c r="AE9" i="994"/>
  <c r="AE6" i="994"/>
  <c r="AD16" i="993"/>
  <c r="M21" i="993"/>
  <c r="AB21" i="993"/>
  <c r="P21" i="993"/>
  <c r="AD21" i="993"/>
  <c r="AC21" i="993"/>
  <c r="AD9" i="992"/>
  <c r="Q21" i="992"/>
  <c r="AD18" i="992"/>
  <c r="P8" i="992"/>
  <c r="AC8" i="992" s="1"/>
  <c r="AC21" i="992" s="1"/>
  <c r="AD11" i="992"/>
  <c r="AD10" i="992"/>
  <c r="AD13" i="992"/>
  <c r="M16" i="992"/>
  <c r="AB16" i="992"/>
  <c r="M19" i="992"/>
  <c r="AB19" i="992"/>
  <c r="AD19" i="992" s="1"/>
  <c r="AB8" i="992"/>
  <c r="M7" i="992"/>
  <c r="AB7" i="992"/>
  <c r="AD7" i="992" s="1"/>
  <c r="O8" i="992"/>
  <c r="O16" i="992"/>
  <c r="O19" i="992"/>
  <c r="AD6" i="992"/>
  <c r="M8" i="992"/>
  <c r="O7" i="992"/>
  <c r="K21" i="992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19" i="991"/>
  <c r="K19" i="991" s="1"/>
  <c r="K18" i="991"/>
  <c r="L17" i="991"/>
  <c r="L16" i="991"/>
  <c r="L12" i="991"/>
  <c r="K12" i="991" s="1"/>
  <c r="L11" i="991"/>
  <c r="K11" i="991" s="1"/>
  <c r="L8" i="991"/>
  <c r="K8" i="991" s="1"/>
  <c r="L7" i="991"/>
  <c r="K7" i="991" s="1"/>
  <c r="K17" i="991"/>
  <c r="K16" i="991"/>
  <c r="K13" i="991"/>
  <c r="K9" i="991"/>
  <c r="A74" i="991"/>
  <c r="A75" i="991" s="1"/>
  <c r="A76" i="991" s="1"/>
  <c r="A77" i="991" s="1"/>
  <c r="A78" i="991" s="1"/>
  <c r="A79" i="991" s="1"/>
  <c r="A80" i="991" s="1"/>
  <c r="A81" i="991" s="1"/>
  <c r="AF62" i="991"/>
  <c r="AF60" i="991"/>
  <c r="AF59" i="991"/>
  <c r="AA21" i="991"/>
  <c r="Z21" i="991"/>
  <c r="Y21" i="991"/>
  <c r="X21" i="991"/>
  <c r="W21" i="991"/>
  <c r="V21" i="991"/>
  <c r="U21" i="991"/>
  <c r="T21" i="991"/>
  <c r="S21" i="991"/>
  <c r="R21" i="991"/>
  <c r="N21" i="991"/>
  <c r="J21" i="991"/>
  <c r="AF20" i="991"/>
  <c r="AB20" i="991"/>
  <c r="Q20" i="991"/>
  <c r="P20" i="991"/>
  <c r="AC20" i="991" s="1"/>
  <c r="O20" i="991"/>
  <c r="M20" i="991"/>
  <c r="K20" i="991"/>
  <c r="AF19" i="991"/>
  <c r="Q19" i="991"/>
  <c r="M19" i="991"/>
  <c r="AF18" i="991"/>
  <c r="AB18" i="991"/>
  <c r="Q18" i="991"/>
  <c r="P18" i="991" s="1"/>
  <c r="AC18" i="991" s="1"/>
  <c r="O18" i="991"/>
  <c r="M18" i="991"/>
  <c r="AF17" i="991"/>
  <c r="AB17" i="991"/>
  <c r="Q17" i="991"/>
  <c r="P17" i="991" s="1"/>
  <c r="AC17" i="991" s="1"/>
  <c r="O17" i="991"/>
  <c r="M17" i="991"/>
  <c r="AF16" i="991"/>
  <c r="Q16" i="991"/>
  <c r="AF15" i="991"/>
  <c r="AB15" i="991"/>
  <c r="Q15" i="991"/>
  <c r="P15" i="991"/>
  <c r="AC15" i="991" s="1"/>
  <c r="O15" i="991"/>
  <c r="M15" i="991"/>
  <c r="K15" i="991"/>
  <c r="AF14" i="991"/>
  <c r="AB14" i="991"/>
  <c r="Q14" i="991"/>
  <c r="P14" i="991"/>
  <c r="AC14" i="991" s="1"/>
  <c r="AD14" i="991" s="1"/>
  <c r="O14" i="991"/>
  <c r="M14" i="991"/>
  <c r="K14" i="991"/>
  <c r="AF13" i="991"/>
  <c r="Q13" i="991"/>
  <c r="M13" i="991"/>
  <c r="P13" i="991"/>
  <c r="AC13" i="991" s="1"/>
  <c r="AF12" i="991"/>
  <c r="Q12" i="991"/>
  <c r="P12" i="991" s="1"/>
  <c r="AC12" i="991" s="1"/>
  <c r="I12" i="991"/>
  <c r="I21" i="991" s="1"/>
  <c r="AF11" i="991"/>
  <c r="AB11" i="991"/>
  <c r="Q11" i="991"/>
  <c r="P11" i="991" s="1"/>
  <c r="AC11" i="991" s="1"/>
  <c r="O11" i="991"/>
  <c r="M11" i="991"/>
  <c r="AF10" i="991"/>
  <c r="AB10" i="991"/>
  <c r="Q10" i="991"/>
  <c r="P10" i="991"/>
  <c r="AC10" i="991" s="1"/>
  <c r="O10" i="991"/>
  <c r="M10" i="991"/>
  <c r="K10" i="991"/>
  <c r="AF9" i="991"/>
  <c r="Q9" i="991"/>
  <c r="P9" i="991"/>
  <c r="AC9" i="991" s="1"/>
  <c r="AF8" i="991"/>
  <c r="Q8" i="991"/>
  <c r="O8" i="991"/>
  <c r="AF7" i="991"/>
  <c r="AB7" i="991"/>
  <c r="Q7" i="991"/>
  <c r="O7" i="991"/>
  <c r="M7" i="991"/>
  <c r="AF6" i="991"/>
  <c r="AB6" i="991"/>
  <c r="Q6" i="991"/>
  <c r="P6" i="991"/>
  <c r="O6" i="991"/>
  <c r="M6" i="991"/>
  <c r="K6" i="991"/>
  <c r="K15" i="990"/>
  <c r="D17" i="16"/>
  <c r="D12" i="16"/>
  <c r="D8" i="16"/>
  <c r="D3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990"/>
  <c r="K20" i="990" s="1"/>
  <c r="K18" i="990"/>
  <c r="L17" i="990"/>
  <c r="K17" i="990" s="1"/>
  <c r="AF14" i="990"/>
  <c r="Q14" i="990"/>
  <c r="M14" i="990"/>
  <c r="AB14" i="990"/>
  <c r="L13" i="990"/>
  <c r="K13" i="990" s="1"/>
  <c r="I12" i="990"/>
  <c r="L12" i="990"/>
  <c r="L9" i="990"/>
  <c r="K9" i="990" s="1"/>
  <c r="L8" i="990"/>
  <c r="K8" i="990" s="1"/>
  <c r="L7" i="990"/>
  <c r="K7" i="990" s="1"/>
  <c r="K19" i="990"/>
  <c r="K12" i="990"/>
  <c r="K10" i="990"/>
  <c r="A75" i="990"/>
  <c r="A76" i="990" s="1"/>
  <c r="A77" i="990" s="1"/>
  <c r="A78" i="990" s="1"/>
  <c r="A79" i="990" s="1"/>
  <c r="A80" i="990" s="1"/>
  <c r="A81" i="990" s="1"/>
  <c r="A82" i="990" s="1"/>
  <c r="AF61" i="990"/>
  <c r="AF63" i="990" s="1"/>
  <c r="AF60" i="990"/>
  <c r="AA22" i="990"/>
  <c r="Z22" i="990"/>
  <c r="Y22" i="990"/>
  <c r="X22" i="990"/>
  <c r="W22" i="990"/>
  <c r="V22" i="990"/>
  <c r="U22" i="990"/>
  <c r="T22" i="990"/>
  <c r="S22" i="990"/>
  <c r="R22" i="990"/>
  <c r="N22" i="990"/>
  <c r="J22" i="990"/>
  <c r="I22" i="990"/>
  <c r="AF21" i="990"/>
  <c r="AB21" i="990"/>
  <c r="Q21" i="990"/>
  <c r="P21" i="990"/>
  <c r="AC21" i="990" s="1"/>
  <c r="AD21" i="990" s="1"/>
  <c r="O21" i="990"/>
  <c r="M21" i="990"/>
  <c r="K21" i="990"/>
  <c r="AF20" i="990"/>
  <c r="Q20" i="990"/>
  <c r="AF19" i="990"/>
  <c r="Q19" i="990"/>
  <c r="O19" i="990"/>
  <c r="P19" i="990"/>
  <c r="AC19" i="990" s="1"/>
  <c r="AF18" i="990"/>
  <c r="AB18" i="990"/>
  <c r="Q18" i="990"/>
  <c r="P18" i="990" s="1"/>
  <c r="AC18" i="990" s="1"/>
  <c r="AD18" i="990" s="1"/>
  <c r="D14" i="16" s="1"/>
  <c r="O18" i="990"/>
  <c r="M18" i="990"/>
  <c r="AF17" i="990"/>
  <c r="Q17" i="990"/>
  <c r="AF16" i="990"/>
  <c r="AB16" i="990"/>
  <c r="Q16" i="990"/>
  <c r="P16" i="990"/>
  <c r="AC16" i="990" s="1"/>
  <c r="O16" i="990"/>
  <c r="M16" i="990"/>
  <c r="K16" i="990"/>
  <c r="AF15" i="990"/>
  <c r="AB15" i="990"/>
  <c r="Q15" i="990"/>
  <c r="P15" i="990" s="1"/>
  <c r="AC15" i="990" s="1"/>
  <c r="AD15" i="990" s="1"/>
  <c r="D11" i="16" s="1"/>
  <c r="O15" i="990"/>
  <c r="M15" i="990"/>
  <c r="AF13" i="990"/>
  <c r="Q13" i="990"/>
  <c r="O13" i="990"/>
  <c r="AF12" i="990"/>
  <c r="Q12" i="990"/>
  <c r="AB12" i="990"/>
  <c r="AF11" i="990"/>
  <c r="AB11" i="990"/>
  <c r="Q11" i="990"/>
  <c r="P11" i="990"/>
  <c r="AC11" i="990" s="1"/>
  <c r="O11" i="990"/>
  <c r="M11" i="990"/>
  <c r="K11" i="990"/>
  <c r="AF10" i="990"/>
  <c r="AB10" i="990"/>
  <c r="Q10" i="990"/>
  <c r="P10" i="990"/>
  <c r="AC10" i="990" s="1"/>
  <c r="O10" i="990"/>
  <c r="M10" i="990"/>
  <c r="AF9" i="990"/>
  <c r="Q9" i="990"/>
  <c r="AF8" i="990"/>
  <c r="Q8" i="990"/>
  <c r="P8" i="990" s="1"/>
  <c r="AC8" i="990" s="1"/>
  <c r="O8" i="990"/>
  <c r="AB8" i="990"/>
  <c r="AF7" i="990"/>
  <c r="AB7" i="990"/>
  <c r="Q7" i="990"/>
  <c r="P7" i="990" s="1"/>
  <c r="AC7" i="990" s="1"/>
  <c r="O7" i="990"/>
  <c r="M7" i="990"/>
  <c r="L22" i="990"/>
  <c r="O22" i="990" s="1"/>
  <c r="AF6" i="990"/>
  <c r="AB6" i="990"/>
  <c r="Q6" i="990"/>
  <c r="P6" i="990"/>
  <c r="AC6" i="990" s="1"/>
  <c r="O6" i="990"/>
  <c r="M6" i="990"/>
  <c r="K6" i="990"/>
  <c r="AE8" i="993" l="1"/>
  <c r="H18" i="16"/>
  <c r="AE19" i="993"/>
  <c r="AE15" i="993"/>
  <c r="AE13" i="993"/>
  <c r="AE10" i="993"/>
  <c r="AE7" i="993"/>
  <c r="AE16" i="993"/>
  <c r="AE20" i="993"/>
  <c r="AE17" i="993"/>
  <c r="AE14" i="993"/>
  <c r="AE12" i="993"/>
  <c r="AE11" i="993"/>
  <c r="AE9" i="993"/>
  <c r="AE18" i="993"/>
  <c r="AE6" i="993"/>
  <c r="P21" i="992"/>
  <c r="AB21" i="992"/>
  <c r="M21" i="992"/>
  <c r="AD16" i="992"/>
  <c r="AD8" i="992"/>
  <c r="AD21" i="992" s="1"/>
  <c r="Q21" i="991"/>
  <c r="AD10" i="991"/>
  <c r="P16" i="991"/>
  <c r="AC16" i="991" s="1"/>
  <c r="AD17" i="991"/>
  <c r="P19" i="991"/>
  <c r="AC19" i="991" s="1"/>
  <c r="L21" i="991"/>
  <c r="O21" i="991" s="1"/>
  <c r="P8" i="991"/>
  <c r="AC8" i="991" s="1"/>
  <c r="AB8" i="991"/>
  <c r="AD18" i="991"/>
  <c r="AD11" i="991"/>
  <c r="AD15" i="991"/>
  <c r="AD20" i="991"/>
  <c r="AB13" i="991"/>
  <c r="AB19" i="991"/>
  <c r="AC6" i="991"/>
  <c r="K21" i="991"/>
  <c r="P7" i="991"/>
  <c r="AC7" i="991" s="1"/>
  <c r="AD7" i="991" s="1"/>
  <c r="M9" i="991"/>
  <c r="AB9" i="991"/>
  <c r="M12" i="991"/>
  <c r="AB12" i="991"/>
  <c r="O13" i="991"/>
  <c r="M16" i="991"/>
  <c r="AB16" i="991"/>
  <c r="O19" i="991"/>
  <c r="M8" i="991"/>
  <c r="O9" i="991"/>
  <c r="AD9" i="991" s="1"/>
  <c r="O12" i="991"/>
  <c r="O16" i="991"/>
  <c r="P20" i="990"/>
  <c r="AC20" i="990" s="1"/>
  <c r="M20" i="990"/>
  <c r="O20" i="990"/>
  <c r="P17" i="990"/>
  <c r="AC17" i="990" s="1"/>
  <c r="M17" i="990"/>
  <c r="O17" i="990"/>
  <c r="AB17" i="990"/>
  <c r="Q22" i="990"/>
  <c r="O14" i="990"/>
  <c r="K14" i="990"/>
  <c r="K22" i="990" s="1"/>
  <c r="P14" i="990"/>
  <c r="AC14" i="990" s="1"/>
  <c r="AD14" i="990" s="1"/>
  <c r="AD10" i="990"/>
  <c r="D7" i="16" s="1"/>
  <c r="P13" i="990"/>
  <c r="AC13" i="990" s="1"/>
  <c r="M13" i="990"/>
  <c r="AB13" i="990"/>
  <c r="O9" i="990"/>
  <c r="P9" i="990"/>
  <c r="AC9" i="990" s="1"/>
  <c r="AD16" i="990"/>
  <c r="AD7" i="990"/>
  <c r="D4" i="16" s="1"/>
  <c r="AD11" i="990"/>
  <c r="AD8" i="990"/>
  <c r="D5" i="16" s="1"/>
  <c r="M9" i="990"/>
  <c r="AB9" i="990"/>
  <c r="O12" i="990"/>
  <c r="AB20" i="990"/>
  <c r="AD6" i="990"/>
  <c r="M8" i="990"/>
  <c r="P12" i="990"/>
  <c r="AC12" i="990" s="1"/>
  <c r="M19" i="990"/>
  <c r="AB19" i="990"/>
  <c r="AD19" i="990" s="1"/>
  <c r="D15" i="16" s="1"/>
  <c r="M12" i="990"/>
  <c r="L19" i="989"/>
  <c r="L18" i="989"/>
  <c r="L16" i="989"/>
  <c r="L12" i="989"/>
  <c r="K10" i="989"/>
  <c r="L9" i="989"/>
  <c r="K9" i="989" s="1"/>
  <c r="L8" i="989"/>
  <c r="L7" i="989"/>
  <c r="K7" i="989" s="1"/>
  <c r="K19" i="989"/>
  <c r="K18" i="989"/>
  <c r="K16" i="989"/>
  <c r="K14" i="989"/>
  <c r="K13" i="989"/>
  <c r="K12" i="989"/>
  <c r="K8" i="989"/>
  <c r="A74" i="989"/>
  <c r="A75" i="989" s="1"/>
  <c r="A76" i="989" s="1"/>
  <c r="A77" i="989" s="1"/>
  <c r="A78" i="989" s="1"/>
  <c r="A79" i="989" s="1"/>
  <c r="A80" i="989" s="1"/>
  <c r="A81" i="989" s="1"/>
  <c r="AF62" i="989"/>
  <c r="AF60" i="989"/>
  <c r="AF59" i="989"/>
  <c r="AA21" i="989"/>
  <c r="Z21" i="989"/>
  <c r="Y21" i="989"/>
  <c r="X21" i="989"/>
  <c r="W21" i="989"/>
  <c r="V21" i="989"/>
  <c r="U21" i="989"/>
  <c r="T21" i="989"/>
  <c r="S21" i="989"/>
  <c r="R21" i="989"/>
  <c r="N21" i="989"/>
  <c r="J21" i="989"/>
  <c r="I21" i="989"/>
  <c r="AF20" i="989"/>
  <c r="AB20" i="989"/>
  <c r="Q20" i="989"/>
  <c r="P20" i="989"/>
  <c r="AC20" i="989" s="1"/>
  <c r="O20" i="989"/>
  <c r="M20" i="989"/>
  <c r="K20" i="989"/>
  <c r="AF19" i="989"/>
  <c r="AB19" i="989"/>
  <c r="Q19" i="989"/>
  <c r="P19" i="989" s="1"/>
  <c r="AC19" i="989" s="1"/>
  <c r="O19" i="989"/>
  <c r="M19" i="989"/>
  <c r="AF18" i="989"/>
  <c r="Q18" i="989"/>
  <c r="P18" i="989"/>
  <c r="AC18" i="989" s="1"/>
  <c r="O18" i="989"/>
  <c r="M18" i="989"/>
  <c r="AB18" i="989"/>
  <c r="AF17" i="989"/>
  <c r="AC17" i="989"/>
  <c r="AB17" i="989"/>
  <c r="Q17" i="989"/>
  <c r="P17" i="989"/>
  <c r="O17" i="989"/>
  <c r="M17" i="989"/>
  <c r="K17" i="989"/>
  <c r="AF16" i="989"/>
  <c r="Q16" i="989"/>
  <c r="P16" i="989" s="1"/>
  <c r="AC16" i="989" s="1"/>
  <c r="AF15" i="989"/>
  <c r="AB15" i="989"/>
  <c r="Q15" i="989"/>
  <c r="P15" i="989"/>
  <c r="AC15" i="989" s="1"/>
  <c r="AD15" i="989" s="1"/>
  <c r="O15" i="989"/>
  <c r="M15" i="989"/>
  <c r="K15" i="989"/>
  <c r="AF14" i="989"/>
  <c r="AB14" i="989"/>
  <c r="Q14" i="989"/>
  <c r="P14" i="989" s="1"/>
  <c r="AC14" i="989" s="1"/>
  <c r="O14" i="989"/>
  <c r="M14" i="989"/>
  <c r="AF13" i="989"/>
  <c r="Q13" i="989"/>
  <c r="P13" i="989"/>
  <c r="AC13" i="989" s="1"/>
  <c r="O13" i="989"/>
  <c r="AB13" i="989"/>
  <c r="AF12" i="989"/>
  <c r="AB12" i="989"/>
  <c r="Q12" i="989"/>
  <c r="P12" i="989" s="1"/>
  <c r="AC12" i="989" s="1"/>
  <c r="O12" i="989"/>
  <c r="M12" i="989"/>
  <c r="AF11" i="989"/>
  <c r="AB11" i="989"/>
  <c r="Q11" i="989"/>
  <c r="P11" i="989"/>
  <c r="AC11" i="989" s="1"/>
  <c r="AD11" i="989" s="1"/>
  <c r="O11" i="989"/>
  <c r="M11" i="989"/>
  <c r="K11" i="989"/>
  <c r="AF10" i="989"/>
  <c r="AB10" i="989"/>
  <c r="Q10" i="989"/>
  <c r="P10" i="989"/>
  <c r="AC10" i="989" s="1"/>
  <c r="O10" i="989"/>
  <c r="M10" i="989"/>
  <c r="AF9" i="989"/>
  <c r="AB9" i="989"/>
  <c r="Q9" i="989"/>
  <c r="P9" i="989" s="1"/>
  <c r="AC9" i="989" s="1"/>
  <c r="M9" i="989"/>
  <c r="AF8" i="989"/>
  <c r="Q8" i="989"/>
  <c r="P8" i="989"/>
  <c r="AC8" i="989" s="1"/>
  <c r="AF7" i="989"/>
  <c r="AB7" i="989"/>
  <c r="Q7" i="989"/>
  <c r="P7" i="989"/>
  <c r="AC7" i="989" s="1"/>
  <c r="O7" i="989"/>
  <c r="M7" i="989"/>
  <c r="AF6" i="989"/>
  <c r="AB6" i="989"/>
  <c r="Q6" i="989"/>
  <c r="P6" i="989"/>
  <c r="O6" i="989"/>
  <c r="M6" i="989"/>
  <c r="K6" i="989"/>
  <c r="AE10" i="992" l="1"/>
  <c r="AE17" i="992"/>
  <c r="AE14" i="992"/>
  <c r="AE12" i="992"/>
  <c r="AE11" i="992"/>
  <c r="AE13" i="992"/>
  <c r="AE16" i="992"/>
  <c r="AE8" i="992"/>
  <c r="AE20" i="992"/>
  <c r="AE9" i="992"/>
  <c r="AE6" i="992"/>
  <c r="AE7" i="992"/>
  <c r="AE19" i="992"/>
  <c r="AE18" i="992"/>
  <c r="AE15" i="992"/>
  <c r="AD8" i="991"/>
  <c r="AB21" i="991"/>
  <c r="M21" i="991"/>
  <c r="AD19" i="991"/>
  <c r="AD12" i="991"/>
  <c r="AD13" i="991"/>
  <c r="P21" i="991"/>
  <c r="AD16" i="991"/>
  <c r="AC21" i="991"/>
  <c r="AD6" i="991"/>
  <c r="AD17" i="990"/>
  <c r="D13" i="16" s="1"/>
  <c r="AD20" i="990"/>
  <c r="D16" i="16" s="1"/>
  <c r="AD12" i="990"/>
  <c r="D9" i="16" s="1"/>
  <c r="AD13" i="990"/>
  <c r="D10" i="16" s="1"/>
  <c r="M22" i="990"/>
  <c r="AB22" i="990"/>
  <c r="P22" i="990"/>
  <c r="AC22" i="990"/>
  <c r="AD9" i="990"/>
  <c r="D6" i="16" s="1"/>
  <c r="Q21" i="989"/>
  <c r="AD7" i="989"/>
  <c r="AD14" i="989"/>
  <c r="AD18" i="989"/>
  <c r="AD19" i="989"/>
  <c r="AD10" i="989"/>
  <c r="AD12" i="989"/>
  <c r="AD13" i="989"/>
  <c r="AD17" i="989"/>
  <c r="AD20" i="989"/>
  <c r="P21" i="989"/>
  <c r="AC6" i="989"/>
  <c r="M8" i="989"/>
  <c r="AB8" i="989"/>
  <c r="O9" i="989"/>
  <c r="AD9" i="989" s="1"/>
  <c r="M16" i="989"/>
  <c r="AB16" i="989"/>
  <c r="O8" i="989"/>
  <c r="M13" i="989"/>
  <c r="O16" i="989"/>
  <c r="L21" i="989"/>
  <c r="O21" i="989" s="1"/>
  <c r="K21" i="989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18" i="988"/>
  <c r="K18" i="988" s="1"/>
  <c r="L16" i="988"/>
  <c r="L13" i="988"/>
  <c r="L12" i="988"/>
  <c r="K12" i="988" s="1"/>
  <c r="L9" i="988"/>
  <c r="K9" i="988" s="1"/>
  <c r="L8" i="988"/>
  <c r="K8" i="988" s="1"/>
  <c r="K19" i="988"/>
  <c r="K16" i="988"/>
  <c r="K13" i="988"/>
  <c r="AD21" i="991" l="1"/>
  <c r="AE19" i="991" s="1"/>
  <c r="AD22" i="990"/>
  <c r="AD8" i="989"/>
  <c r="AD16" i="989"/>
  <c r="M21" i="989"/>
  <c r="AC21" i="989"/>
  <c r="AD6" i="989"/>
  <c r="AB21" i="989"/>
  <c r="K14" i="988"/>
  <c r="K17" i="988"/>
  <c r="A74" i="988"/>
  <c r="A75" i="988" s="1"/>
  <c r="A76" i="988" s="1"/>
  <c r="A77" i="988" s="1"/>
  <c r="A78" i="988" s="1"/>
  <c r="A79" i="988" s="1"/>
  <c r="A80" i="988" s="1"/>
  <c r="A81" i="988" s="1"/>
  <c r="AF62" i="988"/>
  <c r="AF60" i="988"/>
  <c r="AF59" i="988"/>
  <c r="AA21" i="988"/>
  <c r="Z21" i="988"/>
  <c r="Y21" i="988"/>
  <c r="X21" i="988"/>
  <c r="W21" i="988"/>
  <c r="V21" i="988"/>
  <c r="U21" i="988"/>
  <c r="T21" i="988"/>
  <c r="S21" i="988"/>
  <c r="R21" i="988"/>
  <c r="N21" i="988"/>
  <c r="J21" i="988"/>
  <c r="I21" i="988"/>
  <c r="AF20" i="988"/>
  <c r="AB20" i="988"/>
  <c r="Q20" i="988"/>
  <c r="P20" i="988"/>
  <c r="AC20" i="988" s="1"/>
  <c r="O20" i="988"/>
  <c r="M20" i="988"/>
  <c r="K20" i="988"/>
  <c r="AF19" i="988"/>
  <c r="Q19" i="988"/>
  <c r="P19" i="988" s="1"/>
  <c r="AC19" i="988" s="1"/>
  <c r="AF18" i="988"/>
  <c r="AB18" i="988"/>
  <c r="Q18" i="988"/>
  <c r="P18" i="988" s="1"/>
  <c r="AC18" i="988" s="1"/>
  <c r="O18" i="988"/>
  <c r="M18" i="988"/>
  <c r="AF17" i="988"/>
  <c r="AB17" i="988"/>
  <c r="Q17" i="988"/>
  <c r="P17" i="988"/>
  <c r="AC17" i="988" s="1"/>
  <c r="O17" i="988"/>
  <c r="M17" i="988"/>
  <c r="AF16" i="988"/>
  <c r="Q16" i="988"/>
  <c r="AF15" i="988"/>
  <c r="AB15" i="988"/>
  <c r="Q15" i="988"/>
  <c r="P15" i="988"/>
  <c r="AC15" i="988" s="1"/>
  <c r="O15" i="988"/>
  <c r="M15" i="988"/>
  <c r="K15" i="988"/>
  <c r="AF14" i="988"/>
  <c r="AB14" i="988"/>
  <c r="Q14" i="988"/>
  <c r="P14" i="988" s="1"/>
  <c r="AC14" i="988" s="1"/>
  <c r="O14" i="988"/>
  <c r="M14" i="988"/>
  <c r="AF13" i="988"/>
  <c r="AB13" i="988"/>
  <c r="Q13" i="988"/>
  <c r="P13" i="988" s="1"/>
  <c r="AC13" i="988" s="1"/>
  <c r="O13" i="988"/>
  <c r="M13" i="988"/>
  <c r="AF12" i="988"/>
  <c r="AB12" i="988"/>
  <c r="Q12" i="988"/>
  <c r="P12" i="988" s="1"/>
  <c r="AC12" i="988" s="1"/>
  <c r="M12" i="988"/>
  <c r="AF11" i="988"/>
  <c r="AB11" i="988"/>
  <c r="Q11" i="988"/>
  <c r="P11" i="988"/>
  <c r="AC11" i="988" s="1"/>
  <c r="O11" i="988"/>
  <c r="M11" i="988"/>
  <c r="K11" i="988"/>
  <c r="AF10" i="988"/>
  <c r="AB10" i="988"/>
  <c r="Q10" i="988"/>
  <c r="P10" i="988"/>
  <c r="AC10" i="988" s="1"/>
  <c r="O10" i="988"/>
  <c r="M10" i="988"/>
  <c r="K10" i="988"/>
  <c r="AF9" i="988"/>
  <c r="Q9" i="988"/>
  <c r="P9" i="988"/>
  <c r="AC9" i="988" s="1"/>
  <c r="AF8" i="988"/>
  <c r="Q8" i="988"/>
  <c r="P8" i="988" s="1"/>
  <c r="AC8" i="988" s="1"/>
  <c r="O8" i="988"/>
  <c r="AF7" i="988"/>
  <c r="AC7" i="988"/>
  <c r="AD7" i="988" s="1"/>
  <c r="AB7" i="988"/>
  <c r="Q7" i="988"/>
  <c r="P7" i="988"/>
  <c r="O7" i="988"/>
  <c r="M7" i="988"/>
  <c r="K7" i="988"/>
  <c r="AF6" i="988"/>
  <c r="AB6" i="988"/>
  <c r="Q6" i="988"/>
  <c r="P6" i="988"/>
  <c r="O6" i="988"/>
  <c r="M6" i="988"/>
  <c r="K6" i="988"/>
  <c r="AE9" i="991" l="1"/>
  <c r="AE11" i="991"/>
  <c r="AE8" i="991"/>
  <c r="AE10" i="991"/>
  <c r="AE7" i="991"/>
  <c r="AE12" i="991"/>
  <c r="AE6" i="991"/>
  <c r="AE18" i="991"/>
  <c r="AE16" i="991"/>
  <c r="AE20" i="991"/>
  <c r="AE14" i="991"/>
  <c r="AE13" i="991"/>
  <c r="AE15" i="991"/>
  <c r="AE17" i="991"/>
  <c r="AE14" i="990"/>
  <c r="D18" i="16"/>
  <c r="AE8" i="990"/>
  <c r="AE6" i="990"/>
  <c r="AE18" i="990"/>
  <c r="AE11" i="990"/>
  <c r="AE10" i="990"/>
  <c r="AE13" i="990"/>
  <c r="AE12" i="990"/>
  <c r="AE21" i="990"/>
  <c r="AE17" i="990"/>
  <c r="AE19" i="990"/>
  <c r="AE9" i="990"/>
  <c r="AE16" i="990"/>
  <c r="AE7" i="990"/>
  <c r="AE15" i="990"/>
  <c r="AE20" i="990"/>
  <c r="AD21" i="989"/>
  <c r="AE14" i="989" s="1"/>
  <c r="AD14" i="988"/>
  <c r="AD15" i="988"/>
  <c r="AD17" i="988"/>
  <c r="L21" i="988"/>
  <c r="O21" i="988" s="1"/>
  <c r="P16" i="988"/>
  <c r="AC16" i="988" s="1"/>
  <c r="Q21" i="988"/>
  <c r="AD11" i="988"/>
  <c r="AD18" i="988"/>
  <c r="AD10" i="988"/>
  <c r="AD13" i="988"/>
  <c r="AD20" i="988"/>
  <c r="M19" i="988"/>
  <c r="AB19" i="988"/>
  <c r="M9" i="988"/>
  <c r="AB9" i="988"/>
  <c r="O12" i="988"/>
  <c r="AD12" i="988" s="1"/>
  <c r="M16" i="988"/>
  <c r="AB16" i="988"/>
  <c r="O19" i="988"/>
  <c r="AC6" i="988"/>
  <c r="M8" i="988"/>
  <c r="AB8" i="988"/>
  <c r="O9" i="988"/>
  <c r="K21" i="988"/>
  <c r="O16" i="988"/>
  <c r="AE13" i="989" l="1"/>
  <c r="AE7" i="989"/>
  <c r="AE18" i="989"/>
  <c r="AE17" i="989"/>
  <c r="AE11" i="989"/>
  <c r="AE16" i="989"/>
  <c r="AE6" i="989"/>
  <c r="AE19" i="989"/>
  <c r="AE15" i="989"/>
  <c r="AE12" i="989"/>
  <c r="AE9" i="989"/>
  <c r="AE10" i="989"/>
  <c r="AE20" i="989"/>
  <c r="AE8" i="989"/>
  <c r="AD16" i="988"/>
  <c r="AB21" i="988"/>
  <c r="AD19" i="988"/>
  <c r="P21" i="988"/>
  <c r="M21" i="988"/>
  <c r="AD9" i="988"/>
  <c r="AD8" i="988"/>
  <c r="AC21" i="988"/>
  <c r="AD6" i="988"/>
  <c r="AD21" i="988" l="1"/>
  <c r="AE19" i="988" l="1"/>
  <c r="AE9" i="988"/>
  <c r="AE17" i="988"/>
  <c r="AE8" i="988"/>
  <c r="AE6" i="988"/>
  <c r="AE12" i="988"/>
  <c r="AE20" i="988"/>
  <c r="AE16" i="988"/>
  <c r="AE14" i="988"/>
  <c r="AE11" i="988"/>
  <c r="AE13" i="988"/>
  <c r="AE7" i="988"/>
  <c r="AE18" i="988"/>
  <c r="AE15" i="988"/>
  <c r="AE10" i="988"/>
  <c r="AG16" i="16" l="1"/>
  <c r="AG14" i="16"/>
  <c r="AG12" i="16"/>
  <c r="AG10" i="16"/>
  <c r="AG6" i="16"/>
  <c r="AG18" i="16"/>
  <c r="AG17" i="16"/>
  <c r="AG15" i="16"/>
  <c r="AG13" i="16"/>
  <c r="AG11" i="16"/>
  <c r="AG9" i="16"/>
  <c r="AG8" i="16"/>
  <c r="AG7" i="16"/>
  <c r="AG5" i="16"/>
  <c r="AG4" i="16"/>
  <c r="AG3" i="16"/>
</calcChain>
</file>

<file path=xl/sharedStrings.xml><?xml version="1.0" encoding="utf-8"?>
<sst xmlns="http://schemas.openxmlformats.org/spreadsheetml/2006/main" count="5584" uniqueCount="1093">
  <si>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</si>
  <si>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</si>
  <si>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</si>
  <si>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</si>
  <si>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</si>
  <si>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</si>
  <si>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</si>
  <si>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</si>
  <si>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</si>
  <si>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</si>
  <si>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</si>
  <si>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</si>
  <si>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</si>
  <si>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</si>
  <si>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</si>
  <si>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</si>
  <si>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</si>
  <si>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</si>
  <si>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</si>
  <si>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</si>
  <si>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</si>
  <si>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</si>
  <si>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</si>
  <si>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</si>
  <si>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</si>
  <si>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</si>
  <si>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</si>
  <si>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</si>
  <si>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</si>
  <si>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</si>
  <si>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</si>
  <si>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</si>
  <si>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</si>
  <si>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</si>
  <si>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</si>
  <si>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</si>
  <si>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</si>
  <si>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</si>
  <si>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</si>
  <si>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</si>
  <si>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</si>
  <si>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</si>
  <si>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</si>
  <si>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</si>
  <si>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</si>
  <si>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</si>
  <si>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</si>
  <si>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</si>
  <si>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</si>
  <si>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</si>
  <si>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</si>
  <si>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</si>
  <si>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</si>
  <si>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</si>
  <si>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</si>
  <si>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</si>
  <si>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</si>
  <si>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</si>
  <si>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</si>
  <si>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</si>
  <si>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</si>
  <si>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</si>
  <si>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</si>
  <si>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</si>
  <si>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</si>
  <si>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</si>
  <si>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</si>
  <si>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</si>
  <si>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</si>
  <si>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</si>
  <si>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</si>
  <si>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</si>
  <si>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</si>
  <si>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</si>
  <si>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</si>
  <si>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</si>
  <si>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</si>
  <si>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</si>
  <si>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</si>
  <si>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</si>
  <si>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</si>
  <si>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</si>
  <si>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</si>
  <si>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</si>
  <si>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</si>
  <si>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</si>
  <si>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</si>
  <si>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</si>
  <si>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</si>
  <si>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</si>
  <si>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</si>
  <si>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</si>
  <si>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</si>
  <si>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</si>
  <si>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</si>
  <si>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</si>
  <si>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</si>
  <si>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</si>
  <si>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</si>
  <si>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</si>
  <si>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</si>
  <si>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</si>
  <si>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</si>
  <si>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</si>
  <si>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</si>
  <si>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</si>
  <si>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</si>
  <si>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</si>
  <si>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</si>
  <si>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</si>
  <si>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</si>
  <si>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</si>
  <si>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</si>
  <si>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</si>
  <si>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</si>
  <si>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</si>
  <si>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</si>
  <si>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</si>
  <si>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MCS</t>
    <phoneticPr fontId="2" type="noConversion"/>
  </si>
  <si>
    <t>SST</t>
    <phoneticPr fontId="2" type="noConversion"/>
  </si>
  <si>
    <t xml:space="preserve"> 코아파손</t>
    <phoneticPr fontId="2" type="noConversion"/>
  </si>
  <si>
    <t>ACTUATOR</t>
    <phoneticPr fontId="2" type="noConversion"/>
  </si>
  <si>
    <t>BODY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</si>
  <si>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</si>
  <si>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</si>
  <si>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</si>
  <si>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</si>
  <si>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</si>
  <si>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SF2255</t>
    <phoneticPr fontId="2" type="noConversion"/>
  </si>
  <si>
    <t>LEAD GUIDE</t>
    <phoneticPr fontId="2" type="noConversion"/>
  </si>
  <si>
    <t>AMB0114E-JAA-R2</t>
    <phoneticPr fontId="2" type="noConversion"/>
  </si>
  <si>
    <t>테스트</t>
    <phoneticPr fontId="2" type="noConversion"/>
  </si>
  <si>
    <t>LOWER PLATE</t>
    <phoneticPr fontId="2" type="noConversion"/>
  </si>
  <si>
    <t>자동시 형폐안됨</t>
    <phoneticPr fontId="2" type="noConversion"/>
  </si>
  <si>
    <t>입출력카드교환</t>
    <phoneticPr fontId="2" type="noConversion"/>
  </si>
  <si>
    <t>키트</t>
    <phoneticPr fontId="2" type="noConversion"/>
  </si>
  <si>
    <t>대기중</t>
    <phoneticPr fontId="2" type="noConversion"/>
  </si>
  <si>
    <t>9</t>
    <phoneticPr fontId="2" type="noConversion"/>
  </si>
  <si>
    <t>BASE</t>
    <phoneticPr fontId="2" type="noConversion"/>
  </si>
  <si>
    <t>COVER</t>
    <phoneticPr fontId="2" type="noConversion"/>
  </si>
  <si>
    <t>JD4901</t>
    <phoneticPr fontId="2" type="noConversion"/>
  </si>
  <si>
    <t>SST</t>
    <phoneticPr fontId="2" type="noConversion"/>
  </si>
  <si>
    <t>4</t>
    <phoneticPr fontId="2" type="noConversion"/>
  </si>
  <si>
    <t>KR6197AB841CA</t>
    <phoneticPr fontId="2" type="noConversion"/>
  </si>
  <si>
    <t>SF2255</t>
    <phoneticPr fontId="2" type="noConversion"/>
  </si>
  <si>
    <t>KR6197-F841UA</t>
    <phoneticPr fontId="2" type="noConversion"/>
  </si>
  <si>
    <t>MCS</t>
    <phoneticPr fontId="2" type="noConversion"/>
  </si>
  <si>
    <t>SGF2033</t>
    <phoneticPr fontId="2" type="noConversion"/>
  </si>
  <si>
    <t>ADAPTER</t>
    <phoneticPr fontId="2" type="noConversion"/>
  </si>
  <si>
    <t>KR6414-GA414QA</t>
    <phoneticPr fontId="2" type="noConversion"/>
  </si>
  <si>
    <t>SF2255 I/V</t>
    <phoneticPr fontId="2" type="noConversion"/>
  </si>
  <si>
    <t>SLIDER</t>
    <phoneticPr fontId="2" type="noConversion"/>
  </si>
  <si>
    <t>SGF2050 N/P</t>
    <phoneticPr fontId="2" type="noConversion"/>
  </si>
  <si>
    <t xml:space="preserve"> BURR</t>
    <phoneticPr fontId="2" type="noConversion"/>
  </si>
  <si>
    <t>MCS</t>
    <phoneticPr fontId="2" type="noConversion"/>
  </si>
  <si>
    <t>5</t>
    <phoneticPr fontId="2" type="noConversion"/>
  </si>
  <si>
    <t>LATCH</t>
    <phoneticPr fontId="2" type="noConversion"/>
  </si>
  <si>
    <t>SST</t>
    <phoneticPr fontId="2" type="noConversion"/>
  </si>
  <si>
    <t>AYE</t>
    <phoneticPr fontId="2" type="noConversion"/>
  </si>
  <si>
    <t>OKINS</t>
    <phoneticPr fontId="2" type="noConversion"/>
  </si>
  <si>
    <t>4</t>
    <phoneticPr fontId="2" type="noConversion"/>
  </si>
  <si>
    <t>ADAPTER</t>
    <phoneticPr fontId="2" type="noConversion"/>
  </si>
  <si>
    <t>SGP2030R N/P</t>
    <phoneticPr fontId="2" type="noConversion"/>
  </si>
  <si>
    <t>HICON</t>
    <phoneticPr fontId="2" type="noConversion"/>
  </si>
  <si>
    <t>72P</t>
    <phoneticPr fontId="2" type="noConversion"/>
  </si>
  <si>
    <t>KR6182-C624TB</t>
    <phoneticPr fontId="2" type="noConversion"/>
  </si>
  <si>
    <t>KR6197-C841TA</t>
    <phoneticPr fontId="2" type="noConversion"/>
  </si>
  <si>
    <t>SLIDER</t>
    <phoneticPr fontId="2" type="noConversion"/>
  </si>
  <si>
    <t>HSB65-M002A1</t>
    <phoneticPr fontId="2" type="noConversion"/>
  </si>
  <si>
    <t>AMB1904D-KAA-R2</t>
    <phoneticPr fontId="2" type="noConversion"/>
  </si>
  <si>
    <t>NP504-556-126#LB</t>
    <phoneticPr fontId="2" type="noConversion"/>
  </si>
  <si>
    <t>92-178V-LC949B</t>
    <phoneticPr fontId="2" type="noConversion"/>
  </si>
  <si>
    <t>92-178V-AD949C</t>
    <phoneticPr fontId="2" type="noConversion"/>
  </si>
  <si>
    <t>발주분양산</t>
    <phoneticPr fontId="2" type="noConversion"/>
  </si>
  <si>
    <t>KR6710-B016PJA</t>
    <phoneticPr fontId="2" type="noConversion"/>
  </si>
  <si>
    <t>BASE</t>
    <phoneticPr fontId="2" type="noConversion"/>
  </si>
  <si>
    <t>KR6182-A308WA</t>
    <phoneticPr fontId="2" type="noConversion"/>
  </si>
  <si>
    <t>SGF2030</t>
    <phoneticPr fontId="2" type="noConversion"/>
  </si>
  <si>
    <t>AMM0863A-KAA-R2</t>
    <phoneticPr fontId="2" type="noConversion"/>
  </si>
  <si>
    <t>BLUE</t>
    <phoneticPr fontId="2" type="noConversion"/>
  </si>
  <si>
    <t>SST</t>
    <phoneticPr fontId="2" type="noConversion"/>
  </si>
  <si>
    <t>수리후양산</t>
    <phoneticPr fontId="2" type="noConversion"/>
  </si>
  <si>
    <r>
      <t>2017년 08월 01일 일일생산현황</t>
    </r>
    <r>
      <rPr>
        <b/>
        <sz val="14"/>
        <color indexed="8"/>
        <rFont val="굴림체"/>
        <family val="3"/>
        <charset val="129"/>
      </rPr>
      <t>(02일(수) 09시 현재)</t>
    </r>
    <phoneticPr fontId="2" type="noConversion"/>
  </si>
  <si>
    <t>KR6182-B624CB</t>
    <phoneticPr fontId="2" type="noConversion"/>
  </si>
  <si>
    <t>SGF2033</t>
    <phoneticPr fontId="2" type="noConversion"/>
  </si>
  <si>
    <t>ACTUATOR</t>
    <phoneticPr fontId="2" type="noConversion"/>
  </si>
  <si>
    <t>AMB1901D-JAA-R2</t>
    <phoneticPr fontId="2" type="noConversion"/>
  </si>
  <si>
    <t>SGF2030</t>
    <phoneticPr fontId="2" type="noConversion"/>
  </si>
  <si>
    <t>08월 호기별 가동현황</t>
    <phoneticPr fontId="2" type="noConversion"/>
  </si>
  <si>
    <t>전일 ISSUE 사항(01일)</t>
    <phoneticPr fontId="2" type="noConversion"/>
  </si>
  <si>
    <t>KR6182-B624CB</t>
    <phoneticPr fontId="2" type="noConversion"/>
  </si>
  <si>
    <t>발주분양산-&gt;상측박힘정지</t>
    <phoneticPr fontId="2" type="noConversion"/>
  </si>
  <si>
    <t>수리후양산-&gt;코아파손2회정지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</si>
  <si>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</si>
  <si>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</si>
  <si>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</si>
  <si>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</si>
  <si>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</si>
  <si>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</si>
  <si>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</si>
  <si>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발주분양산</t>
    <phoneticPr fontId="2" type="noConversion"/>
  </si>
  <si>
    <t>당일 진행 사항(02일)</t>
    <phoneticPr fontId="2" type="noConversion"/>
  </si>
  <si>
    <t>SLIDER</t>
    <phoneticPr fontId="2" type="noConversion"/>
  </si>
  <si>
    <t>KR6197EA293YA</t>
    <phoneticPr fontId="2" type="noConversion"/>
  </si>
  <si>
    <t>14</t>
    <phoneticPr fontId="2" type="noConversion"/>
  </si>
  <si>
    <t>KR6197AB841CA</t>
    <phoneticPr fontId="2" type="noConversion"/>
  </si>
  <si>
    <t>SAMPLE 진행 사항(01일)</t>
    <phoneticPr fontId="2" type="noConversion"/>
  </si>
  <si>
    <t>AYE</t>
    <phoneticPr fontId="2" type="noConversion"/>
  </si>
  <si>
    <t>ADAPTER</t>
    <phoneticPr fontId="2" type="noConversion"/>
  </si>
  <si>
    <t>NP571-178-025#LB</t>
    <phoneticPr fontId="2" type="noConversion"/>
  </si>
  <si>
    <t>SGP2030R N/P</t>
    <phoneticPr fontId="2" type="noConversion"/>
  </si>
  <si>
    <t>수정</t>
    <phoneticPr fontId="2" type="noConversion"/>
  </si>
  <si>
    <t>상측박힘2회진행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</si>
  <si>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</si>
  <si>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</si>
  <si>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2017년 08월 02일 일일생산현황</t>
    </r>
    <r>
      <rPr>
        <b/>
        <sz val="14"/>
        <color indexed="8"/>
        <rFont val="굴림체"/>
        <family val="3"/>
        <charset val="129"/>
      </rPr>
      <t>(03일(목) 09시 현재)</t>
    </r>
    <phoneticPr fontId="2" type="noConversion"/>
  </si>
  <si>
    <t>STOPPER</t>
    <phoneticPr fontId="2" type="noConversion"/>
  </si>
  <si>
    <t>KR6197-D841PB</t>
    <phoneticPr fontId="2" type="noConversion"/>
  </si>
  <si>
    <t>SF2255</t>
    <phoneticPr fontId="2" type="noConversion"/>
  </si>
  <si>
    <t>SLIDER</t>
    <phoneticPr fontId="2" type="noConversion"/>
  </si>
  <si>
    <t>KR6197EA293YA</t>
    <phoneticPr fontId="2" type="noConversion"/>
  </si>
  <si>
    <t xml:space="preserve">SGF2050 </t>
    <phoneticPr fontId="2" type="noConversion"/>
  </si>
  <si>
    <t>BASE</t>
    <phoneticPr fontId="2" type="noConversion"/>
  </si>
  <si>
    <t>KR6710-B016PJA</t>
    <phoneticPr fontId="2" type="noConversion"/>
  </si>
  <si>
    <t>E488i</t>
    <phoneticPr fontId="2" type="noConversion"/>
  </si>
  <si>
    <t>전일 ISSUE 사항(02일)</t>
    <phoneticPr fontId="2" type="noConversion"/>
  </si>
  <si>
    <t>2</t>
    <phoneticPr fontId="2" type="noConversion"/>
  </si>
  <si>
    <t>STOPPER</t>
    <phoneticPr fontId="2" type="noConversion"/>
  </si>
  <si>
    <t>발주분양산-&gt;BURR정지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</si>
  <si>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</si>
  <si>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</si>
  <si>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</si>
  <si>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발주분양산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</si>
  <si>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</si>
  <si>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</si>
  <si>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</si>
  <si>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AMB0114E-JAA-R2</t>
    <phoneticPr fontId="2" type="noConversion"/>
  </si>
  <si>
    <t>세척후양산-&gt;하측박힘정지</t>
    <phoneticPr fontId="2" type="noConversion"/>
  </si>
  <si>
    <t>14</t>
    <phoneticPr fontId="2" type="noConversion"/>
  </si>
  <si>
    <t>KR6197AB841CA</t>
    <phoneticPr fontId="2" type="noConversion"/>
  </si>
  <si>
    <t>세척후양산-&gt;하측뜯김수리</t>
    <phoneticPr fontId="2" type="noConversion"/>
  </si>
  <si>
    <t>당일 진행 사항(03일)</t>
    <phoneticPr fontId="2" type="noConversion"/>
  </si>
  <si>
    <t>STOPPER</t>
    <phoneticPr fontId="2" type="noConversion"/>
  </si>
  <si>
    <t>KR6197-D841PB</t>
    <phoneticPr fontId="2" type="noConversion"/>
  </si>
  <si>
    <t>수리후양산</t>
    <phoneticPr fontId="2" type="noConversion"/>
  </si>
  <si>
    <t>5</t>
    <phoneticPr fontId="2" type="noConversion"/>
  </si>
  <si>
    <t>KR6710-B016PJA</t>
    <phoneticPr fontId="2" type="noConversion"/>
  </si>
  <si>
    <t>MCS</t>
    <phoneticPr fontId="2" type="noConversion"/>
  </si>
  <si>
    <t>수리후양산</t>
    <phoneticPr fontId="2" type="noConversion"/>
  </si>
  <si>
    <t>SAMPLE 진행 사항(02일)</t>
    <phoneticPr fontId="2" type="noConversion"/>
  </si>
  <si>
    <t>케미텍</t>
    <phoneticPr fontId="2" type="noConversion"/>
  </si>
  <si>
    <t>Z280MM</t>
    <phoneticPr fontId="2" type="noConversion"/>
  </si>
  <si>
    <t>Z280-M10</t>
    <phoneticPr fontId="2" type="noConversion"/>
  </si>
  <si>
    <t>E473i</t>
    <phoneticPr fontId="2" type="noConversion"/>
  </si>
  <si>
    <t>Z280FMFD</t>
    <phoneticPr fontId="2" type="noConversion"/>
  </si>
  <si>
    <t>Z280-F20</t>
    <phoneticPr fontId="2" type="noConversion"/>
  </si>
  <si>
    <t>상측박힘2회진행=&gt;코아파손</t>
    <phoneticPr fontId="2" type="noConversion"/>
  </si>
  <si>
    <t>AMB0230A-KAA-R1</t>
    <phoneticPr fontId="2" type="noConversion"/>
  </si>
  <si>
    <t>신작</t>
    <phoneticPr fontId="2" type="noConversion"/>
  </si>
  <si>
    <t>HICON</t>
    <phoneticPr fontId="2" type="noConversion"/>
  </si>
  <si>
    <t>HSC65-M052A1(B)</t>
    <phoneticPr fontId="2" type="noConversion"/>
  </si>
  <si>
    <t>SGF2030 N/P</t>
    <phoneticPr fontId="2" type="noConversion"/>
  </si>
  <si>
    <t>수정</t>
    <phoneticPr fontId="2" type="noConversion"/>
  </si>
  <si>
    <t>BASE</t>
    <phoneticPr fontId="2" type="noConversion"/>
  </si>
  <si>
    <t>AMB0160A-KAA-R1</t>
    <phoneticPr fontId="2" type="noConversion"/>
  </si>
  <si>
    <t>SF2255</t>
    <phoneticPr fontId="2" type="noConversion"/>
  </si>
  <si>
    <t>ADAPTER</t>
    <phoneticPr fontId="2" type="noConversion"/>
  </si>
  <si>
    <t>AMB07P8A-KAA-R1</t>
    <phoneticPr fontId="2" type="noConversion"/>
  </si>
  <si>
    <t>SF2255 I/V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</si>
  <si>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</si>
  <si>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</si>
  <si>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2017년 08월 03일 일일생산현황</t>
    </r>
    <r>
      <rPr>
        <b/>
        <sz val="14"/>
        <color indexed="8"/>
        <rFont val="굴림체"/>
        <family val="3"/>
        <charset val="129"/>
      </rPr>
      <t>(04일(금) 09시 현재)</t>
    </r>
    <phoneticPr fontId="2" type="noConversion"/>
  </si>
  <si>
    <t>KR6197AC841TA</t>
    <phoneticPr fontId="2" type="noConversion"/>
  </si>
  <si>
    <t>MCS</t>
    <phoneticPr fontId="2" type="noConversion"/>
  </si>
  <si>
    <t>STOPPER</t>
    <phoneticPr fontId="2" type="noConversion"/>
  </si>
  <si>
    <t>AMB0230A-KAA-R1</t>
    <phoneticPr fontId="2" type="noConversion"/>
  </si>
  <si>
    <t>SF2255</t>
    <phoneticPr fontId="2" type="noConversion"/>
  </si>
  <si>
    <t>BASE</t>
    <phoneticPr fontId="2" type="noConversion"/>
  </si>
  <si>
    <t>AMB0160A-KAA-R1</t>
    <phoneticPr fontId="2" type="noConversion"/>
  </si>
  <si>
    <t>IC GUIDE</t>
    <phoneticPr fontId="2" type="noConversion"/>
  </si>
  <si>
    <t>AMB0784A-KAA-R1</t>
    <phoneticPr fontId="2" type="noConversion"/>
  </si>
  <si>
    <t>AMM0840A-KAB-R2</t>
    <phoneticPr fontId="2" type="noConversion"/>
  </si>
  <si>
    <t>PA9T</t>
    <phoneticPr fontId="2" type="noConversion"/>
  </si>
  <si>
    <t>전일 ISSUE 사항(03일)</t>
    <phoneticPr fontId="2" type="noConversion"/>
  </si>
  <si>
    <t>수리후양산</t>
    <phoneticPr fontId="2" type="noConversion"/>
  </si>
  <si>
    <t>3</t>
    <phoneticPr fontId="2" type="noConversion"/>
  </si>
  <si>
    <t>COVER</t>
    <phoneticPr fontId="2" type="noConversion"/>
  </si>
  <si>
    <t>8</t>
    <phoneticPr fontId="2" type="noConversion"/>
  </si>
  <si>
    <t>승인후양산</t>
    <phoneticPr fontId="2" type="noConversion"/>
  </si>
  <si>
    <t>승인후양산</t>
    <phoneticPr fontId="2" type="noConversion"/>
  </si>
  <si>
    <t>9</t>
    <phoneticPr fontId="2" type="noConversion"/>
  </si>
  <si>
    <t>치수NG</t>
    <phoneticPr fontId="2" type="noConversion"/>
  </si>
  <si>
    <t>12</t>
    <phoneticPr fontId="2" type="noConversion"/>
  </si>
  <si>
    <t>IC GUIDE</t>
    <phoneticPr fontId="2" type="noConversion"/>
  </si>
  <si>
    <t>발주분양산-&gt;BURR수리-&gt;가스정지</t>
    <phoneticPr fontId="2" type="noConversion"/>
  </si>
  <si>
    <t>당일 진행 사항(04일)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</si>
  <si>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</si>
  <si>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</si>
  <si>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</si>
  <si>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KR6197EA293YA</t>
    <phoneticPr fontId="2" type="noConversion"/>
  </si>
  <si>
    <t>세척후양산</t>
    <phoneticPr fontId="2" type="noConversion"/>
  </si>
  <si>
    <t>AMB07P8A-KAA-R1</t>
    <phoneticPr fontId="2" type="noConversion"/>
  </si>
  <si>
    <t>MCS</t>
    <phoneticPr fontId="2" type="noConversion"/>
  </si>
  <si>
    <t>6</t>
    <phoneticPr fontId="2" type="noConversion"/>
  </si>
  <si>
    <t>ADAPTER</t>
    <phoneticPr fontId="2" type="noConversion"/>
  </si>
  <si>
    <t>SST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</si>
  <si>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</si>
  <si>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</si>
  <si>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</si>
  <si>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</si>
  <si>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수리후양산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</si>
  <si>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</si>
  <si>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</si>
  <si>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</si>
  <si>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발주분양산</t>
    <phoneticPr fontId="2" type="noConversion"/>
  </si>
  <si>
    <t>SAMPLE 진행 사항(03일)</t>
    <phoneticPr fontId="2" type="noConversion"/>
  </si>
  <si>
    <t>케미텍</t>
    <phoneticPr fontId="2" type="noConversion"/>
  </si>
  <si>
    <t>Z280-ASSY</t>
    <phoneticPr fontId="2" type="noConversion"/>
  </si>
  <si>
    <t>Z280-F40</t>
    <phoneticPr fontId="2" type="noConversion"/>
  </si>
  <si>
    <t>E473i</t>
    <phoneticPr fontId="2" type="noConversion"/>
  </si>
  <si>
    <t>요청</t>
    <phoneticPr fontId="2" type="noConversion"/>
  </si>
  <si>
    <t>ADAPTER</t>
    <phoneticPr fontId="2" type="noConversion"/>
  </si>
  <si>
    <t>SF2255 I/V</t>
    <phoneticPr fontId="2" type="noConversion"/>
  </si>
  <si>
    <t>신작</t>
    <phoneticPr fontId="2" type="noConversion"/>
  </si>
  <si>
    <t>HICON</t>
    <phoneticPr fontId="2" type="noConversion"/>
  </si>
  <si>
    <t>SLIDER</t>
    <phoneticPr fontId="2" type="noConversion"/>
  </si>
  <si>
    <t>HSC65-M052A1</t>
    <phoneticPr fontId="2" type="noConversion"/>
  </si>
  <si>
    <t>SGF2030 N/P</t>
    <phoneticPr fontId="2" type="noConversion"/>
  </si>
  <si>
    <t>수정</t>
    <phoneticPr fontId="2" type="noConversion"/>
  </si>
  <si>
    <t>금형 수리 내역(03일)</t>
    <phoneticPr fontId="2" type="noConversion"/>
  </si>
  <si>
    <t xml:space="preserve"> 가스</t>
    <phoneticPr fontId="2" type="noConversion"/>
  </si>
  <si>
    <t>설비 점검 내역(03일)</t>
    <phoneticPr fontId="2" type="noConversion"/>
  </si>
  <si>
    <r>
      <t>2017년 08월 04일 일일생산현황</t>
    </r>
    <r>
      <rPr>
        <b/>
        <sz val="14"/>
        <color indexed="8"/>
        <rFont val="굴림체"/>
        <family val="3"/>
        <charset val="129"/>
      </rPr>
      <t>(05일(토) 09시 현재)</t>
    </r>
    <phoneticPr fontId="2" type="noConversion"/>
  </si>
  <si>
    <t>SF2255 I/V</t>
    <phoneticPr fontId="2" type="noConversion"/>
  </si>
  <si>
    <t>AMB1922A-KAA-R1</t>
    <phoneticPr fontId="2" type="noConversion"/>
  </si>
  <si>
    <t>전일 ISSUE 사항(04일)</t>
    <phoneticPr fontId="2" type="noConversion"/>
  </si>
  <si>
    <t>코아파손수리후양산-&gt;코아파손정지</t>
    <phoneticPr fontId="2" type="noConversion"/>
  </si>
  <si>
    <t>SLIDER</t>
    <phoneticPr fontId="2" type="noConversion"/>
  </si>
  <si>
    <t>세척후양산-&gt;코아파손</t>
    <phoneticPr fontId="2" type="noConversion"/>
  </si>
  <si>
    <t>이물제거후양산</t>
    <phoneticPr fontId="2" type="noConversion"/>
  </si>
  <si>
    <t>13</t>
    <phoneticPr fontId="2" type="noConversion"/>
  </si>
  <si>
    <t>ACTUATOR</t>
    <phoneticPr fontId="2" type="noConversion"/>
  </si>
  <si>
    <t>발주분양산-&gt;하측박힘정지</t>
    <phoneticPr fontId="2" type="noConversion"/>
  </si>
  <si>
    <t>세척후양산</t>
    <phoneticPr fontId="2" type="noConversion"/>
  </si>
  <si>
    <t>당일 진행 사항(05일)</t>
    <phoneticPr fontId="2" type="noConversion"/>
  </si>
  <si>
    <t>KR6156FA841YA</t>
    <phoneticPr fontId="2" type="noConversion"/>
  </si>
  <si>
    <t>발주분양산</t>
    <phoneticPr fontId="2" type="noConversion"/>
  </si>
  <si>
    <t>SAMPLE 진행 사항(04일)</t>
    <phoneticPr fontId="2" type="noConversion"/>
  </si>
  <si>
    <t>Z280MM</t>
    <phoneticPr fontId="2" type="noConversion"/>
  </si>
  <si>
    <t>Z280-M10</t>
    <phoneticPr fontId="2" type="noConversion"/>
  </si>
  <si>
    <t>AMB1922A-KAA-R1</t>
    <phoneticPr fontId="2" type="noConversion"/>
  </si>
  <si>
    <t>SGF2030</t>
    <phoneticPr fontId="2" type="noConversion"/>
  </si>
  <si>
    <t>K-JR01911-B432AWA</t>
    <phoneticPr fontId="2" type="noConversion"/>
  </si>
  <si>
    <t>SGF2033</t>
    <phoneticPr fontId="2" type="noConversion"/>
  </si>
  <si>
    <t>밀핀파손</t>
    <phoneticPr fontId="2" type="noConversion"/>
  </si>
  <si>
    <t>AYE</t>
    <phoneticPr fontId="2" type="noConversion"/>
  </si>
  <si>
    <t>NP504-556-126#LB</t>
    <phoneticPr fontId="2" type="noConversion"/>
  </si>
  <si>
    <t>SGP2030R N/P</t>
    <phoneticPr fontId="2" type="noConversion"/>
  </si>
  <si>
    <t>금형 수리 내역(04일)</t>
    <phoneticPr fontId="2" type="noConversion"/>
  </si>
  <si>
    <t>KR6197EA293YA</t>
    <phoneticPr fontId="2" type="noConversion"/>
  </si>
  <si>
    <t xml:space="preserve"> 코아파손</t>
    <phoneticPr fontId="2" type="noConversion"/>
  </si>
  <si>
    <t>설비 점검 내역(04일)</t>
    <phoneticPr fontId="2" type="noConversion"/>
  </si>
  <si>
    <r>
      <t>2017년 08월 05일 일일생산현황</t>
    </r>
    <r>
      <rPr>
        <b/>
        <sz val="14"/>
        <color indexed="8"/>
        <rFont val="굴림체"/>
        <family val="3"/>
        <charset val="129"/>
      </rPr>
      <t>(06일(일) 09시 현재)</t>
    </r>
    <phoneticPr fontId="2" type="noConversion"/>
  </si>
  <si>
    <t>KR6156FA841YA</t>
    <phoneticPr fontId="2" type="noConversion"/>
  </si>
  <si>
    <t>AMB1901D-JAA-R2</t>
    <phoneticPr fontId="2" type="noConversion"/>
  </si>
  <si>
    <t>전일 ISSUE 사항(05일)</t>
    <phoneticPr fontId="2" type="noConversion"/>
  </si>
  <si>
    <t>코아파손2회정지</t>
    <phoneticPr fontId="2" type="noConversion"/>
  </si>
  <si>
    <t>KR6156FA841YA</t>
    <phoneticPr fontId="2" type="noConversion"/>
  </si>
  <si>
    <t>발주분양산-&gt;수지박힘정지</t>
    <phoneticPr fontId="2" type="noConversion"/>
  </si>
  <si>
    <t>수리후양산</t>
    <phoneticPr fontId="2" type="noConversion"/>
  </si>
  <si>
    <t>세척후양산-&gt;BURR정지</t>
    <phoneticPr fontId="2" type="noConversion"/>
  </si>
  <si>
    <t>당일 진행 사항(07일)</t>
    <phoneticPr fontId="2" type="noConversion"/>
  </si>
  <si>
    <t>KR6197EA293YA</t>
    <phoneticPr fontId="2" type="noConversion"/>
  </si>
  <si>
    <t>6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</si>
  <si>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</si>
  <si>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</si>
  <si>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</si>
  <si>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</si>
  <si>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</si>
  <si>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</si>
  <si>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SAMPLE 진행 사항(05일)</t>
    <phoneticPr fontId="2" type="noConversion"/>
  </si>
  <si>
    <t>SST</t>
    <phoneticPr fontId="2" type="noConversion"/>
  </si>
  <si>
    <t>BASE</t>
    <phoneticPr fontId="2" type="noConversion"/>
  </si>
  <si>
    <t>K-JR01911-B432AWA</t>
    <phoneticPr fontId="2" type="noConversion"/>
  </si>
  <si>
    <t>K-JR01911-D432AZA</t>
    <phoneticPr fontId="2" type="noConversion"/>
  </si>
  <si>
    <t>SGF2033</t>
    <phoneticPr fontId="2" type="noConversion"/>
  </si>
  <si>
    <t>SGP2020R</t>
    <phoneticPr fontId="2" type="noConversion"/>
  </si>
  <si>
    <t>요청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</si>
  <si>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</si>
  <si>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</si>
  <si>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2017년 08월 07일 일일생산현황</t>
    </r>
    <r>
      <rPr>
        <b/>
        <sz val="14"/>
        <color indexed="8"/>
        <rFont val="굴림체"/>
        <family val="3"/>
        <charset val="129"/>
      </rPr>
      <t>(08일(화) 09시 현재)</t>
    </r>
    <phoneticPr fontId="2" type="noConversion"/>
  </si>
  <si>
    <t>GUIDE</t>
    <phoneticPr fontId="2" type="noConversion"/>
  </si>
  <si>
    <t>A575</t>
    <phoneticPr fontId="2" type="noConversion"/>
  </si>
  <si>
    <t>KR6197EA293YA</t>
    <phoneticPr fontId="2" type="noConversion"/>
  </si>
  <si>
    <t>22P(4P)</t>
    <phoneticPr fontId="2" type="noConversion"/>
  </si>
  <si>
    <t>전일 ISSUE 사항(07일)</t>
    <phoneticPr fontId="2" type="noConversion"/>
  </si>
  <si>
    <t>3</t>
    <phoneticPr fontId="2" type="noConversion"/>
  </si>
  <si>
    <t>수리후양산-&gt;코아파손정지</t>
    <phoneticPr fontId="2" type="noConversion"/>
  </si>
  <si>
    <t>7</t>
    <phoneticPr fontId="2" type="noConversion"/>
  </si>
  <si>
    <t>BODY</t>
    <phoneticPr fontId="2" type="noConversion"/>
  </si>
  <si>
    <t>AMB0114E-JAA-R2</t>
    <phoneticPr fontId="2" type="noConversion"/>
  </si>
  <si>
    <t>6</t>
    <phoneticPr fontId="2" type="noConversion"/>
  </si>
  <si>
    <t>수리후양산-&gt;HOOK BURR정지</t>
    <phoneticPr fontId="2" type="noConversion"/>
  </si>
  <si>
    <t>5</t>
    <phoneticPr fontId="2" type="noConversion"/>
  </si>
  <si>
    <t>3152001</t>
    <phoneticPr fontId="2" type="noConversion"/>
  </si>
  <si>
    <t>발주분양산</t>
    <phoneticPr fontId="2" type="noConversion"/>
  </si>
  <si>
    <t>당일 진행 사항(08일)</t>
    <phoneticPr fontId="2" type="noConversion"/>
  </si>
  <si>
    <t>MCS</t>
    <phoneticPr fontId="2" type="noConversion"/>
  </si>
  <si>
    <t>2</t>
    <phoneticPr fontId="2" type="noConversion"/>
  </si>
  <si>
    <t>SPACER</t>
    <phoneticPr fontId="2" type="noConversion"/>
  </si>
  <si>
    <t>AMB3911/3912A-KAA-R1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</si>
  <si>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</si>
  <si>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</si>
  <si>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</si>
  <si>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SAMPLE 진행 사항(07일)</t>
    <phoneticPr fontId="2" type="noConversion"/>
  </si>
  <si>
    <t>AM0148A-K-R2</t>
    <phoneticPr fontId="2" type="noConversion"/>
  </si>
  <si>
    <t>수정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</si>
  <si>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</si>
  <si>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</si>
  <si>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t>BASE</t>
    <phoneticPr fontId="2" type="noConversion"/>
  </si>
  <si>
    <t>3151001</t>
    <phoneticPr fontId="2" type="noConversion"/>
  </si>
  <si>
    <t>발주분양산</t>
    <phoneticPr fontId="2" type="noConversion"/>
  </si>
  <si>
    <r>
      <t>2017년 08월 08일 일일생산현황</t>
    </r>
    <r>
      <rPr>
        <b/>
        <sz val="14"/>
        <color indexed="8"/>
        <rFont val="굴림체"/>
        <family val="3"/>
        <charset val="129"/>
      </rPr>
      <t>(09일(수) 09시 현재)</t>
    </r>
    <phoneticPr fontId="2" type="noConversion"/>
  </si>
  <si>
    <t>MCS</t>
    <phoneticPr fontId="2" type="noConversion"/>
  </si>
  <si>
    <t>SPACER 1.2</t>
    <phoneticPr fontId="2" type="noConversion"/>
  </si>
  <si>
    <t>AMB3911/3912A</t>
    <phoneticPr fontId="2" type="noConversion"/>
  </si>
  <si>
    <t>BASE</t>
    <phoneticPr fontId="2" type="noConversion"/>
  </si>
  <si>
    <t>전일 ISSUE 사항(08일)</t>
    <phoneticPr fontId="2" type="noConversion"/>
  </si>
  <si>
    <t>수리후양산 2회파손</t>
    <phoneticPr fontId="2" type="noConversion"/>
  </si>
  <si>
    <t>2</t>
    <phoneticPr fontId="2" type="noConversion"/>
  </si>
  <si>
    <t>SPACER1,2</t>
    <phoneticPr fontId="2" type="noConversion"/>
  </si>
  <si>
    <t>발주분양산</t>
    <phoneticPr fontId="2" type="noConversion"/>
  </si>
  <si>
    <t>수리후양산 BURR 2회진행</t>
    <phoneticPr fontId="2" type="noConversion"/>
  </si>
  <si>
    <t>3151001</t>
    <phoneticPr fontId="2" type="noConversion"/>
  </si>
  <si>
    <t>4</t>
    <phoneticPr fontId="2" type="noConversion"/>
  </si>
  <si>
    <t>SLIDER</t>
    <phoneticPr fontId="2" type="noConversion"/>
  </si>
  <si>
    <t>KR6197EA293YA</t>
    <phoneticPr fontId="2" type="noConversion"/>
  </si>
  <si>
    <t>수리후양산</t>
    <phoneticPr fontId="2" type="noConversion"/>
  </si>
  <si>
    <t>14</t>
    <phoneticPr fontId="2" type="noConversion"/>
  </si>
  <si>
    <t>KR6197AB841CA</t>
    <phoneticPr fontId="2" type="noConversion"/>
  </si>
  <si>
    <t>이물제거후양산</t>
    <phoneticPr fontId="2" type="noConversion"/>
  </si>
  <si>
    <t>당일 진행 사항(09일)</t>
    <phoneticPr fontId="2" type="noConversion"/>
  </si>
  <si>
    <t>ODT</t>
    <phoneticPr fontId="2" type="noConversion"/>
  </si>
  <si>
    <t>8</t>
    <phoneticPr fontId="2" type="noConversion"/>
  </si>
  <si>
    <t>COVER</t>
    <phoneticPr fontId="2" type="noConversion"/>
  </si>
  <si>
    <t>SW-003394</t>
    <phoneticPr fontId="2" type="noConversion"/>
  </si>
  <si>
    <t>5</t>
    <phoneticPr fontId="2" type="noConversion"/>
  </si>
  <si>
    <t>SHAFT</t>
    <phoneticPr fontId="2" type="noConversion"/>
  </si>
  <si>
    <t>KR6197-06KA</t>
    <phoneticPr fontId="2" type="noConversion"/>
  </si>
  <si>
    <t>12</t>
    <phoneticPr fontId="2" type="noConversion"/>
  </si>
  <si>
    <t>IC GUIDE</t>
    <phoneticPr fontId="2" type="noConversion"/>
  </si>
  <si>
    <t>AMB07A2A-KAA-R2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</si>
  <si>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</si>
  <si>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</si>
  <si>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</si>
  <si>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2017년 08월 09일 일일생산현황</t>
    </r>
    <r>
      <rPr>
        <b/>
        <sz val="14"/>
        <color indexed="8"/>
        <rFont val="굴림체"/>
        <family val="3"/>
        <charset val="129"/>
      </rPr>
      <t>(10일(목) 09시 현재)</t>
    </r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</si>
  <si>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</si>
  <si>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</si>
  <si>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</si>
  <si>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ODT</t>
    <phoneticPr fontId="2" type="noConversion"/>
  </si>
  <si>
    <t>COVER</t>
    <phoneticPr fontId="2" type="noConversion"/>
  </si>
  <si>
    <t>SW-003184</t>
    <phoneticPr fontId="2" type="noConversion"/>
  </si>
  <si>
    <t>PBT</t>
    <phoneticPr fontId="2" type="noConversion"/>
  </si>
  <si>
    <t>AMB07A2A-KAA-R2</t>
    <phoneticPr fontId="2" type="noConversion"/>
  </si>
  <si>
    <t>COVER</t>
    <phoneticPr fontId="2" type="noConversion"/>
  </si>
  <si>
    <t>SW-003228</t>
    <phoneticPr fontId="2" type="noConversion"/>
  </si>
  <si>
    <t>PC B/K</t>
    <phoneticPr fontId="2" type="noConversion"/>
  </si>
  <si>
    <t>MCS</t>
    <phoneticPr fontId="2" type="noConversion"/>
  </si>
  <si>
    <t>수정</t>
    <phoneticPr fontId="2" type="noConversion"/>
  </si>
  <si>
    <t>전일 ISSUE 사항(10일)</t>
    <phoneticPr fontId="2" type="noConversion"/>
  </si>
  <si>
    <t>수리후양산</t>
    <phoneticPr fontId="2" type="noConversion"/>
  </si>
  <si>
    <t>SST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</si>
  <si>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</si>
  <si>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</si>
  <si>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</si>
  <si>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</si>
  <si>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당일 진행 사항(11일)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</si>
  <si>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</si>
  <si>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</si>
  <si>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</si>
  <si>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세척후양산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</si>
  <si>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</si>
  <si>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</si>
  <si>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</si>
  <si>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HSA65-M002B1-13A</t>
    <phoneticPr fontId="2" type="noConversion"/>
  </si>
  <si>
    <t>발주분양산</t>
    <phoneticPr fontId="2" type="noConversion"/>
  </si>
  <si>
    <t>SAMPLE 진행 사항(10일)</t>
    <phoneticPr fontId="2" type="noConversion"/>
  </si>
  <si>
    <t>ADAPTER</t>
    <phoneticPr fontId="2" type="noConversion"/>
  </si>
  <si>
    <t>AMB07P2A-KAA-R1</t>
    <phoneticPr fontId="2" type="noConversion"/>
  </si>
  <si>
    <t>수정</t>
    <phoneticPr fontId="2" type="noConversion"/>
  </si>
  <si>
    <t>BASE</t>
    <phoneticPr fontId="2" type="noConversion"/>
  </si>
  <si>
    <t>AMB0158A-KAA-R1</t>
    <phoneticPr fontId="2" type="noConversion"/>
  </si>
  <si>
    <t>SGF2050</t>
    <phoneticPr fontId="2" type="noConversion"/>
  </si>
  <si>
    <t>STOPPER</t>
    <phoneticPr fontId="2" type="noConversion"/>
  </si>
  <si>
    <t>AMB0450A-KAA-R1</t>
    <phoneticPr fontId="2" type="noConversion"/>
  </si>
  <si>
    <t>수정</t>
    <phoneticPr fontId="2" type="noConversion"/>
  </si>
  <si>
    <t>미국산(치수NG 2회진행)</t>
    <phoneticPr fontId="2" type="noConversion"/>
  </si>
  <si>
    <t>AMB0159A-KAA-R1</t>
    <phoneticPr fontId="2" type="noConversion"/>
  </si>
  <si>
    <t>SF2255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</si>
  <si>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</si>
  <si>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</si>
  <si>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2017년 08월 10일 일일생산현황</t>
    </r>
    <r>
      <rPr>
        <b/>
        <sz val="14"/>
        <color indexed="8"/>
        <rFont val="굴림체"/>
        <family val="3"/>
        <charset val="129"/>
      </rPr>
      <t>(11일(금) 09시 현재)</t>
    </r>
    <phoneticPr fontId="2" type="noConversion"/>
  </si>
  <si>
    <r>
      <t>2017년 08월 11일 일일생산현황</t>
    </r>
    <r>
      <rPr>
        <b/>
        <sz val="14"/>
        <color indexed="8"/>
        <rFont val="굴림체"/>
        <family val="3"/>
        <charset val="129"/>
      </rPr>
      <t>(12일(토) 09시 현재)</t>
    </r>
    <phoneticPr fontId="2" type="noConversion"/>
  </si>
  <si>
    <t>MCS</t>
    <phoneticPr fontId="2" type="noConversion"/>
  </si>
  <si>
    <t>LEAD GUIDE</t>
    <phoneticPr fontId="2" type="noConversion"/>
  </si>
  <si>
    <t>AMB0414A-KAA-R3</t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</si>
  <si>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</si>
  <si>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</si>
  <si>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</si>
  <si>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SGF2030 N/P</t>
    <phoneticPr fontId="2" type="noConversion"/>
  </si>
  <si>
    <t>전일 ISSUE 사항(11일)</t>
    <phoneticPr fontId="2" type="noConversion"/>
  </si>
  <si>
    <t>MCS</t>
    <phoneticPr fontId="2" type="noConversion"/>
  </si>
  <si>
    <t>발주분양산-&gt;설비이상정지</t>
    <phoneticPr fontId="2" type="noConversion"/>
  </si>
  <si>
    <t>HICON</t>
    <phoneticPr fontId="2" type="noConversion"/>
  </si>
  <si>
    <t>5</t>
    <phoneticPr fontId="2" type="noConversion"/>
  </si>
  <si>
    <t>SLIDER</t>
    <phoneticPr fontId="2" type="noConversion"/>
  </si>
  <si>
    <t>발주분양산</t>
    <phoneticPr fontId="2" type="noConversion"/>
  </si>
  <si>
    <t>SST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</si>
  <si>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</si>
  <si>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</si>
  <si>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</si>
  <si>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이물제거후양산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</si>
  <si>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</si>
  <si>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</si>
  <si>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</si>
  <si>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세척후양산</t>
    <phoneticPr fontId="2" type="noConversion"/>
  </si>
  <si>
    <t>당일 진행 사항(14일)</t>
    <phoneticPr fontId="2" type="noConversion"/>
  </si>
  <si>
    <t>72P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</si>
  <si>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</si>
  <si>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</si>
  <si>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</si>
  <si>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세척후양산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</si>
  <si>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</si>
  <si>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</si>
  <si>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</si>
  <si>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AMB1901D-JAB-R1</t>
    <phoneticPr fontId="2" type="noConversion"/>
  </si>
  <si>
    <t>발주분양산</t>
    <phoneticPr fontId="2" type="noConversion"/>
  </si>
  <si>
    <t>7</t>
    <phoneticPr fontId="2" type="noConversion"/>
  </si>
  <si>
    <t>BODY</t>
    <phoneticPr fontId="2" type="noConversion"/>
  </si>
  <si>
    <t>AMB0114E-JAA-R2</t>
    <phoneticPr fontId="2" type="noConversion"/>
  </si>
  <si>
    <t>4</t>
    <phoneticPr fontId="2" type="noConversion"/>
  </si>
  <si>
    <t>설비수리후양산</t>
    <phoneticPr fontId="2" type="noConversion"/>
  </si>
  <si>
    <t>SAMPLE 진행 사항(11일)</t>
    <phoneticPr fontId="2" type="noConversion"/>
  </si>
  <si>
    <t>COVER</t>
    <phoneticPr fontId="2" type="noConversion"/>
  </si>
  <si>
    <t>AMB0343A-KAA-R1</t>
    <phoneticPr fontId="2" type="noConversion"/>
  </si>
  <si>
    <t>JD4901</t>
    <phoneticPr fontId="2" type="noConversion"/>
  </si>
  <si>
    <t>ACTUATOR</t>
    <phoneticPr fontId="2" type="noConversion"/>
  </si>
  <si>
    <t>AMB1921A-KAA-R1</t>
    <phoneticPr fontId="2" type="noConversion"/>
  </si>
  <si>
    <t>SGF2050 N/P</t>
    <phoneticPr fontId="2" type="noConversion"/>
  </si>
  <si>
    <t>AM0810A-K</t>
    <phoneticPr fontId="2" type="noConversion"/>
  </si>
  <si>
    <t>요청</t>
    <phoneticPr fontId="2" type="noConversion"/>
  </si>
  <si>
    <t>STOPPER</t>
    <phoneticPr fontId="2" type="noConversion"/>
  </si>
  <si>
    <t>KR6182-D624PA</t>
    <phoneticPr fontId="2" type="noConversion"/>
  </si>
  <si>
    <t>상측박힘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</si>
  <si>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</si>
  <si>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</si>
  <si>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2017년 08월 14일 일일생산현황</t>
    </r>
    <r>
      <rPr>
        <b/>
        <sz val="14"/>
        <color indexed="8"/>
        <rFont val="굴림체"/>
        <family val="3"/>
        <charset val="129"/>
      </rPr>
      <t>(15일(화) 09시 현재)</t>
    </r>
    <phoneticPr fontId="2" type="noConversion"/>
  </si>
  <si>
    <t>MCS</t>
    <phoneticPr fontId="2" type="noConversion"/>
  </si>
  <si>
    <t>ACTUATOR</t>
    <phoneticPr fontId="2" type="noConversion"/>
  </si>
  <si>
    <t>AMB1901D-JAB-R1</t>
    <phoneticPr fontId="2" type="noConversion"/>
  </si>
  <si>
    <t>SGF2030</t>
    <phoneticPr fontId="2" type="noConversion"/>
  </si>
  <si>
    <t>전일 ISSUE 사항(14일)</t>
    <phoneticPr fontId="2" type="noConversion"/>
  </si>
  <si>
    <t>수리후양산</t>
    <phoneticPr fontId="2" type="noConversion"/>
  </si>
  <si>
    <t>세척후양산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</si>
  <si>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</si>
  <si>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</si>
  <si>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</si>
  <si>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AMB0114E-JAA-R2</t>
    <phoneticPr fontId="2" type="noConversion"/>
  </si>
  <si>
    <t>72P</t>
    <phoneticPr fontId="2" type="noConversion"/>
  </si>
  <si>
    <t>발주분양산</t>
    <phoneticPr fontId="2" type="noConversion"/>
  </si>
  <si>
    <t>13</t>
    <phoneticPr fontId="2" type="noConversion"/>
  </si>
  <si>
    <t>ACTUATOR</t>
    <phoneticPr fontId="2" type="noConversion"/>
  </si>
  <si>
    <t>발주분양산</t>
    <phoneticPr fontId="2" type="noConversion"/>
  </si>
  <si>
    <t>발주분양산-&gt;BURR2회진행</t>
    <phoneticPr fontId="2" type="noConversion"/>
  </si>
  <si>
    <t>당일 진행 사항(15일)</t>
    <phoneticPr fontId="2" type="noConversion"/>
  </si>
  <si>
    <t>AMB0414A-KAA-R3</t>
    <phoneticPr fontId="2" type="noConversion"/>
  </si>
  <si>
    <t>MCS</t>
    <phoneticPr fontId="2" type="noConversion"/>
  </si>
  <si>
    <t>LEAD GUIDE</t>
    <phoneticPr fontId="2" type="noConversion"/>
  </si>
  <si>
    <t>가스정지</t>
    <phoneticPr fontId="2" type="noConversion"/>
  </si>
  <si>
    <t>KR6197-F841UA</t>
    <phoneticPr fontId="2" type="noConversion"/>
  </si>
  <si>
    <t>SST</t>
    <phoneticPr fontId="2" type="noConversion"/>
  </si>
  <si>
    <t>11</t>
    <phoneticPr fontId="2" type="noConversion"/>
  </si>
  <si>
    <t>미성형정지</t>
    <phoneticPr fontId="2" type="noConversion"/>
  </si>
  <si>
    <t>12</t>
    <phoneticPr fontId="2" type="noConversion"/>
  </si>
  <si>
    <t>F/ADAPTER</t>
    <phoneticPr fontId="2" type="noConversion"/>
  </si>
  <si>
    <t>AMB07A2A-KAA-R1</t>
    <phoneticPr fontId="2" type="noConversion"/>
  </si>
  <si>
    <t>발주분양산</t>
    <phoneticPr fontId="2" type="noConversion"/>
  </si>
  <si>
    <t>12</t>
    <phoneticPr fontId="2" type="noConversion"/>
  </si>
  <si>
    <t>AMB2069C-KAA-R1</t>
    <phoneticPr fontId="2" type="noConversion"/>
  </si>
  <si>
    <t>SAMPLE 진행 사항(14일)</t>
    <phoneticPr fontId="2" type="noConversion"/>
  </si>
  <si>
    <t>코아이상2회진행</t>
    <phoneticPr fontId="2" type="noConversion"/>
  </si>
  <si>
    <t>ADAPTER</t>
    <phoneticPr fontId="2" type="noConversion"/>
  </si>
  <si>
    <t>AMB0798A-KAA-R1</t>
    <phoneticPr fontId="2" type="noConversion"/>
  </si>
  <si>
    <t>SF2255 I/V</t>
    <phoneticPr fontId="2" type="noConversion"/>
  </si>
  <si>
    <t>수정</t>
    <phoneticPr fontId="2" type="noConversion"/>
  </si>
  <si>
    <t>BASE</t>
    <phoneticPr fontId="2" type="noConversion"/>
  </si>
  <si>
    <t>AM0810A-J</t>
    <phoneticPr fontId="2" type="noConversion"/>
  </si>
  <si>
    <t>치수확인</t>
    <phoneticPr fontId="2" type="noConversion"/>
  </si>
  <si>
    <t>코아파손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</si>
  <si>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</si>
  <si>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</si>
  <si>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2017년 08월 15일 일일생산현황</t>
    </r>
    <r>
      <rPr>
        <b/>
        <sz val="14"/>
        <color indexed="8"/>
        <rFont val="굴림체"/>
        <family val="3"/>
        <charset val="129"/>
      </rPr>
      <t>(16일(수) 09시 현재)</t>
    </r>
    <phoneticPr fontId="2" type="noConversion"/>
  </si>
  <si>
    <t>전일 ISSUE 사항(15일)</t>
    <phoneticPr fontId="2" type="noConversion"/>
  </si>
  <si>
    <t>가스정지</t>
    <phoneticPr fontId="2" type="noConversion"/>
  </si>
  <si>
    <t>당일 진행 사항(16일)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</si>
  <si>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</si>
  <si>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</si>
  <si>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</si>
  <si>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SAMPLE 진행 사항(15일)</t>
    <phoneticPr fontId="2" type="noConversion"/>
  </si>
  <si>
    <t>HICON</t>
    <phoneticPr fontId="2" type="noConversion"/>
  </si>
  <si>
    <t>NP504-556-126#LB</t>
    <phoneticPr fontId="2" type="noConversion"/>
  </si>
  <si>
    <t>SGP2030R N/P</t>
    <phoneticPr fontId="2" type="noConversion"/>
  </si>
  <si>
    <t>치수NG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</si>
  <si>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</si>
  <si>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</si>
  <si>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2017년 08월 16일 일일생산현황</t>
    </r>
    <r>
      <rPr>
        <b/>
        <sz val="14"/>
        <color indexed="8"/>
        <rFont val="굴림체"/>
        <family val="3"/>
        <charset val="129"/>
      </rPr>
      <t>(17일(목) 09시 현재)</t>
    </r>
    <phoneticPr fontId="2" type="noConversion"/>
  </si>
  <si>
    <t>전일 ISSUE 사항(16일)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</si>
  <si>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</si>
  <si>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</si>
  <si>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</si>
  <si>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세척후양산</t>
    <phoneticPr fontId="2" type="noConversion"/>
  </si>
  <si>
    <t>LEAD GUIDE</t>
    <phoneticPr fontId="2" type="noConversion"/>
  </si>
  <si>
    <t>세척후양산-&gt;가스정지</t>
    <phoneticPr fontId="2" type="noConversion"/>
  </si>
  <si>
    <t>11</t>
    <phoneticPr fontId="2" type="noConversion"/>
  </si>
  <si>
    <t>KR6197-F841UA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</si>
  <si>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</si>
  <si>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</si>
  <si>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</si>
  <si>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미성형정지</t>
    <phoneticPr fontId="2" type="noConversion"/>
  </si>
  <si>
    <t>AYE</t>
    <phoneticPr fontId="2" type="noConversion"/>
  </si>
  <si>
    <t>10</t>
    <phoneticPr fontId="2" type="noConversion"/>
  </si>
  <si>
    <t>NP571-178-025#LB</t>
    <phoneticPr fontId="2" type="noConversion"/>
  </si>
  <si>
    <t>발주분양산</t>
    <phoneticPr fontId="2" type="noConversion"/>
  </si>
  <si>
    <t>당일 진행 사항(17일)</t>
    <phoneticPr fontId="2" type="noConversion"/>
  </si>
  <si>
    <t>확인후양산</t>
    <phoneticPr fontId="2" type="noConversion"/>
  </si>
  <si>
    <t>BODY</t>
    <phoneticPr fontId="2" type="noConversion"/>
  </si>
  <si>
    <t>AMB0114E-JAA-R2</t>
    <phoneticPr fontId="2" type="noConversion"/>
  </si>
  <si>
    <t>AMB0114B-JAA-R5</t>
    <phoneticPr fontId="2" type="noConversion"/>
  </si>
  <si>
    <t>발주분양산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</si>
  <si>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</si>
  <si>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</si>
  <si>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</si>
  <si>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t>HICON</t>
    <phoneticPr fontId="2" type="noConversion"/>
  </si>
  <si>
    <t>SLIDER</t>
    <phoneticPr fontId="2" type="noConversion"/>
  </si>
  <si>
    <t>SLIDER</t>
    <phoneticPr fontId="2" type="noConversion"/>
  </si>
  <si>
    <t>HSA65-M002B1-13A</t>
    <phoneticPr fontId="2" type="noConversion"/>
  </si>
  <si>
    <r>
      <t>2017년 08월 17일 일일생산현황</t>
    </r>
    <r>
      <rPr>
        <b/>
        <sz val="14"/>
        <color indexed="8"/>
        <rFont val="굴림체"/>
        <family val="3"/>
        <charset val="129"/>
      </rPr>
      <t>(18일(금) 09시 현재)</t>
    </r>
    <phoneticPr fontId="2" type="noConversion"/>
  </si>
  <si>
    <t>LATCH</t>
    <phoneticPr fontId="2" type="noConversion"/>
  </si>
  <si>
    <t>KR6180-E03TA</t>
    <phoneticPr fontId="2" type="noConversion"/>
  </si>
  <si>
    <t>JD4901</t>
    <phoneticPr fontId="2" type="noConversion"/>
  </si>
  <si>
    <t>AMB0114B-JAA-R5</t>
    <phoneticPr fontId="2" type="noConversion"/>
  </si>
  <si>
    <t>전일 ISSUE 사항(17일)</t>
    <phoneticPr fontId="2" type="noConversion"/>
  </si>
  <si>
    <t>2</t>
    <phoneticPr fontId="2" type="noConversion"/>
  </si>
  <si>
    <t>KR6180-E03TA</t>
    <phoneticPr fontId="2" type="noConversion"/>
  </si>
  <si>
    <t>발주분양산</t>
    <phoneticPr fontId="2" type="noConversion"/>
  </si>
  <si>
    <t>조건변경후양산</t>
    <phoneticPr fontId="2" type="noConversion"/>
  </si>
  <si>
    <t>세척후양산</t>
    <phoneticPr fontId="2" type="noConversion"/>
  </si>
  <si>
    <t>세척후양산-&gt;뜯김2회정지</t>
    <phoneticPr fontId="2" type="noConversion"/>
  </si>
  <si>
    <t>7</t>
    <phoneticPr fontId="2" type="noConversion"/>
  </si>
  <si>
    <t>BODY</t>
    <phoneticPr fontId="2" type="noConversion"/>
  </si>
  <si>
    <t>발주분양산-&gt;코아파손2회진행</t>
    <phoneticPr fontId="2" type="noConversion"/>
  </si>
  <si>
    <t>당일 진행 사항(18일)</t>
    <phoneticPr fontId="2" type="noConversion"/>
  </si>
  <si>
    <t>SST</t>
    <phoneticPr fontId="2" type="noConversion"/>
  </si>
  <si>
    <t>SLIDER</t>
    <phoneticPr fontId="2" type="noConversion"/>
  </si>
  <si>
    <t>KR6197-A221YA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</si>
  <si>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</si>
  <si>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</si>
  <si>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</si>
  <si>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</si>
  <si>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13</t>
    <phoneticPr fontId="2" type="noConversion"/>
  </si>
  <si>
    <t>COVER</t>
    <phoneticPr fontId="2" type="noConversion"/>
  </si>
  <si>
    <t>KR6197AC841TA</t>
    <phoneticPr fontId="2" type="noConversion"/>
  </si>
  <si>
    <t>14</t>
    <phoneticPr fontId="2" type="noConversion"/>
  </si>
  <si>
    <t>BASE</t>
    <phoneticPr fontId="2" type="noConversion"/>
  </si>
  <si>
    <t>수리후양산</t>
    <phoneticPr fontId="2" type="noConversion"/>
  </si>
  <si>
    <t>SAMPLE 진행 사항(17일)</t>
    <phoneticPr fontId="2" type="noConversion"/>
  </si>
  <si>
    <t>STOPPER</t>
    <phoneticPr fontId="2" type="noConversion"/>
  </si>
  <si>
    <t>AMB0227A-KAA-R1</t>
    <phoneticPr fontId="2" type="noConversion"/>
  </si>
  <si>
    <t>SF2255</t>
    <phoneticPr fontId="2" type="noConversion"/>
  </si>
  <si>
    <t>신작</t>
    <phoneticPr fontId="2" type="noConversion"/>
  </si>
  <si>
    <t>14,8</t>
    <phoneticPr fontId="2" type="noConversion"/>
  </si>
  <si>
    <t>ACTUATOR</t>
    <phoneticPr fontId="2" type="noConversion"/>
  </si>
  <si>
    <t>AMB1919A-KAA-R1</t>
    <phoneticPr fontId="2" type="noConversion"/>
  </si>
  <si>
    <t>SGF2050 N/P</t>
    <phoneticPr fontId="2" type="noConversion"/>
  </si>
  <si>
    <t>2회진행 하측박힘</t>
    <phoneticPr fontId="2" type="noConversion"/>
  </si>
  <si>
    <t>AMB0156A-KAA-R1</t>
    <phoneticPr fontId="2" type="noConversion"/>
  </si>
  <si>
    <t>SF2255</t>
    <phoneticPr fontId="2" type="noConversion"/>
  </si>
  <si>
    <t>2회진행</t>
    <phoneticPr fontId="2" type="noConversion"/>
  </si>
  <si>
    <t>AMM0863A-KAA-R2</t>
    <phoneticPr fontId="2" type="noConversion"/>
  </si>
  <si>
    <t>BLUE</t>
    <phoneticPr fontId="2" type="noConversion"/>
  </si>
  <si>
    <t>수정</t>
    <phoneticPr fontId="2" type="noConversion"/>
  </si>
  <si>
    <t>코아파손2회진행</t>
    <phoneticPr fontId="2" type="noConversion"/>
  </si>
  <si>
    <t>케미텍</t>
    <phoneticPr fontId="2" type="noConversion"/>
  </si>
  <si>
    <t>Z280 ASSY</t>
    <phoneticPr fontId="2" type="noConversion"/>
  </si>
  <si>
    <t>Z280-F01</t>
    <phoneticPr fontId="2" type="noConversion"/>
  </si>
  <si>
    <t>E473i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</si>
  <si>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</si>
  <si>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</si>
  <si>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2017년 08월 18일 일일생산현황</t>
    </r>
    <r>
      <rPr>
        <b/>
        <sz val="14"/>
        <color indexed="8"/>
        <rFont val="굴림체"/>
        <family val="3"/>
        <charset val="129"/>
      </rPr>
      <t>(19일(토) 09시 현재)</t>
    </r>
    <phoneticPr fontId="2" type="noConversion"/>
  </si>
  <si>
    <t>SLIDER</t>
    <phoneticPr fontId="2" type="noConversion"/>
  </si>
  <si>
    <t>KR6197-A221YA</t>
    <phoneticPr fontId="2" type="noConversion"/>
  </si>
  <si>
    <t>SGF2050</t>
    <phoneticPr fontId="2" type="noConversion"/>
  </si>
  <si>
    <t>STOPPER</t>
    <phoneticPr fontId="2" type="noConversion"/>
  </si>
  <si>
    <t>AM0211B-K</t>
    <phoneticPr fontId="2" type="noConversion"/>
  </si>
  <si>
    <t>COVER</t>
    <phoneticPr fontId="2" type="noConversion"/>
  </si>
  <si>
    <t>KR6197AC841TA</t>
    <phoneticPr fontId="2" type="noConversion"/>
  </si>
  <si>
    <t>JD4901</t>
    <phoneticPr fontId="2" type="noConversion"/>
  </si>
  <si>
    <t>전일 ISSUE 사항(18일)</t>
    <phoneticPr fontId="2" type="noConversion"/>
  </si>
  <si>
    <t>수리후양산-&gt;코아파손정지</t>
    <phoneticPr fontId="2" type="noConversion"/>
  </si>
  <si>
    <t>13</t>
    <phoneticPr fontId="2" type="noConversion"/>
  </si>
  <si>
    <t>KR6197AC841TA</t>
    <phoneticPr fontId="2" type="noConversion"/>
  </si>
  <si>
    <t>발주분양산</t>
    <phoneticPr fontId="2" type="noConversion"/>
  </si>
  <si>
    <t>MCS</t>
    <phoneticPr fontId="2" type="noConversion"/>
  </si>
  <si>
    <t>8</t>
    <phoneticPr fontId="2" type="noConversion"/>
  </si>
  <si>
    <t>STOPPER</t>
    <phoneticPr fontId="2" type="noConversion"/>
  </si>
  <si>
    <t>당일 진행 사항(21일)</t>
    <phoneticPr fontId="2" type="noConversion"/>
  </si>
  <si>
    <t>KR6170BD740UB</t>
    <phoneticPr fontId="2" type="noConversion"/>
  </si>
  <si>
    <t>7</t>
    <phoneticPr fontId="2" type="noConversion"/>
  </si>
  <si>
    <t>Z280-F20</t>
    <phoneticPr fontId="2" type="noConversion"/>
  </si>
  <si>
    <t>케미텍</t>
    <phoneticPr fontId="2" type="noConversion"/>
  </si>
  <si>
    <t>8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</si>
  <si>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</si>
  <si>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</si>
  <si>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BASE</t>
    <phoneticPr fontId="2" type="noConversion"/>
  </si>
  <si>
    <t>KR6197AB841CA</t>
    <phoneticPr fontId="2" type="noConversion"/>
  </si>
  <si>
    <t xml:space="preserve"> 코아파손</t>
    <phoneticPr fontId="2" type="noConversion"/>
  </si>
  <si>
    <t>설비 점검 내역(18일)</t>
    <phoneticPr fontId="2" type="noConversion"/>
  </si>
  <si>
    <r>
      <t>2017년 08월 21일 일일생산현황</t>
    </r>
    <r>
      <rPr>
        <b/>
        <sz val="14"/>
        <color indexed="8"/>
        <rFont val="굴림체"/>
        <family val="3"/>
        <charset val="129"/>
      </rPr>
      <t>(22일(화) 09시 현재)</t>
    </r>
    <phoneticPr fontId="2" type="noConversion"/>
  </si>
  <si>
    <t>STOPPER</t>
    <phoneticPr fontId="2" type="noConversion"/>
  </si>
  <si>
    <t>KR6170BD740UB</t>
    <phoneticPr fontId="2" type="noConversion"/>
  </si>
  <si>
    <t>SGF2030</t>
    <phoneticPr fontId="2" type="noConversion"/>
  </si>
  <si>
    <t>케미텍</t>
    <phoneticPr fontId="2" type="noConversion"/>
  </si>
  <si>
    <t>Z280FMFD</t>
    <phoneticPr fontId="2" type="noConversion"/>
  </si>
  <si>
    <t>Z280-F20</t>
    <phoneticPr fontId="2" type="noConversion"/>
  </si>
  <si>
    <t>E473i</t>
    <phoneticPr fontId="2" type="noConversion"/>
  </si>
  <si>
    <t>AM0149A-K</t>
    <phoneticPr fontId="2" type="noConversion"/>
  </si>
  <si>
    <t>전일 ISSUE 사항(21일)</t>
    <phoneticPr fontId="2" type="noConversion"/>
  </si>
  <si>
    <t>KR6170BD740UB</t>
    <phoneticPr fontId="2" type="noConversion"/>
  </si>
  <si>
    <t>발주분양산-&gt;하측박힘2회,코아파손수리</t>
    <phoneticPr fontId="2" type="noConversion"/>
  </si>
  <si>
    <t>수리후양산-&gt;코아파손3회정지</t>
    <phoneticPr fontId="2" type="noConversion"/>
  </si>
  <si>
    <t>MCS</t>
    <phoneticPr fontId="2" type="noConversion"/>
  </si>
  <si>
    <t>12</t>
    <phoneticPr fontId="2" type="noConversion"/>
  </si>
  <si>
    <t>SAM</t>
    <phoneticPr fontId="2" type="noConversion"/>
  </si>
  <si>
    <t>AM0610B-J</t>
  </si>
  <si>
    <t>AM0610B-J</t>
    <phoneticPr fontId="2" type="noConversion"/>
  </si>
  <si>
    <t>발주분양산-&gt;상측박힘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</si>
  <si>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</si>
  <si>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</si>
  <si>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</si>
  <si>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</si>
  <si>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발주분양산-&gt;하측박힘정지</t>
    <phoneticPr fontId="2" type="noConversion"/>
  </si>
  <si>
    <t>발주분양산</t>
    <phoneticPr fontId="2" type="noConversion"/>
  </si>
  <si>
    <t>당일 진행 사항(22일)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</si>
  <si>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</si>
  <si>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</si>
  <si>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</si>
  <si>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BODY</t>
    <phoneticPr fontId="2" type="noConversion"/>
  </si>
  <si>
    <t>AM0149A-K</t>
    <phoneticPr fontId="2" type="noConversion"/>
  </si>
  <si>
    <t>수리후양산</t>
    <phoneticPr fontId="2" type="noConversion"/>
  </si>
  <si>
    <t>MCS</t>
    <phoneticPr fontId="2" type="noConversion"/>
  </si>
  <si>
    <t>SAM</t>
    <phoneticPr fontId="2" type="noConversion"/>
  </si>
  <si>
    <t>Z280-F30</t>
    <phoneticPr fontId="2" type="noConversion"/>
  </si>
  <si>
    <t>지그작업 셈플</t>
    <phoneticPr fontId="2" type="noConversion"/>
  </si>
  <si>
    <t>SAMPLE 진행 사항(21일)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</si>
  <si>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</si>
  <si>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</si>
  <si>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2017년 08월 22일 일일생산현황</t>
    </r>
    <r>
      <rPr>
        <b/>
        <sz val="14"/>
        <color indexed="8"/>
        <rFont val="굴림체"/>
        <family val="3"/>
        <charset val="129"/>
      </rPr>
      <t>(23일(수) 09시 현재)</t>
    </r>
    <phoneticPr fontId="2" type="noConversion"/>
  </si>
  <si>
    <t>BASE</t>
    <phoneticPr fontId="2" type="noConversion"/>
  </si>
  <si>
    <t>AMB0160A-KAA-R1</t>
    <phoneticPr fontId="2" type="noConversion"/>
  </si>
  <si>
    <t>SF2255</t>
    <phoneticPr fontId="2" type="noConversion"/>
  </si>
  <si>
    <t>ADAPTER</t>
    <phoneticPr fontId="2" type="noConversion"/>
  </si>
  <si>
    <t>AMB07P8A-KAA-R1</t>
    <phoneticPr fontId="2" type="noConversion"/>
  </si>
  <si>
    <t>SAM</t>
    <phoneticPr fontId="2" type="noConversion"/>
  </si>
  <si>
    <t>AM0610B-J</t>
    <phoneticPr fontId="2" type="noConversion"/>
  </si>
  <si>
    <t>전일 ISSUE 사항(22일)</t>
    <phoneticPr fontId="2" type="noConversion"/>
  </si>
  <si>
    <t>수리후양산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</si>
  <si>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</si>
  <si>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</si>
  <si>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</si>
  <si>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KR6197-D841PB</t>
    <phoneticPr fontId="2" type="noConversion"/>
  </si>
  <si>
    <t>세척후양산</t>
    <phoneticPr fontId="2" type="noConversion"/>
  </si>
  <si>
    <t>BURR정지</t>
    <phoneticPr fontId="2" type="noConversion"/>
  </si>
  <si>
    <t>수리후양산-&gt;BURR정지</t>
    <phoneticPr fontId="2" type="noConversion"/>
  </si>
  <si>
    <t>MCS</t>
    <phoneticPr fontId="2" type="noConversion"/>
  </si>
  <si>
    <t>AMB0160A-KAA-R1</t>
    <phoneticPr fontId="2" type="noConversion"/>
  </si>
  <si>
    <t>5</t>
    <phoneticPr fontId="2" type="noConversion"/>
  </si>
  <si>
    <t>6</t>
    <phoneticPr fontId="2" type="noConversion"/>
  </si>
  <si>
    <t>ADAPTER</t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</si>
  <si>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</si>
  <si>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</si>
  <si>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</si>
  <si>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당일 진행 사항(23일)</t>
    <phoneticPr fontId="2" type="noConversion"/>
  </si>
  <si>
    <t>AMB0230A-KAA-R1</t>
    <phoneticPr fontId="2" type="noConversion"/>
  </si>
  <si>
    <t>발주분양산</t>
    <phoneticPr fontId="2" type="noConversion"/>
  </si>
  <si>
    <t>ACTUATOR</t>
    <phoneticPr fontId="2" type="noConversion"/>
  </si>
  <si>
    <t>AMB1922A-KAA-R1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</si>
  <si>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</si>
  <si>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</si>
  <si>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</si>
  <si>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SAMPLE 진행 사항(22일)</t>
    <phoneticPr fontId="2" type="noConversion"/>
  </si>
  <si>
    <t>케미텍</t>
    <phoneticPr fontId="2" type="noConversion"/>
  </si>
  <si>
    <t>Z280FPGD</t>
    <phoneticPr fontId="2" type="noConversion"/>
  </si>
  <si>
    <t>Z280-F30</t>
    <phoneticPr fontId="2" type="noConversion"/>
  </si>
  <si>
    <t>E473i</t>
    <phoneticPr fontId="2" type="noConversion"/>
  </si>
  <si>
    <t>지그</t>
    <phoneticPr fontId="2" type="noConversion"/>
  </si>
  <si>
    <t>지그작업 2회진행</t>
    <phoneticPr fontId="2" type="noConversion"/>
  </si>
  <si>
    <t>AM0149A-K</t>
    <phoneticPr fontId="2" type="noConversion"/>
  </si>
  <si>
    <t>SF2255</t>
    <phoneticPr fontId="2" type="noConversion"/>
  </si>
  <si>
    <t>원재료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</si>
  <si>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</si>
  <si>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</si>
  <si>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2017년 08월 23일 일일생산현황</t>
    </r>
    <r>
      <rPr>
        <b/>
        <sz val="14"/>
        <color indexed="8"/>
        <rFont val="굴림체"/>
        <family val="3"/>
        <charset val="129"/>
      </rPr>
      <t>(24일(목) 09시 현재)</t>
    </r>
    <phoneticPr fontId="2" type="noConversion"/>
  </si>
  <si>
    <t>ACTUATOR</t>
    <phoneticPr fontId="2" type="noConversion"/>
  </si>
  <si>
    <t>AMB1922A-KAA-R1</t>
    <phoneticPr fontId="2" type="noConversion"/>
  </si>
  <si>
    <t>SGF2030</t>
    <phoneticPr fontId="2" type="noConversion"/>
  </si>
  <si>
    <t>STOPPER</t>
    <phoneticPr fontId="2" type="noConversion"/>
  </si>
  <si>
    <t>AMB0230A-KAA-R1</t>
    <phoneticPr fontId="2" type="noConversion"/>
  </si>
  <si>
    <t>SF2255</t>
    <phoneticPr fontId="2" type="noConversion"/>
  </si>
  <si>
    <t>전일 ISSUE 사항(23일)</t>
    <phoneticPr fontId="2" type="noConversion"/>
  </si>
  <si>
    <t>수리후양산</t>
    <phoneticPr fontId="2" type="noConversion"/>
  </si>
  <si>
    <t>발주분양산</t>
    <phoneticPr fontId="2" type="noConversion"/>
  </si>
  <si>
    <t>MCS</t>
    <phoneticPr fontId="2" type="noConversion"/>
  </si>
  <si>
    <t>STOPPER</t>
    <phoneticPr fontId="2" type="noConversion"/>
  </si>
  <si>
    <t>발주분양산-&gt;코아파손수리</t>
    <phoneticPr fontId="2" type="noConversion"/>
  </si>
  <si>
    <t>미성형정지</t>
    <phoneticPr fontId="2" type="noConversion"/>
  </si>
  <si>
    <t>8</t>
    <phoneticPr fontId="2" type="noConversion"/>
  </si>
  <si>
    <t>AM0149A-K</t>
    <phoneticPr fontId="2" type="noConversion"/>
  </si>
  <si>
    <t>BURR정지</t>
    <phoneticPr fontId="2" type="noConversion"/>
  </si>
  <si>
    <t>13</t>
    <phoneticPr fontId="2" type="noConversion"/>
  </si>
  <si>
    <t>COVER</t>
    <phoneticPr fontId="2" type="noConversion"/>
  </si>
  <si>
    <t>KR6170-C116WD</t>
    <phoneticPr fontId="2" type="noConversion"/>
  </si>
  <si>
    <t>당일 진행 사항(24일)</t>
    <phoneticPr fontId="2" type="noConversion"/>
  </si>
  <si>
    <t>2</t>
    <phoneticPr fontId="2" type="noConversion"/>
  </si>
  <si>
    <t>AM0607N-J</t>
    <phoneticPr fontId="2" type="noConversion"/>
  </si>
  <si>
    <t>ADAPTER</t>
    <phoneticPr fontId="2" type="noConversion"/>
  </si>
  <si>
    <t>AMB0201A-JAA-R2</t>
    <phoneticPr fontId="2" type="noConversion"/>
  </si>
  <si>
    <t>7</t>
    <phoneticPr fontId="2" type="noConversion"/>
  </si>
  <si>
    <t>LEAD GUIDE</t>
    <phoneticPr fontId="2" type="noConversion"/>
  </si>
  <si>
    <t>KR6170AF1440UA</t>
    <phoneticPr fontId="2" type="noConversion"/>
  </si>
  <si>
    <t>13</t>
    <phoneticPr fontId="2" type="noConversion"/>
  </si>
  <si>
    <t>COVER</t>
    <phoneticPr fontId="2" type="noConversion"/>
  </si>
  <si>
    <t>KR6170-C116WD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</si>
  <si>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</si>
  <si>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</si>
  <si>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</si>
  <si>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SAMPLE 진행 사항(23일)</t>
    <phoneticPr fontId="2" type="noConversion"/>
  </si>
  <si>
    <t>AMB0450A-KAA-R1</t>
    <phoneticPr fontId="2" type="noConversion"/>
  </si>
  <si>
    <t>7301(미국산)</t>
    <phoneticPr fontId="2" type="noConversion"/>
  </si>
  <si>
    <t>수정</t>
    <phoneticPr fontId="2" type="noConversion"/>
  </si>
  <si>
    <t>금형 수리 내역(23일)</t>
    <phoneticPr fontId="2" type="noConversion"/>
  </si>
  <si>
    <t>BODY</t>
    <phoneticPr fontId="2" type="noConversion"/>
  </si>
  <si>
    <t>AM0149A-K</t>
    <phoneticPr fontId="2" type="noConversion"/>
  </si>
  <si>
    <t xml:space="preserve"> BURR</t>
    <phoneticPr fontId="2" type="noConversion"/>
  </si>
  <si>
    <t>설비 점검 내역(23일)</t>
    <phoneticPr fontId="2" type="noConversion"/>
  </si>
  <si>
    <r>
      <t>2017년 08월 24일 일일생산현황</t>
    </r>
    <r>
      <rPr>
        <b/>
        <sz val="14"/>
        <color indexed="8"/>
        <rFont val="굴림체"/>
        <family val="3"/>
        <charset val="129"/>
      </rPr>
      <t>(25일(금) 09시 현재)</t>
    </r>
    <phoneticPr fontId="2" type="noConversion"/>
  </si>
  <si>
    <t>MCS</t>
    <phoneticPr fontId="2" type="noConversion"/>
  </si>
  <si>
    <t>SLIDER</t>
    <phoneticPr fontId="2" type="noConversion"/>
  </si>
  <si>
    <t>AM0607N-J</t>
    <phoneticPr fontId="2" type="noConversion"/>
  </si>
  <si>
    <t>케미텍</t>
    <phoneticPr fontId="2" type="noConversion"/>
  </si>
  <si>
    <t>Z280MM</t>
    <phoneticPr fontId="2" type="noConversion"/>
  </si>
  <si>
    <t>Z280-M10</t>
    <phoneticPr fontId="2" type="noConversion"/>
  </si>
  <si>
    <t>E473i</t>
    <phoneticPr fontId="2" type="noConversion"/>
  </si>
  <si>
    <t>LEAD GUIDE</t>
    <phoneticPr fontId="2" type="noConversion"/>
  </si>
  <si>
    <t>KR6170AF1440UA</t>
    <phoneticPr fontId="2" type="noConversion"/>
  </si>
  <si>
    <t>SGF2033</t>
    <phoneticPr fontId="2" type="noConversion"/>
  </si>
  <si>
    <t>AMM0863A-KAA-R2</t>
    <phoneticPr fontId="2" type="noConversion"/>
  </si>
  <si>
    <t>BLUE</t>
    <phoneticPr fontId="2" type="noConversion"/>
  </si>
  <si>
    <t>재고</t>
    <phoneticPr fontId="2" type="noConversion"/>
  </si>
  <si>
    <t>KR6170-C116TD</t>
    <phoneticPr fontId="2" type="noConversion"/>
  </si>
  <si>
    <t>72P</t>
    <phoneticPr fontId="2" type="noConversion"/>
  </si>
  <si>
    <t>전일 ISSUE 사항(24일)</t>
    <phoneticPr fontId="2" type="noConversion"/>
  </si>
  <si>
    <t>MCS</t>
    <phoneticPr fontId="2" type="noConversion"/>
  </si>
  <si>
    <t>2</t>
    <phoneticPr fontId="2" type="noConversion"/>
  </si>
  <si>
    <t>발주분양산</t>
    <phoneticPr fontId="2" type="noConversion"/>
  </si>
  <si>
    <t>ADAPTER</t>
    <phoneticPr fontId="2" type="noConversion"/>
  </si>
  <si>
    <t>AMB0201A-JAA-R2</t>
    <phoneticPr fontId="2" type="noConversion"/>
  </si>
  <si>
    <t>발주분양산-&gt;코아파손정지</t>
    <phoneticPr fontId="2" type="noConversion"/>
  </si>
  <si>
    <t>Z280-M10</t>
    <phoneticPr fontId="2" type="noConversion"/>
  </si>
  <si>
    <t>7</t>
    <phoneticPr fontId="2" type="noConversion"/>
  </si>
  <si>
    <t>발주분양산-&gt;BURR정지</t>
    <phoneticPr fontId="2" type="noConversion"/>
  </si>
  <si>
    <t>세척후양산</t>
    <phoneticPr fontId="2" type="noConversion"/>
  </si>
  <si>
    <t>수리후양산-&gt;런너이상정지</t>
    <phoneticPr fontId="2" type="noConversion"/>
  </si>
  <si>
    <t>수리후양산</t>
    <phoneticPr fontId="2" type="noConversion"/>
  </si>
  <si>
    <t>9</t>
    <phoneticPr fontId="2" type="noConversion"/>
  </si>
  <si>
    <t>AMM0863A-KAA-R2</t>
    <phoneticPr fontId="2" type="noConversion"/>
  </si>
  <si>
    <t>당일 진행 사항(25일)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</si>
  <si>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</si>
  <si>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</si>
  <si>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</si>
  <si>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9</t>
    <phoneticPr fontId="2" type="noConversion"/>
  </si>
  <si>
    <t>수리후양산</t>
    <phoneticPr fontId="2" type="noConversion"/>
  </si>
  <si>
    <t>SAMPLE 진행 사항(24일)</t>
    <phoneticPr fontId="2" type="noConversion"/>
  </si>
  <si>
    <t>Z280FPGD</t>
    <phoneticPr fontId="2" type="noConversion"/>
  </si>
  <si>
    <t>Z280-F30</t>
    <phoneticPr fontId="2" type="noConversion"/>
  </si>
  <si>
    <t>E473i</t>
    <phoneticPr fontId="2" type="noConversion"/>
  </si>
  <si>
    <t>지그</t>
    <phoneticPr fontId="2" type="noConversion"/>
  </si>
  <si>
    <t>ODT</t>
    <phoneticPr fontId="2" type="noConversion"/>
  </si>
  <si>
    <t>203T</t>
    <phoneticPr fontId="2" type="noConversion"/>
  </si>
  <si>
    <t>SW-003068</t>
    <phoneticPr fontId="2" type="noConversion"/>
  </si>
  <si>
    <t>PC GF30%</t>
    <phoneticPr fontId="2" type="noConversion"/>
  </si>
  <si>
    <t>원재료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</si>
  <si>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</si>
  <si>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</si>
  <si>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t xml:space="preserve"> 런너이상</t>
    <phoneticPr fontId="2" type="noConversion"/>
  </si>
  <si>
    <r>
      <t>2017년 08월 25일 일일생산현황</t>
    </r>
    <r>
      <rPr>
        <b/>
        <sz val="14"/>
        <color indexed="8"/>
        <rFont val="굴림체"/>
        <family val="3"/>
        <charset val="129"/>
      </rPr>
      <t>(26일(토) 09시 현재)</t>
    </r>
    <phoneticPr fontId="2" type="noConversion"/>
  </si>
  <si>
    <t>ODT</t>
    <phoneticPr fontId="2" type="noConversion"/>
  </si>
  <si>
    <t>COVER</t>
    <phoneticPr fontId="2" type="noConversion"/>
  </si>
  <si>
    <t>SW-003354</t>
    <phoneticPr fontId="2" type="noConversion"/>
  </si>
  <si>
    <t>141R B/K</t>
    <phoneticPr fontId="2" type="noConversion"/>
  </si>
  <si>
    <t>BASE</t>
    <phoneticPr fontId="2" type="noConversion"/>
  </si>
  <si>
    <t>AMB0129A-KAA-R4</t>
    <phoneticPr fontId="2" type="noConversion"/>
  </si>
  <si>
    <t>SGF2050</t>
    <phoneticPr fontId="2" type="noConversion"/>
  </si>
  <si>
    <t>ADAPTER</t>
    <phoneticPr fontId="2" type="noConversion"/>
  </si>
  <si>
    <t>AMB0201A-JAA-R3</t>
    <phoneticPr fontId="2" type="noConversion"/>
  </si>
  <si>
    <t>SF2255</t>
    <phoneticPr fontId="2" type="noConversion"/>
  </si>
  <si>
    <t>전일 ISSUE 사항(25일)</t>
    <phoneticPr fontId="2" type="noConversion"/>
  </si>
  <si>
    <t>ODT</t>
    <phoneticPr fontId="2" type="noConversion"/>
  </si>
  <si>
    <t>수리후양산</t>
    <phoneticPr fontId="2" type="noConversion"/>
  </si>
  <si>
    <t>MCS</t>
    <phoneticPr fontId="2" type="noConversion"/>
  </si>
  <si>
    <t>조건변경양산</t>
    <phoneticPr fontId="2" type="noConversion"/>
  </si>
  <si>
    <t>수리후양산-&gt;BURR정지</t>
    <phoneticPr fontId="2" type="noConversion"/>
  </si>
  <si>
    <t>수리후양산-&gt;코아파손수리</t>
    <phoneticPr fontId="2" type="noConversion"/>
  </si>
  <si>
    <t>당일 진행 사항(28일)</t>
    <phoneticPr fontId="2" type="noConversion"/>
  </si>
  <si>
    <t>HICON</t>
    <phoneticPr fontId="2" type="noConversion"/>
  </si>
  <si>
    <t>3</t>
    <phoneticPr fontId="2" type="noConversion"/>
  </si>
  <si>
    <t>G3-M-005A/06A</t>
    <phoneticPr fontId="2" type="noConversion"/>
  </si>
  <si>
    <t>발주분양산</t>
    <phoneticPr fontId="2" type="noConversion"/>
  </si>
  <si>
    <t>TOGGLE/BOTTOM</t>
    <phoneticPr fontId="2" type="noConversion"/>
  </si>
  <si>
    <t>AMB0222A-KAA-R1</t>
    <phoneticPr fontId="2" type="noConversion"/>
  </si>
  <si>
    <t>13</t>
    <phoneticPr fontId="2" type="noConversion"/>
  </si>
  <si>
    <t>ACTUATOR</t>
    <phoneticPr fontId="2" type="noConversion"/>
  </si>
  <si>
    <t>AMB1915A-KAA-R1</t>
    <phoneticPr fontId="2" type="noConversion"/>
  </si>
  <si>
    <t>SAMPLE 진행 사항(25일)</t>
    <phoneticPr fontId="2" type="noConversion"/>
  </si>
  <si>
    <t>KR6197AGF254QB</t>
    <phoneticPr fontId="2" type="noConversion"/>
  </si>
  <si>
    <t>SF2255 I/V</t>
    <phoneticPr fontId="2" type="noConversion"/>
  </si>
  <si>
    <t>수리확인</t>
    <phoneticPr fontId="2" type="noConversion"/>
  </si>
  <si>
    <t>금형 수리 내역(25일)</t>
    <phoneticPr fontId="2" type="noConversion"/>
  </si>
  <si>
    <t xml:space="preserve"> BURR</t>
    <phoneticPr fontId="2" type="noConversion"/>
  </si>
  <si>
    <t>설비 점검 내역(25일)</t>
    <phoneticPr fontId="2" type="noConversion"/>
  </si>
  <si>
    <r>
      <t>2017년 08월 28일 일일생산현황</t>
    </r>
    <r>
      <rPr>
        <b/>
        <sz val="14"/>
        <color indexed="8"/>
        <rFont val="굴림체"/>
        <family val="3"/>
        <charset val="129"/>
      </rPr>
      <t>(29일(화) 09시 현재)</t>
    </r>
    <phoneticPr fontId="2" type="noConversion"/>
  </si>
  <si>
    <t>발주</t>
    <phoneticPr fontId="2" type="noConversion"/>
  </si>
  <si>
    <t>HICON</t>
    <phoneticPr fontId="2" type="noConversion"/>
  </si>
  <si>
    <t>TOGGLE</t>
    <phoneticPr fontId="2" type="noConversion"/>
  </si>
  <si>
    <t>G3-M-005A/006A</t>
    <phoneticPr fontId="2" type="noConversion"/>
  </si>
  <si>
    <t>JD4901</t>
    <phoneticPr fontId="2" type="noConversion"/>
  </si>
  <si>
    <t>2*1</t>
    <phoneticPr fontId="2" type="noConversion"/>
  </si>
  <si>
    <t>케미텍</t>
    <phoneticPr fontId="2" type="noConversion"/>
  </si>
  <si>
    <t>Z280-ASSY</t>
    <phoneticPr fontId="2" type="noConversion"/>
  </si>
  <si>
    <t>Z280-F40</t>
    <phoneticPr fontId="2" type="noConversion"/>
  </si>
  <si>
    <t>E473i</t>
    <phoneticPr fontId="2" type="noConversion"/>
  </si>
  <si>
    <t>STOPPER</t>
    <phoneticPr fontId="2" type="noConversion"/>
  </si>
  <si>
    <t>AMB0222A-KAA-R1</t>
    <phoneticPr fontId="2" type="noConversion"/>
  </si>
  <si>
    <t>ACTUATOR</t>
    <phoneticPr fontId="2" type="noConversion"/>
  </si>
  <si>
    <t>AMB1915A-KAA-R1</t>
    <phoneticPr fontId="2" type="noConversion"/>
  </si>
  <si>
    <t>SGF2041</t>
    <phoneticPr fontId="2" type="noConversion"/>
  </si>
  <si>
    <t>재고</t>
    <phoneticPr fontId="2" type="noConversion"/>
  </si>
  <si>
    <t>전일 ISSUE 사항(28일)</t>
    <phoneticPr fontId="2" type="noConversion"/>
  </si>
  <si>
    <t>HICON</t>
    <phoneticPr fontId="2" type="noConversion"/>
  </si>
  <si>
    <t>TOGGLE</t>
    <phoneticPr fontId="2" type="noConversion"/>
  </si>
  <si>
    <t>발주분양산-&gt;상측이형제 3-&gt;4호기이동</t>
    <phoneticPr fontId="2" type="noConversion"/>
  </si>
  <si>
    <t>케미텍</t>
    <phoneticPr fontId="2" type="noConversion"/>
  </si>
  <si>
    <t>8</t>
    <phoneticPr fontId="2" type="noConversion"/>
  </si>
  <si>
    <t>STOPPER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</si>
  <si>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</si>
  <si>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</si>
  <si>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</si>
  <si>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SST</t>
    <phoneticPr fontId="2" type="noConversion"/>
  </si>
  <si>
    <t>14</t>
    <phoneticPr fontId="2" type="noConversion"/>
  </si>
  <si>
    <t>KR6197AB841CA</t>
    <phoneticPr fontId="2" type="noConversion"/>
  </si>
  <si>
    <t>이물제거-&gt;코아파손정지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</si>
  <si>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</si>
  <si>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</si>
  <si>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</si>
  <si>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BURR수리후양산</t>
    <phoneticPr fontId="2" type="noConversion"/>
  </si>
  <si>
    <t>당일 진행 사항(29일)</t>
    <phoneticPr fontId="2" type="noConversion"/>
  </si>
  <si>
    <t>LATCH</t>
    <phoneticPr fontId="2" type="noConversion"/>
  </si>
  <si>
    <t>G3-M-004A</t>
    <phoneticPr fontId="2" type="noConversion"/>
  </si>
  <si>
    <t>1</t>
    <phoneticPr fontId="2" type="noConversion"/>
  </si>
  <si>
    <t>BASE</t>
    <phoneticPr fontId="2" type="noConversion"/>
  </si>
  <si>
    <t>G3-M01A1</t>
    <phoneticPr fontId="2" type="noConversion"/>
  </si>
  <si>
    <t>LACKER</t>
    <phoneticPr fontId="2" type="noConversion"/>
  </si>
  <si>
    <t>G3-M-02A/03A</t>
    <phoneticPr fontId="2" type="noConversion"/>
  </si>
  <si>
    <t>발주분양산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</si>
  <si>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</si>
  <si>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</si>
  <si>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</si>
  <si>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AMB1904D-KAA-R2</t>
    <phoneticPr fontId="2" type="noConversion"/>
  </si>
  <si>
    <t>SLIDER</t>
    <phoneticPr fontId="2" type="noConversion"/>
  </si>
  <si>
    <t>HSA65-M002B1-13A</t>
    <phoneticPr fontId="2" type="noConversion"/>
  </si>
  <si>
    <t>SAMPLE 진행 사항(28일)</t>
    <phoneticPr fontId="2" type="noConversion"/>
  </si>
  <si>
    <t>NAND BASE/LID</t>
    <phoneticPr fontId="2" type="noConversion"/>
  </si>
  <si>
    <t>NHS-152T11/2</t>
    <phoneticPr fontId="2" type="noConversion"/>
  </si>
  <si>
    <t>SGF2050</t>
    <phoneticPr fontId="2" type="noConversion"/>
  </si>
  <si>
    <t>코아파손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</si>
  <si>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</si>
  <si>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</si>
  <si>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2017년 08월 29일 일일생산현황</t>
    </r>
    <r>
      <rPr>
        <b/>
        <sz val="14"/>
        <color indexed="8"/>
        <rFont val="굴림체"/>
        <family val="3"/>
        <charset val="129"/>
      </rPr>
      <t>(30일(수) 09시 현재)</t>
    </r>
    <phoneticPr fontId="2" type="noConversion"/>
  </si>
  <si>
    <t>STOPPER</t>
    <phoneticPr fontId="2" type="noConversion"/>
  </si>
  <si>
    <t>KR6197-D841PB</t>
    <phoneticPr fontId="2" type="noConversion"/>
  </si>
  <si>
    <t>SF2255</t>
    <phoneticPr fontId="2" type="noConversion"/>
  </si>
  <si>
    <t>ACTUATOR</t>
    <phoneticPr fontId="2" type="noConversion"/>
  </si>
  <si>
    <t>AMB1904D-KAA-R2</t>
    <phoneticPr fontId="2" type="noConversion"/>
  </si>
  <si>
    <t>SGF2050 I/V</t>
    <phoneticPr fontId="2" type="noConversion"/>
  </si>
  <si>
    <t>BASE</t>
    <phoneticPr fontId="2" type="noConversion"/>
  </si>
  <si>
    <t>G3-M01A1</t>
    <phoneticPr fontId="2" type="noConversion"/>
  </si>
  <si>
    <t>LOCKER</t>
    <phoneticPr fontId="2" type="noConversion"/>
  </si>
  <si>
    <t>G3-M-02A/03A</t>
    <phoneticPr fontId="2" type="noConversion"/>
  </si>
  <si>
    <t>JD4901</t>
    <phoneticPr fontId="2" type="noConversion"/>
  </si>
  <si>
    <t>2*1</t>
    <phoneticPr fontId="2" type="noConversion"/>
  </si>
  <si>
    <t>SST</t>
    <phoneticPr fontId="2" type="noConversion"/>
  </si>
  <si>
    <t>KR6197-C841TA</t>
    <phoneticPr fontId="2" type="noConversion"/>
  </si>
  <si>
    <t>HICON</t>
    <phoneticPr fontId="2" type="noConversion"/>
  </si>
  <si>
    <t>LATCH</t>
    <phoneticPr fontId="2" type="noConversion"/>
  </si>
  <si>
    <t>G3-M-04A</t>
    <phoneticPr fontId="2" type="noConversion"/>
  </si>
  <si>
    <t>전일 ISSUE 사항(29일)</t>
    <phoneticPr fontId="2" type="noConversion"/>
  </si>
  <si>
    <t>LATCH</t>
    <phoneticPr fontId="2" type="noConversion"/>
  </si>
  <si>
    <t>발주분양산</t>
    <phoneticPr fontId="2" type="noConversion"/>
  </si>
  <si>
    <t>SST</t>
    <phoneticPr fontId="2" type="noConversion"/>
  </si>
  <si>
    <t>KR6170AF1440UA</t>
    <phoneticPr fontId="2" type="noConversion"/>
  </si>
  <si>
    <t>세척후양산</t>
    <phoneticPr fontId="2" type="noConversion"/>
  </si>
  <si>
    <t>수리후양산-&gt;뜯김수리</t>
    <phoneticPr fontId="2" type="noConversion"/>
  </si>
  <si>
    <t>LEAD GUIDE</t>
    <phoneticPr fontId="2" type="noConversion"/>
  </si>
  <si>
    <t>KR6197-F841UA</t>
    <phoneticPr fontId="2" type="noConversion"/>
  </si>
  <si>
    <t>SLIDER</t>
    <phoneticPr fontId="2" type="noConversion"/>
  </si>
  <si>
    <t>HSA65-M002B1-13A</t>
    <phoneticPr fontId="2" type="noConversion"/>
  </si>
  <si>
    <t>발주분양산-&gt;미성형정지</t>
    <phoneticPr fontId="2" type="noConversion"/>
  </si>
  <si>
    <t>당일 진행 사항(30일)</t>
    <phoneticPr fontId="2" type="noConversion"/>
  </si>
  <si>
    <t>ODT</t>
    <phoneticPr fontId="2" type="noConversion"/>
  </si>
  <si>
    <t>SW-003068-1</t>
    <phoneticPr fontId="2" type="noConversion"/>
  </si>
  <si>
    <t>SLIDER</t>
    <phoneticPr fontId="2" type="noConversion"/>
  </si>
  <si>
    <t>HSA65-M002B1-13A</t>
    <phoneticPr fontId="2" type="noConversion"/>
  </si>
  <si>
    <t>NAND BASE</t>
    <phoneticPr fontId="2" type="noConversion"/>
  </si>
  <si>
    <t>NHS-152T11/2</t>
    <phoneticPr fontId="2" type="noConversion"/>
  </si>
  <si>
    <t>승인후양산</t>
    <phoneticPr fontId="2" type="noConversion"/>
  </si>
  <si>
    <t>SAMPLE 진행 사항(29일)</t>
    <phoneticPr fontId="2" type="noConversion"/>
  </si>
  <si>
    <t>SP-0.25P</t>
    <phoneticPr fontId="2" type="noConversion"/>
  </si>
  <si>
    <t>AYE</t>
    <phoneticPr fontId="2" type="noConversion"/>
  </si>
  <si>
    <t>SEPARATOR</t>
    <phoneticPr fontId="2" type="noConversion"/>
  </si>
  <si>
    <t>E473i,S475</t>
    <phoneticPr fontId="2" type="noConversion"/>
  </si>
  <si>
    <t>신작</t>
    <phoneticPr fontId="2" type="noConversion"/>
  </si>
  <si>
    <t>내부검토용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</si>
  <si>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</si>
  <si>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</si>
  <si>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t xml:space="preserve"> 세척</t>
    <phoneticPr fontId="2" type="noConversion"/>
  </si>
  <si>
    <r>
      <t>2017년 08월 30일 일일생산현황</t>
    </r>
    <r>
      <rPr>
        <b/>
        <sz val="14"/>
        <color indexed="8"/>
        <rFont val="굴림체"/>
        <family val="3"/>
        <charset val="129"/>
      </rPr>
      <t>(31일(목) 09시 현재)</t>
    </r>
    <phoneticPr fontId="2" type="noConversion"/>
  </si>
  <si>
    <t>ODT</t>
    <phoneticPr fontId="2" type="noConversion"/>
  </si>
  <si>
    <t>203T</t>
    <phoneticPr fontId="2" type="noConversion"/>
  </si>
  <si>
    <t>SW-003068-01</t>
    <phoneticPr fontId="2" type="noConversion"/>
  </si>
  <si>
    <t>PC GF30%</t>
    <phoneticPr fontId="2" type="noConversion"/>
  </si>
  <si>
    <t>전일 ISSUE 사항(30일)</t>
    <phoneticPr fontId="2" type="noConversion"/>
  </si>
  <si>
    <t>ODT</t>
    <phoneticPr fontId="2" type="noConversion"/>
  </si>
  <si>
    <t>203T</t>
    <phoneticPr fontId="2" type="noConversion"/>
  </si>
  <si>
    <t>세척후양산-&gt;미성형정지</t>
    <phoneticPr fontId="2" type="noConversion"/>
  </si>
  <si>
    <t>당일 진행 사항(31일)</t>
    <phoneticPr fontId="2" type="noConversion"/>
  </si>
  <si>
    <t>MCS</t>
    <phoneticPr fontId="2" type="noConversion"/>
  </si>
  <si>
    <t>8</t>
    <phoneticPr fontId="2" type="noConversion"/>
  </si>
  <si>
    <t>BODY</t>
    <phoneticPr fontId="2" type="noConversion"/>
  </si>
  <si>
    <t>AM0149A-K</t>
    <phoneticPr fontId="2" type="noConversion"/>
  </si>
  <si>
    <t>발주분양산</t>
    <phoneticPr fontId="2" type="noConversion"/>
  </si>
  <si>
    <t>SAMPLE 진행 사항(30일)</t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</si>
  <si>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</si>
  <si>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</si>
  <si>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</si>
  <si>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</si>
  <si>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</si>
  <si>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</si>
  <si>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2017년 08월 31일 일일생산현황</t>
    </r>
    <r>
      <rPr>
        <b/>
        <sz val="14"/>
        <color indexed="8"/>
        <rFont val="굴림체"/>
        <family val="3"/>
        <charset val="129"/>
      </rPr>
      <t>(01일(금) 09시 현재)</t>
    </r>
    <phoneticPr fontId="2" type="noConversion"/>
  </si>
  <si>
    <t>AM0149A-K</t>
    <phoneticPr fontId="2" type="noConversion"/>
  </si>
  <si>
    <t>전일 ISSUE 사항(31일)</t>
    <phoneticPr fontId="2" type="noConversion"/>
  </si>
  <si>
    <t>SST</t>
    <phoneticPr fontId="2" type="noConversion"/>
  </si>
  <si>
    <t>SLIDER</t>
    <phoneticPr fontId="2" type="noConversion"/>
  </si>
  <si>
    <t>KR6156FA841YA</t>
    <phoneticPr fontId="2" type="noConversion"/>
  </si>
  <si>
    <t>발주분양산-&gt;BURR정지</t>
    <phoneticPr fontId="2" type="noConversion"/>
  </si>
  <si>
    <t>MCS</t>
    <phoneticPr fontId="2" type="noConversion"/>
  </si>
  <si>
    <t>BODY</t>
    <phoneticPr fontId="2" type="noConversion"/>
  </si>
  <si>
    <t>발주분양산-&gt;하측박힘정지</t>
    <phoneticPr fontId="2" type="noConversion"/>
  </si>
  <si>
    <t>14</t>
    <phoneticPr fontId="2" type="noConversion"/>
  </si>
  <si>
    <t>KR6197AB841CA</t>
    <phoneticPr fontId="2" type="noConversion"/>
  </si>
  <si>
    <t>세척후양산-&gt;코아파손수리</t>
    <phoneticPr fontId="2" type="noConversion"/>
  </si>
  <si>
    <t>당일 진행 사항(01일)</t>
    <phoneticPr fontId="2" type="noConversion"/>
  </si>
  <si>
    <t>SST</t>
    <phoneticPr fontId="2" type="noConversion"/>
  </si>
  <si>
    <t>KR6156FA841YA</t>
    <phoneticPr fontId="2" type="noConversion"/>
  </si>
  <si>
    <t>수리후양산</t>
    <phoneticPr fontId="2" type="noConversion"/>
  </si>
  <si>
    <t>BASE</t>
    <phoneticPr fontId="2" type="noConversion"/>
  </si>
  <si>
    <t>KR6156DB841CA</t>
    <phoneticPr fontId="2" type="noConversion"/>
  </si>
  <si>
    <t>발주분양산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</si>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</sst>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5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08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832000"/>
        <c:axId val="4829399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832000"/>
        <c:axId val="482939968"/>
      </c:lineChart>
      <c:catAx>
        <c:axId val="48083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482939968"/>
        <c:crosses val="autoZero"/>
        <c:auto val="1"/>
        <c:lblAlgn val="ctr"/>
        <c:lblOffset val="100"/>
        <c:noMultiLvlLbl val="0"/>
      </c:catAx>
      <c:valAx>
        <c:axId val="4829399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8083200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08</a:t>
            </a:r>
            <a:r>
              <a:rPr lang="ko-KR" altLang="en-US"/>
              <a:t>월 호기별 가동율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0.36803428797655652</c:v>
                </c:pt>
                <c:pt idx="2">
                  <c:v>0.69686933477665125</c:v>
                </c:pt>
                <c:pt idx="3">
                  <c:v>0.4346400770498095</c:v>
                </c:pt>
                <c:pt idx="4">
                  <c:v>0.39539158545106895</c:v>
                </c:pt>
                <c:pt idx="5">
                  <c:v>0.107294960686347</c:v>
                </c:pt>
                <c:pt idx="6">
                  <c:v>0.52180275089330486</c:v>
                </c:pt>
                <c:pt idx="7">
                  <c:v>0.17286250090719238</c:v>
                </c:pt>
                <c:pt idx="8">
                  <c:v>4.0044364237912626E-2</c:v>
                </c:pt>
                <c:pt idx="9">
                  <c:v>4.0278942922152658E-2</c:v>
                </c:pt>
                <c:pt idx="10">
                  <c:v>0.66438362993603939</c:v>
                </c:pt>
                <c:pt idx="11">
                  <c:v>0.13024153903589758</c:v>
                </c:pt>
                <c:pt idx="12">
                  <c:v>0.55560198769862879</c:v>
                </c:pt>
                <c:pt idx="13">
                  <c:v>0.57720448138896552</c:v>
                </c:pt>
                <c:pt idx="14">
                  <c:v>0.58059469490117432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206848"/>
        <c:axId val="482942272"/>
      </c:barChart>
      <c:catAx>
        <c:axId val="480206848"/>
        <c:scaling>
          <c:orientation val="minMax"/>
        </c:scaling>
        <c:delete val="0"/>
        <c:axPos val="b"/>
        <c:majorTickMark val="out"/>
        <c:minorTickMark val="none"/>
        <c:tickLblPos val="nextTo"/>
        <c:crossAx val="482942272"/>
        <c:crosses val="autoZero"/>
        <c:auto val="1"/>
        <c:lblAlgn val="ctr"/>
        <c:lblOffset val="100"/>
        <c:noMultiLvlLbl val="0"/>
      </c:catAx>
      <c:valAx>
        <c:axId val="4829422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80206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5159</c:v>
                </c:pt>
                <c:pt idx="3">
                  <c:v>1498</c:v>
                </c:pt>
                <c:pt idx="6">
                  <c:v>4589</c:v>
                </c:pt>
                <c:pt idx="7">
                  <c:v>5903</c:v>
                </c:pt>
                <c:pt idx="8">
                  <c:v>259</c:v>
                </c:pt>
                <c:pt idx="10">
                  <c:v>4305</c:v>
                </c:pt>
                <c:pt idx="12">
                  <c:v>5015</c:v>
                </c:pt>
                <c:pt idx="13">
                  <c:v>1671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5160</c:v>
                </c:pt>
                <c:pt idx="3">
                  <c:v>1500</c:v>
                </c:pt>
                <c:pt idx="4">
                  <c:v>3094</c:v>
                </c:pt>
                <c:pt idx="5">
                  <c:v>4400</c:v>
                </c:pt>
                <c:pt idx="6">
                  <c:v>4590</c:v>
                </c:pt>
                <c:pt idx="7">
                  <c:v>5910</c:v>
                </c:pt>
                <c:pt idx="8">
                  <c:v>260</c:v>
                </c:pt>
                <c:pt idx="9">
                  <c:v>760</c:v>
                </c:pt>
                <c:pt idx="10">
                  <c:v>4310</c:v>
                </c:pt>
                <c:pt idx="11">
                  <c:v>876</c:v>
                </c:pt>
                <c:pt idx="12">
                  <c:v>5020</c:v>
                </c:pt>
                <c:pt idx="13">
                  <c:v>1680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61600"/>
        <c:axId val="479511680"/>
      </c:lineChart>
      <c:catAx>
        <c:axId val="4831616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9511680"/>
        <c:crosses val="autoZero"/>
        <c:auto val="1"/>
        <c:lblAlgn val="ctr"/>
        <c:lblOffset val="100"/>
        <c:noMultiLvlLbl val="0"/>
      </c:catAx>
      <c:valAx>
        <c:axId val="4795116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8316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100% 33% 0% 0% 100% 100% 33% 0% 87% 0% 100% 37%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0.99980620155038757</c:v>
                </c:pt>
                <c:pt idx="3">
                  <c:v>0.3328888888888889</c:v>
                </c:pt>
                <c:pt idx="4">
                  <c:v>0</c:v>
                </c:pt>
                <c:pt idx="5">
                  <c:v>0</c:v>
                </c:pt>
                <c:pt idx="6">
                  <c:v>0.99978213507625269</c:v>
                </c:pt>
                <c:pt idx="7">
                  <c:v>0.99881556683587136</c:v>
                </c:pt>
                <c:pt idx="8">
                  <c:v>0.33205128205128204</c:v>
                </c:pt>
                <c:pt idx="9">
                  <c:v>0</c:v>
                </c:pt>
                <c:pt idx="10">
                  <c:v>0.87398491879350348</c:v>
                </c:pt>
                <c:pt idx="11">
                  <c:v>0</c:v>
                </c:pt>
                <c:pt idx="12">
                  <c:v>0.99900398406374502</c:v>
                </c:pt>
                <c:pt idx="13">
                  <c:v>0.37299107142857146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0.39395493657923353</c:v>
                </c:pt>
                <c:pt idx="1">
                  <c:v>0.39395493657923353</c:v>
                </c:pt>
                <c:pt idx="2">
                  <c:v>0.39395493657923353</c:v>
                </c:pt>
                <c:pt idx="3">
                  <c:v>0.39395493657923353</c:v>
                </c:pt>
                <c:pt idx="4">
                  <c:v>0.39395493657923353</c:v>
                </c:pt>
                <c:pt idx="5">
                  <c:v>0.39395493657923353</c:v>
                </c:pt>
                <c:pt idx="6">
                  <c:v>0.39395493657923353</c:v>
                </c:pt>
                <c:pt idx="7">
                  <c:v>0.39395493657923353</c:v>
                </c:pt>
                <c:pt idx="8">
                  <c:v>0.39395493657923353</c:v>
                </c:pt>
                <c:pt idx="9">
                  <c:v>0.39395493657923353</c:v>
                </c:pt>
                <c:pt idx="10">
                  <c:v>0.39395493657923353</c:v>
                </c:pt>
                <c:pt idx="11">
                  <c:v>0.39395493657923353</c:v>
                </c:pt>
                <c:pt idx="12">
                  <c:v>0.39395493657923353</c:v>
                </c:pt>
                <c:pt idx="13">
                  <c:v>0.39395493657923353</c:v>
                </c:pt>
                <c:pt idx="14">
                  <c:v>0.39395493657923353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63648"/>
        <c:axId val="479513408"/>
      </c:lineChart>
      <c:catAx>
        <c:axId val="48316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9513408"/>
        <c:crosses val="autoZero"/>
        <c:auto val="1"/>
        <c:lblAlgn val="ctr"/>
        <c:lblOffset val="100"/>
        <c:noMultiLvlLbl val="0"/>
      </c:catAx>
      <c:valAx>
        <c:axId val="479513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8316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5159</c:v>
                </c:pt>
                <c:pt idx="3">
                  <c:v>1498</c:v>
                </c:pt>
                <c:pt idx="6">
                  <c:v>4589</c:v>
                </c:pt>
                <c:pt idx="7">
                  <c:v>5903</c:v>
                </c:pt>
                <c:pt idx="8">
                  <c:v>259</c:v>
                </c:pt>
                <c:pt idx="10">
                  <c:v>4305</c:v>
                </c:pt>
                <c:pt idx="12">
                  <c:v>5015</c:v>
                </c:pt>
                <c:pt idx="13">
                  <c:v>1671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4740</c:v>
                </c:pt>
                <c:pt idx="2">
                  <c:v>5160</c:v>
                </c:pt>
                <c:pt idx="3">
                  <c:v>1500</c:v>
                </c:pt>
                <c:pt idx="4">
                  <c:v>3094</c:v>
                </c:pt>
                <c:pt idx="5">
                  <c:v>4400</c:v>
                </c:pt>
                <c:pt idx="6">
                  <c:v>4590</c:v>
                </c:pt>
                <c:pt idx="7">
                  <c:v>5910</c:v>
                </c:pt>
                <c:pt idx="8">
                  <c:v>260</c:v>
                </c:pt>
                <c:pt idx="9">
                  <c:v>760</c:v>
                </c:pt>
                <c:pt idx="10">
                  <c:v>4310</c:v>
                </c:pt>
                <c:pt idx="11">
                  <c:v>876</c:v>
                </c:pt>
                <c:pt idx="12">
                  <c:v>5020</c:v>
                </c:pt>
                <c:pt idx="13">
                  <c:v>1680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580736"/>
        <c:axId val="479515712"/>
      </c:lineChart>
      <c:catAx>
        <c:axId val="5425807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9515712"/>
        <c:crosses val="autoZero"/>
        <c:auto val="1"/>
        <c:lblAlgn val="ctr"/>
        <c:lblOffset val="100"/>
        <c:noMultiLvlLbl val="0"/>
      </c:catAx>
      <c:valAx>
        <c:axId val="479515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54258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100% 33% 0% 0% 100% 100% 33% 0% 87% 0% 100% 37%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0.99980620155038757</c:v>
                </c:pt>
                <c:pt idx="3">
                  <c:v>0.3328888888888889</c:v>
                </c:pt>
                <c:pt idx="4">
                  <c:v>0</c:v>
                </c:pt>
                <c:pt idx="5">
                  <c:v>0</c:v>
                </c:pt>
                <c:pt idx="6">
                  <c:v>0.99978213507625269</c:v>
                </c:pt>
                <c:pt idx="7">
                  <c:v>0.99881556683587136</c:v>
                </c:pt>
                <c:pt idx="8">
                  <c:v>0.33205128205128204</c:v>
                </c:pt>
                <c:pt idx="9">
                  <c:v>0</c:v>
                </c:pt>
                <c:pt idx="10">
                  <c:v>0.87398491879350348</c:v>
                </c:pt>
                <c:pt idx="11">
                  <c:v>0</c:v>
                </c:pt>
                <c:pt idx="12">
                  <c:v>0.99900398406374502</c:v>
                </c:pt>
                <c:pt idx="13">
                  <c:v>0.37299107142857146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0.39395493657923353</c:v>
                </c:pt>
                <c:pt idx="1">
                  <c:v>0.39395493657923353</c:v>
                </c:pt>
                <c:pt idx="2">
                  <c:v>0.39395493657923353</c:v>
                </c:pt>
                <c:pt idx="3">
                  <c:v>0.39395493657923353</c:v>
                </c:pt>
                <c:pt idx="4">
                  <c:v>0.39395493657923353</c:v>
                </c:pt>
                <c:pt idx="5">
                  <c:v>0.39395493657923353</c:v>
                </c:pt>
                <c:pt idx="6">
                  <c:v>0.39395493657923353</c:v>
                </c:pt>
                <c:pt idx="7">
                  <c:v>0.39395493657923353</c:v>
                </c:pt>
                <c:pt idx="8">
                  <c:v>0.39395493657923353</c:v>
                </c:pt>
                <c:pt idx="9">
                  <c:v>0.39395493657923353</c:v>
                </c:pt>
                <c:pt idx="10">
                  <c:v>0.39395493657923353</c:v>
                </c:pt>
                <c:pt idx="11">
                  <c:v>0.39395493657923353</c:v>
                </c:pt>
                <c:pt idx="12">
                  <c:v>0.39395493657923353</c:v>
                </c:pt>
                <c:pt idx="13">
                  <c:v>0.39395493657923353</c:v>
                </c:pt>
                <c:pt idx="14">
                  <c:v>0.39395493657923353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582272"/>
        <c:axId val="479517440"/>
      </c:lineChart>
      <c:catAx>
        <c:axId val="54258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9517440"/>
        <c:crosses val="autoZero"/>
        <c:auto val="1"/>
        <c:lblAlgn val="ctr"/>
        <c:lblOffset val="100"/>
        <c:noMultiLvlLbl val="0"/>
      </c:catAx>
      <c:valAx>
        <c:axId val="479517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42582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582784"/>
        <c:axId val="6575074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582784"/>
        <c:axId val="657507456"/>
      </c:lineChart>
      <c:catAx>
        <c:axId val="54258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657507456"/>
        <c:crosses val="autoZero"/>
        <c:auto val="1"/>
        <c:lblAlgn val="ctr"/>
        <c:lblOffset val="100"/>
        <c:noMultiLvlLbl val="0"/>
      </c:catAx>
      <c:valAx>
        <c:axId val="6575074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25827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1">
                  <c:v>562</c:v>
                </c:pt>
                <c:pt idx="2">
                  <c:v>5091</c:v>
                </c:pt>
                <c:pt idx="3">
                  <c:v>4787</c:v>
                </c:pt>
                <c:pt idx="4">
                  <c:v>422</c:v>
                </c:pt>
                <c:pt idx="6">
                  <c:v>780</c:v>
                </c:pt>
                <c:pt idx="8">
                  <c:v>259</c:v>
                </c:pt>
                <c:pt idx="10">
                  <c:v>5680</c:v>
                </c:pt>
                <c:pt idx="12">
                  <c:v>5713</c:v>
                </c:pt>
                <c:pt idx="13">
                  <c:v>3007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570</c:v>
                </c:pt>
                <c:pt idx="2">
                  <c:v>5100</c:v>
                </c:pt>
                <c:pt idx="3">
                  <c:v>4790</c:v>
                </c:pt>
                <c:pt idx="4">
                  <c:v>430</c:v>
                </c:pt>
                <c:pt idx="5">
                  <c:v>4400</c:v>
                </c:pt>
                <c:pt idx="6">
                  <c:v>780</c:v>
                </c:pt>
                <c:pt idx="7">
                  <c:v>5910</c:v>
                </c:pt>
                <c:pt idx="8">
                  <c:v>260</c:v>
                </c:pt>
                <c:pt idx="9">
                  <c:v>760</c:v>
                </c:pt>
                <c:pt idx="10">
                  <c:v>5680</c:v>
                </c:pt>
                <c:pt idx="11">
                  <c:v>876</c:v>
                </c:pt>
                <c:pt idx="12">
                  <c:v>5720</c:v>
                </c:pt>
                <c:pt idx="13">
                  <c:v>3010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401984"/>
        <c:axId val="657510336"/>
      </c:lineChart>
      <c:catAx>
        <c:axId val="4794019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7510336"/>
        <c:crosses val="autoZero"/>
        <c:auto val="1"/>
        <c:lblAlgn val="ctr"/>
        <c:lblOffset val="100"/>
        <c:noMultiLvlLbl val="0"/>
      </c:catAx>
      <c:valAx>
        <c:axId val="6575103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79401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16% 100% 96% 16% 0% 17% 0% 33% 0% 100% 0% 100% 67%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0.16432748538011693</c:v>
                </c:pt>
                <c:pt idx="2">
                  <c:v>0.99823529411764711</c:v>
                </c:pt>
                <c:pt idx="3">
                  <c:v>0.95773312456506621</c:v>
                </c:pt>
                <c:pt idx="4">
                  <c:v>0.16356589147286821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0.33205128205128204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0.99877622377622377</c:v>
                </c:pt>
                <c:pt idx="13">
                  <c:v>0.66600221483942412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0.36315721219128633</c:v>
                </c:pt>
                <c:pt idx="1">
                  <c:v>0.36315721219128633</c:v>
                </c:pt>
                <c:pt idx="2">
                  <c:v>0.36315721219128633</c:v>
                </c:pt>
                <c:pt idx="3">
                  <c:v>0.36315721219128633</c:v>
                </c:pt>
                <c:pt idx="4">
                  <c:v>0.36315721219128633</c:v>
                </c:pt>
                <c:pt idx="5">
                  <c:v>0.36315721219128633</c:v>
                </c:pt>
                <c:pt idx="6">
                  <c:v>0.36315721219128633</c:v>
                </c:pt>
                <c:pt idx="7">
                  <c:v>0.36315721219128633</c:v>
                </c:pt>
                <c:pt idx="8">
                  <c:v>0.36315721219128633</c:v>
                </c:pt>
                <c:pt idx="9">
                  <c:v>0.36315721219128633</c:v>
                </c:pt>
                <c:pt idx="10">
                  <c:v>0.36315721219128633</c:v>
                </c:pt>
                <c:pt idx="11">
                  <c:v>0.36315721219128633</c:v>
                </c:pt>
                <c:pt idx="12">
                  <c:v>0.36315721219128633</c:v>
                </c:pt>
                <c:pt idx="13">
                  <c:v>0.36315721219128633</c:v>
                </c:pt>
                <c:pt idx="14">
                  <c:v>0.36315721219128633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02176"/>
        <c:axId val="657512064"/>
      </c:lineChart>
      <c:catAx>
        <c:axId val="21240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7512064"/>
        <c:crosses val="autoZero"/>
        <c:auto val="1"/>
        <c:lblAlgn val="ctr"/>
        <c:lblOffset val="100"/>
        <c:noMultiLvlLbl val="0"/>
      </c:catAx>
      <c:valAx>
        <c:axId val="657512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402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1">
                  <c:v>562</c:v>
                </c:pt>
                <c:pt idx="2">
                  <c:v>5091</c:v>
                </c:pt>
                <c:pt idx="3">
                  <c:v>4787</c:v>
                </c:pt>
                <c:pt idx="4">
                  <c:v>422</c:v>
                </c:pt>
                <c:pt idx="6">
                  <c:v>780</c:v>
                </c:pt>
                <c:pt idx="8">
                  <c:v>259</c:v>
                </c:pt>
                <c:pt idx="10">
                  <c:v>5680</c:v>
                </c:pt>
                <c:pt idx="12">
                  <c:v>5713</c:v>
                </c:pt>
                <c:pt idx="13">
                  <c:v>3007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570</c:v>
                </c:pt>
                <c:pt idx="2">
                  <c:v>5100</c:v>
                </c:pt>
                <c:pt idx="3">
                  <c:v>4790</c:v>
                </c:pt>
                <c:pt idx="4">
                  <c:v>430</c:v>
                </c:pt>
                <c:pt idx="5">
                  <c:v>4400</c:v>
                </c:pt>
                <c:pt idx="6">
                  <c:v>780</c:v>
                </c:pt>
                <c:pt idx="7">
                  <c:v>5910</c:v>
                </c:pt>
                <c:pt idx="8">
                  <c:v>260</c:v>
                </c:pt>
                <c:pt idx="9">
                  <c:v>760</c:v>
                </c:pt>
                <c:pt idx="10">
                  <c:v>5680</c:v>
                </c:pt>
                <c:pt idx="11">
                  <c:v>876</c:v>
                </c:pt>
                <c:pt idx="12">
                  <c:v>5720</c:v>
                </c:pt>
                <c:pt idx="13">
                  <c:v>3010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02688"/>
        <c:axId val="207609856"/>
      </c:lineChart>
      <c:catAx>
        <c:axId val="2124026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7609856"/>
        <c:crosses val="autoZero"/>
        <c:auto val="1"/>
        <c:lblAlgn val="ctr"/>
        <c:lblOffset val="100"/>
        <c:noMultiLvlLbl val="0"/>
      </c:catAx>
      <c:valAx>
        <c:axId val="207609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402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16% 100% 96% 16% 0% 17% 0% 33% 0% 100% 0% 100% 67%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0.16432748538011693</c:v>
                </c:pt>
                <c:pt idx="2">
                  <c:v>0.99823529411764711</c:v>
                </c:pt>
                <c:pt idx="3">
                  <c:v>0.95773312456506621</c:v>
                </c:pt>
                <c:pt idx="4">
                  <c:v>0.16356589147286821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  <c:pt idx="8">
                  <c:v>0.33205128205128204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0.99877622377622377</c:v>
                </c:pt>
                <c:pt idx="13">
                  <c:v>0.66600221483942412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SLIDER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0.36315721219128633</c:v>
                </c:pt>
                <c:pt idx="1">
                  <c:v>0.36315721219128633</c:v>
                </c:pt>
                <c:pt idx="2">
                  <c:v>0.36315721219128633</c:v>
                </c:pt>
                <c:pt idx="3">
                  <c:v>0.36315721219128633</c:v>
                </c:pt>
                <c:pt idx="4">
                  <c:v>0.36315721219128633</c:v>
                </c:pt>
                <c:pt idx="5">
                  <c:v>0.36315721219128633</c:v>
                </c:pt>
                <c:pt idx="6">
                  <c:v>0.36315721219128633</c:v>
                </c:pt>
                <c:pt idx="7">
                  <c:v>0.36315721219128633</c:v>
                </c:pt>
                <c:pt idx="8">
                  <c:v>0.36315721219128633</c:v>
                </c:pt>
                <c:pt idx="9">
                  <c:v>0.36315721219128633</c:v>
                </c:pt>
                <c:pt idx="10">
                  <c:v>0.36315721219128633</c:v>
                </c:pt>
                <c:pt idx="11">
                  <c:v>0.36315721219128633</c:v>
                </c:pt>
                <c:pt idx="12">
                  <c:v>0.36315721219128633</c:v>
                </c:pt>
                <c:pt idx="13">
                  <c:v>0.36315721219128633</c:v>
                </c:pt>
                <c:pt idx="14">
                  <c:v>0.36315721219128633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583296"/>
        <c:axId val="207611584"/>
      </c:lineChart>
      <c:catAx>
        <c:axId val="54258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7611584"/>
        <c:crosses val="autoZero"/>
        <c:auto val="1"/>
        <c:lblAlgn val="ctr"/>
        <c:lblOffset val="100"/>
        <c:noMultiLvlLbl val="0"/>
      </c:catAx>
      <c:valAx>
        <c:axId val="207611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42583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04224"/>
        <c:axId val="2076138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04224"/>
        <c:axId val="207613888"/>
      </c:lineChart>
      <c:catAx>
        <c:axId val="21240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13888"/>
        <c:crosses val="autoZero"/>
        <c:auto val="1"/>
        <c:lblAlgn val="ctr"/>
        <c:lblOffset val="100"/>
        <c:noMultiLvlLbl val="0"/>
      </c:catAx>
      <c:valAx>
        <c:axId val="2076138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4042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3624</c:v>
                </c:pt>
                <c:pt idx="2">
                  <c:v>3333</c:v>
                </c:pt>
                <c:pt idx="3">
                  <c:v>5199</c:v>
                </c:pt>
                <c:pt idx="6">
                  <c:v>3258</c:v>
                </c:pt>
                <c:pt idx="7">
                  <c:v>950</c:v>
                </c:pt>
                <c:pt idx="8">
                  <c:v>980</c:v>
                </c:pt>
                <c:pt idx="11">
                  <c:v>5703</c:v>
                </c:pt>
                <c:pt idx="12">
                  <c:v>572</c:v>
                </c:pt>
                <c:pt idx="14">
                  <c:v>3013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3630</c:v>
                </c:pt>
                <c:pt idx="2">
                  <c:v>3340</c:v>
                </c:pt>
                <c:pt idx="3">
                  <c:v>5200</c:v>
                </c:pt>
                <c:pt idx="4">
                  <c:v>430</c:v>
                </c:pt>
                <c:pt idx="5">
                  <c:v>4400</c:v>
                </c:pt>
                <c:pt idx="6">
                  <c:v>3260</c:v>
                </c:pt>
                <c:pt idx="7">
                  <c:v>950</c:v>
                </c:pt>
                <c:pt idx="8">
                  <c:v>980</c:v>
                </c:pt>
                <c:pt idx="9">
                  <c:v>260</c:v>
                </c:pt>
                <c:pt idx="10">
                  <c:v>760</c:v>
                </c:pt>
                <c:pt idx="11">
                  <c:v>5710</c:v>
                </c:pt>
                <c:pt idx="12">
                  <c:v>572</c:v>
                </c:pt>
                <c:pt idx="13">
                  <c:v>5720</c:v>
                </c:pt>
                <c:pt idx="14">
                  <c:v>3020</c:v>
                </c:pt>
                <c:pt idx="15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830400"/>
        <c:axId val="207616768"/>
      </c:lineChart>
      <c:catAx>
        <c:axId val="6578304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7616768"/>
        <c:crosses val="autoZero"/>
        <c:auto val="1"/>
        <c:lblAlgn val="ctr"/>
        <c:lblOffset val="100"/>
        <c:noMultiLvlLbl val="0"/>
      </c:catAx>
      <c:valAx>
        <c:axId val="2076167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7830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0% 75% 71% 100% 0% 0% 79% 25% 25% 0% 0% 100% 17% 0% 58%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0.74876033057851243</c:v>
                </c:pt>
                <c:pt idx="2">
                  <c:v>0.70684880239520964</c:v>
                </c:pt>
                <c:pt idx="3">
                  <c:v>0.99980769230769229</c:v>
                </c:pt>
                <c:pt idx="4">
                  <c:v>0</c:v>
                </c:pt>
                <c:pt idx="5">
                  <c:v>0</c:v>
                </c:pt>
                <c:pt idx="6">
                  <c:v>0.79118098159509198</c:v>
                </c:pt>
                <c:pt idx="7">
                  <c:v>0.25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0.99877408056042027</c:v>
                </c:pt>
                <c:pt idx="12">
                  <c:v>0.16666666666666666</c:v>
                </c:pt>
                <c:pt idx="13">
                  <c:v>0</c:v>
                </c:pt>
                <c:pt idx="14">
                  <c:v>0.5819812362030905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0.36626798602044564</c:v>
                </c:pt>
                <c:pt idx="1">
                  <c:v>0.36626798602044564</c:v>
                </c:pt>
                <c:pt idx="2">
                  <c:v>0.36626798602044564</c:v>
                </c:pt>
                <c:pt idx="3">
                  <c:v>0.36626798602044564</c:v>
                </c:pt>
                <c:pt idx="4">
                  <c:v>0.36626798602044564</c:v>
                </c:pt>
                <c:pt idx="5">
                  <c:v>0.36626798602044564</c:v>
                </c:pt>
                <c:pt idx="6">
                  <c:v>0.36626798602044564</c:v>
                </c:pt>
                <c:pt idx="7">
                  <c:v>0.36626798602044564</c:v>
                </c:pt>
                <c:pt idx="8">
                  <c:v>0.36626798602044564</c:v>
                </c:pt>
                <c:pt idx="9">
                  <c:v>0.36626798602044564</c:v>
                </c:pt>
                <c:pt idx="10">
                  <c:v>0.36626798602044564</c:v>
                </c:pt>
                <c:pt idx="11">
                  <c:v>0.36626798602044564</c:v>
                </c:pt>
                <c:pt idx="12">
                  <c:v>0.36626798602044564</c:v>
                </c:pt>
                <c:pt idx="13">
                  <c:v>0.36626798602044564</c:v>
                </c:pt>
                <c:pt idx="14">
                  <c:v>0.36626798602044564</c:v>
                </c:pt>
                <c:pt idx="15">
                  <c:v>0.36626798602044564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832448"/>
        <c:axId val="657941056"/>
      </c:lineChart>
      <c:catAx>
        <c:axId val="65783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7941056"/>
        <c:crosses val="autoZero"/>
        <c:auto val="1"/>
        <c:lblAlgn val="ctr"/>
        <c:lblOffset val="100"/>
        <c:noMultiLvlLbl val="0"/>
      </c:catAx>
      <c:valAx>
        <c:axId val="6579410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83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3624</c:v>
                </c:pt>
                <c:pt idx="2">
                  <c:v>3333</c:v>
                </c:pt>
                <c:pt idx="3">
                  <c:v>5199</c:v>
                </c:pt>
                <c:pt idx="6">
                  <c:v>3258</c:v>
                </c:pt>
                <c:pt idx="7">
                  <c:v>950</c:v>
                </c:pt>
                <c:pt idx="8">
                  <c:v>980</c:v>
                </c:pt>
                <c:pt idx="11">
                  <c:v>5703</c:v>
                </c:pt>
                <c:pt idx="12">
                  <c:v>572</c:v>
                </c:pt>
                <c:pt idx="14">
                  <c:v>3013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3630</c:v>
                </c:pt>
                <c:pt idx="2">
                  <c:v>3340</c:v>
                </c:pt>
                <c:pt idx="3">
                  <c:v>5200</c:v>
                </c:pt>
                <c:pt idx="4">
                  <c:v>430</c:v>
                </c:pt>
                <c:pt idx="5">
                  <c:v>4400</c:v>
                </c:pt>
                <c:pt idx="6">
                  <c:v>3260</c:v>
                </c:pt>
                <c:pt idx="7">
                  <c:v>950</c:v>
                </c:pt>
                <c:pt idx="8">
                  <c:v>980</c:v>
                </c:pt>
                <c:pt idx="9">
                  <c:v>260</c:v>
                </c:pt>
                <c:pt idx="10">
                  <c:v>760</c:v>
                </c:pt>
                <c:pt idx="11">
                  <c:v>5710</c:v>
                </c:pt>
                <c:pt idx="12">
                  <c:v>572</c:v>
                </c:pt>
                <c:pt idx="13">
                  <c:v>5720</c:v>
                </c:pt>
                <c:pt idx="14">
                  <c:v>3020</c:v>
                </c:pt>
                <c:pt idx="15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343488"/>
        <c:axId val="657943360"/>
      </c:lineChart>
      <c:catAx>
        <c:axId val="6573434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7943360"/>
        <c:crosses val="autoZero"/>
        <c:auto val="1"/>
        <c:lblAlgn val="ctr"/>
        <c:lblOffset val="100"/>
        <c:noMultiLvlLbl val="0"/>
      </c:catAx>
      <c:valAx>
        <c:axId val="6579433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7343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0% 75% 71% 100% 0% 0% 79% 25% 25% 0% 0% 100% 17% 0% 58%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0.74876033057851243</c:v>
                </c:pt>
                <c:pt idx="2">
                  <c:v>0.70684880239520964</c:v>
                </c:pt>
                <c:pt idx="3">
                  <c:v>0.99980769230769229</c:v>
                </c:pt>
                <c:pt idx="4">
                  <c:v>0</c:v>
                </c:pt>
                <c:pt idx="5">
                  <c:v>0</c:v>
                </c:pt>
                <c:pt idx="6">
                  <c:v>0.79118098159509198</c:v>
                </c:pt>
                <c:pt idx="7">
                  <c:v>0.25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0.99877408056042027</c:v>
                </c:pt>
                <c:pt idx="12">
                  <c:v>0.16666666666666666</c:v>
                </c:pt>
                <c:pt idx="13">
                  <c:v>0</c:v>
                </c:pt>
                <c:pt idx="14">
                  <c:v>0.5819812362030905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0.36626798602044564</c:v>
                </c:pt>
                <c:pt idx="1">
                  <c:v>0.36626798602044564</c:v>
                </c:pt>
                <c:pt idx="2">
                  <c:v>0.36626798602044564</c:v>
                </c:pt>
                <c:pt idx="3">
                  <c:v>0.36626798602044564</c:v>
                </c:pt>
                <c:pt idx="4">
                  <c:v>0.36626798602044564</c:v>
                </c:pt>
                <c:pt idx="5">
                  <c:v>0.36626798602044564</c:v>
                </c:pt>
                <c:pt idx="6">
                  <c:v>0.36626798602044564</c:v>
                </c:pt>
                <c:pt idx="7">
                  <c:v>0.36626798602044564</c:v>
                </c:pt>
                <c:pt idx="8">
                  <c:v>0.36626798602044564</c:v>
                </c:pt>
                <c:pt idx="9">
                  <c:v>0.36626798602044564</c:v>
                </c:pt>
                <c:pt idx="10">
                  <c:v>0.36626798602044564</c:v>
                </c:pt>
                <c:pt idx="11">
                  <c:v>0.36626798602044564</c:v>
                </c:pt>
                <c:pt idx="12">
                  <c:v>0.36626798602044564</c:v>
                </c:pt>
                <c:pt idx="13">
                  <c:v>0.36626798602044564</c:v>
                </c:pt>
                <c:pt idx="14">
                  <c:v>0.36626798602044564</c:v>
                </c:pt>
                <c:pt idx="15">
                  <c:v>0.36626798602044564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344512"/>
        <c:axId val="657945088"/>
      </c:lineChart>
      <c:catAx>
        <c:axId val="65734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7945088"/>
        <c:crosses val="autoZero"/>
        <c:auto val="1"/>
        <c:lblAlgn val="ctr"/>
        <c:lblOffset val="100"/>
        <c:noMultiLvlLbl val="0"/>
      </c:catAx>
      <c:valAx>
        <c:axId val="657945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34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345024"/>
        <c:axId val="6579473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345024"/>
        <c:axId val="657947392"/>
      </c:lineChart>
      <c:catAx>
        <c:axId val="657345024"/>
        <c:scaling>
          <c:orientation val="minMax"/>
        </c:scaling>
        <c:delete val="0"/>
        <c:axPos val="b"/>
        <c:majorTickMark val="out"/>
        <c:minorTickMark val="none"/>
        <c:tickLblPos val="nextTo"/>
        <c:crossAx val="657947392"/>
        <c:crosses val="autoZero"/>
        <c:auto val="1"/>
        <c:lblAlgn val="ctr"/>
        <c:lblOffset val="100"/>
        <c:noMultiLvlLbl val="0"/>
      </c:catAx>
      <c:valAx>
        <c:axId val="657947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73450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1">
                  <c:v>3000</c:v>
                </c:pt>
                <c:pt idx="2">
                  <c:v>5501</c:v>
                </c:pt>
                <c:pt idx="5">
                  <c:v>954</c:v>
                </c:pt>
                <c:pt idx="6">
                  <c:v>4724</c:v>
                </c:pt>
                <c:pt idx="10">
                  <c:v>3440</c:v>
                </c:pt>
                <c:pt idx="11">
                  <c:v>3768</c:v>
                </c:pt>
                <c:pt idx="12">
                  <c:v>952</c:v>
                </c:pt>
                <c:pt idx="13">
                  <c:v>4729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3000</c:v>
                </c:pt>
                <c:pt idx="2">
                  <c:v>5510</c:v>
                </c:pt>
                <c:pt idx="3">
                  <c:v>5200</c:v>
                </c:pt>
                <c:pt idx="4">
                  <c:v>430</c:v>
                </c:pt>
                <c:pt idx="5">
                  <c:v>960</c:v>
                </c:pt>
                <c:pt idx="6">
                  <c:v>4730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3440</c:v>
                </c:pt>
                <c:pt idx="11">
                  <c:v>3770</c:v>
                </c:pt>
                <c:pt idx="12">
                  <c:v>952</c:v>
                </c:pt>
                <c:pt idx="13">
                  <c:v>4730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28672"/>
        <c:axId val="658097856"/>
      </c:lineChart>
      <c:catAx>
        <c:axId val="6576286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8097856"/>
        <c:crosses val="autoZero"/>
        <c:auto val="1"/>
        <c:lblAlgn val="ctr"/>
        <c:lblOffset val="100"/>
        <c:noMultiLvlLbl val="0"/>
      </c:catAx>
      <c:valAx>
        <c:axId val="658097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7628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"/>
                <c:pt idx="0">
                  <c:v>0% 71% 100% 0% 0% 25% 100% 0% 0% 0% 75% 83% 25%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0.70833333333333337</c:v>
                </c:pt>
                <c:pt idx="2">
                  <c:v>0.99836660617059891</c:v>
                </c:pt>
                <c:pt idx="3">
                  <c:v>0</c:v>
                </c:pt>
                <c:pt idx="4">
                  <c:v>0</c:v>
                </c:pt>
                <c:pt idx="5">
                  <c:v>0.24843750000000001</c:v>
                </c:pt>
                <c:pt idx="6">
                  <c:v>0.99873150105708242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0.83289124668435011</c:v>
                </c:pt>
                <c:pt idx="12">
                  <c:v>0.25</c:v>
                </c:pt>
                <c:pt idx="13">
                  <c:v>0.95813072586328407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0.38299272754057662</c:v>
                </c:pt>
                <c:pt idx="1">
                  <c:v>0.38299272754057662</c:v>
                </c:pt>
                <c:pt idx="2">
                  <c:v>0.38299272754057662</c:v>
                </c:pt>
                <c:pt idx="3">
                  <c:v>0.38299272754057662</c:v>
                </c:pt>
                <c:pt idx="4">
                  <c:v>0.38299272754057662</c:v>
                </c:pt>
                <c:pt idx="5">
                  <c:v>0.38299272754057662</c:v>
                </c:pt>
                <c:pt idx="6">
                  <c:v>0.38299272754057662</c:v>
                </c:pt>
                <c:pt idx="7">
                  <c:v>0.38299272754057662</c:v>
                </c:pt>
                <c:pt idx="8">
                  <c:v>0.38299272754057662</c:v>
                </c:pt>
                <c:pt idx="9">
                  <c:v>0.38299272754057662</c:v>
                </c:pt>
                <c:pt idx="10">
                  <c:v>0.38299272754057662</c:v>
                </c:pt>
                <c:pt idx="11">
                  <c:v>0.38299272754057662</c:v>
                </c:pt>
                <c:pt idx="12">
                  <c:v>0.38299272754057662</c:v>
                </c:pt>
                <c:pt idx="13">
                  <c:v>0.38299272754057662</c:v>
                </c:pt>
                <c:pt idx="14">
                  <c:v>0.38299272754057662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46080"/>
        <c:axId val="658099584"/>
      </c:lineChart>
      <c:catAx>
        <c:axId val="6576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8099584"/>
        <c:crosses val="autoZero"/>
        <c:auto val="1"/>
        <c:lblAlgn val="ctr"/>
        <c:lblOffset val="100"/>
        <c:noMultiLvlLbl val="0"/>
      </c:catAx>
      <c:valAx>
        <c:axId val="658099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646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1">
                  <c:v>3000</c:v>
                </c:pt>
                <c:pt idx="2">
                  <c:v>5501</c:v>
                </c:pt>
                <c:pt idx="5">
                  <c:v>954</c:v>
                </c:pt>
                <c:pt idx="6">
                  <c:v>4724</c:v>
                </c:pt>
                <c:pt idx="10">
                  <c:v>3440</c:v>
                </c:pt>
                <c:pt idx="11">
                  <c:v>3768</c:v>
                </c:pt>
                <c:pt idx="12">
                  <c:v>952</c:v>
                </c:pt>
                <c:pt idx="13">
                  <c:v>4729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3000</c:v>
                </c:pt>
                <c:pt idx="2">
                  <c:v>5510</c:v>
                </c:pt>
                <c:pt idx="3">
                  <c:v>5200</c:v>
                </c:pt>
                <c:pt idx="4">
                  <c:v>430</c:v>
                </c:pt>
                <c:pt idx="5">
                  <c:v>960</c:v>
                </c:pt>
                <c:pt idx="6">
                  <c:v>4730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3440</c:v>
                </c:pt>
                <c:pt idx="11">
                  <c:v>3770</c:v>
                </c:pt>
                <c:pt idx="12">
                  <c:v>952</c:v>
                </c:pt>
                <c:pt idx="13">
                  <c:v>4730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47104"/>
        <c:axId val="658101888"/>
      </c:lineChart>
      <c:catAx>
        <c:axId val="6576471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8101888"/>
        <c:crosses val="autoZero"/>
        <c:auto val="1"/>
        <c:lblAlgn val="ctr"/>
        <c:lblOffset val="100"/>
        <c:noMultiLvlLbl val="0"/>
      </c:catAx>
      <c:valAx>
        <c:axId val="6581018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764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"/>
                <c:pt idx="0">
                  <c:v>0% 71% 100% 0% 0% 25% 100% 0% 0% 0% 75% 83% 25%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0.70833333333333337</c:v>
                </c:pt>
                <c:pt idx="2">
                  <c:v>0.99836660617059891</c:v>
                </c:pt>
                <c:pt idx="3">
                  <c:v>0</c:v>
                </c:pt>
                <c:pt idx="4">
                  <c:v>0</c:v>
                </c:pt>
                <c:pt idx="5">
                  <c:v>0.24843750000000001</c:v>
                </c:pt>
                <c:pt idx="6">
                  <c:v>0.99873150105708242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0.83289124668435011</c:v>
                </c:pt>
                <c:pt idx="12">
                  <c:v>0.25</c:v>
                </c:pt>
                <c:pt idx="13">
                  <c:v>0.95813072586328407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0.38299272754057662</c:v>
                </c:pt>
                <c:pt idx="1">
                  <c:v>0.38299272754057662</c:v>
                </c:pt>
                <c:pt idx="2">
                  <c:v>0.38299272754057662</c:v>
                </c:pt>
                <c:pt idx="3">
                  <c:v>0.38299272754057662</c:v>
                </c:pt>
                <c:pt idx="4">
                  <c:v>0.38299272754057662</c:v>
                </c:pt>
                <c:pt idx="5">
                  <c:v>0.38299272754057662</c:v>
                </c:pt>
                <c:pt idx="6">
                  <c:v>0.38299272754057662</c:v>
                </c:pt>
                <c:pt idx="7">
                  <c:v>0.38299272754057662</c:v>
                </c:pt>
                <c:pt idx="8">
                  <c:v>0.38299272754057662</c:v>
                </c:pt>
                <c:pt idx="9">
                  <c:v>0.38299272754057662</c:v>
                </c:pt>
                <c:pt idx="10">
                  <c:v>0.38299272754057662</c:v>
                </c:pt>
                <c:pt idx="11">
                  <c:v>0.38299272754057662</c:v>
                </c:pt>
                <c:pt idx="12">
                  <c:v>0.38299272754057662</c:v>
                </c:pt>
                <c:pt idx="13">
                  <c:v>0.38299272754057662</c:v>
                </c:pt>
                <c:pt idx="14">
                  <c:v>0.38299272754057662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47616"/>
        <c:axId val="658103616"/>
      </c:lineChart>
      <c:catAx>
        <c:axId val="65764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8103616"/>
        <c:crosses val="autoZero"/>
        <c:auto val="1"/>
        <c:lblAlgn val="ctr"/>
        <c:lblOffset val="100"/>
        <c:noMultiLvlLbl val="0"/>
      </c:catAx>
      <c:valAx>
        <c:axId val="6581036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64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648128"/>
        <c:axId val="6577456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48128"/>
        <c:axId val="657745600"/>
      </c:lineChart>
      <c:catAx>
        <c:axId val="65764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657745600"/>
        <c:crosses val="autoZero"/>
        <c:auto val="1"/>
        <c:lblAlgn val="ctr"/>
        <c:lblOffset val="100"/>
        <c:noMultiLvlLbl val="0"/>
      </c:catAx>
      <c:valAx>
        <c:axId val="657745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76481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1">
                  <c:v>2279</c:v>
                </c:pt>
                <c:pt idx="2">
                  <c:v>6017</c:v>
                </c:pt>
                <c:pt idx="3">
                  <c:v>3263</c:v>
                </c:pt>
                <c:pt idx="4">
                  <c:v>0</c:v>
                </c:pt>
                <c:pt idx="5">
                  <c:v>800</c:v>
                </c:pt>
                <c:pt idx="6">
                  <c:v>2075</c:v>
                </c:pt>
                <c:pt idx="10">
                  <c:v>5882</c:v>
                </c:pt>
                <c:pt idx="11">
                  <c:v>680</c:v>
                </c:pt>
                <c:pt idx="12">
                  <c:v>4417</c:v>
                </c:pt>
                <c:pt idx="13">
                  <c:v>5107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2280</c:v>
                </c:pt>
                <c:pt idx="2">
                  <c:v>6020</c:v>
                </c:pt>
                <c:pt idx="3">
                  <c:v>3300</c:v>
                </c:pt>
                <c:pt idx="4">
                  <c:v>430</c:v>
                </c:pt>
                <c:pt idx="5">
                  <c:v>800</c:v>
                </c:pt>
                <c:pt idx="6">
                  <c:v>2080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5890</c:v>
                </c:pt>
                <c:pt idx="11">
                  <c:v>680</c:v>
                </c:pt>
                <c:pt idx="12">
                  <c:v>4420</c:v>
                </c:pt>
                <c:pt idx="13">
                  <c:v>5110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00480"/>
        <c:axId val="657748480"/>
      </c:lineChart>
      <c:catAx>
        <c:axId val="658900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7748480"/>
        <c:crosses val="autoZero"/>
        <c:auto val="1"/>
        <c:lblAlgn val="ctr"/>
        <c:lblOffset val="100"/>
        <c:noMultiLvlLbl val="0"/>
      </c:catAx>
      <c:valAx>
        <c:axId val="6577484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8900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46% 100% 78% 0% 21% 50% 0% 0% 0% 100% 17% 96%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0.45813230994152049</c:v>
                </c:pt>
                <c:pt idx="2">
                  <c:v>0.99950166112956806</c:v>
                </c:pt>
                <c:pt idx="3">
                  <c:v>0.78279040404040401</c:v>
                </c:pt>
                <c:pt idx="4">
                  <c:v>0</c:v>
                </c:pt>
                <c:pt idx="5">
                  <c:v>0.20833333333333334</c:v>
                </c:pt>
                <c:pt idx="6">
                  <c:v>0.49879807692307693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0.99864176570458407</c:v>
                </c:pt>
                <c:pt idx="11">
                  <c:v>0.16666666666666666</c:v>
                </c:pt>
                <c:pt idx="12">
                  <c:v>0.95768288084464559</c:v>
                </c:pt>
                <c:pt idx="13">
                  <c:v>0.99941291585127201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0.40466400096233807</c:v>
                </c:pt>
                <c:pt idx="1">
                  <c:v>0.40466400096233807</c:v>
                </c:pt>
                <c:pt idx="2">
                  <c:v>0.40466400096233807</c:v>
                </c:pt>
                <c:pt idx="3">
                  <c:v>0.40466400096233807</c:v>
                </c:pt>
                <c:pt idx="4">
                  <c:v>0.40466400096233807</c:v>
                </c:pt>
                <c:pt idx="5">
                  <c:v>0.40466400096233807</c:v>
                </c:pt>
                <c:pt idx="6">
                  <c:v>0.40466400096233807</c:v>
                </c:pt>
                <c:pt idx="7">
                  <c:v>0.40466400096233807</c:v>
                </c:pt>
                <c:pt idx="8">
                  <c:v>0.40466400096233807</c:v>
                </c:pt>
                <c:pt idx="9">
                  <c:v>0.40466400096233807</c:v>
                </c:pt>
                <c:pt idx="10">
                  <c:v>0.40466400096233807</c:v>
                </c:pt>
                <c:pt idx="11">
                  <c:v>0.40466400096233807</c:v>
                </c:pt>
                <c:pt idx="12">
                  <c:v>0.40466400096233807</c:v>
                </c:pt>
                <c:pt idx="13">
                  <c:v>0.40466400096233807</c:v>
                </c:pt>
                <c:pt idx="14">
                  <c:v>0.40466400096233807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02528"/>
        <c:axId val="657750208"/>
      </c:lineChart>
      <c:catAx>
        <c:axId val="65890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7750208"/>
        <c:crosses val="autoZero"/>
        <c:auto val="1"/>
        <c:lblAlgn val="ctr"/>
        <c:lblOffset val="100"/>
        <c:noMultiLvlLbl val="0"/>
      </c:catAx>
      <c:valAx>
        <c:axId val="6577502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8902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1">
                  <c:v>2279</c:v>
                </c:pt>
                <c:pt idx="2">
                  <c:v>6017</c:v>
                </c:pt>
                <c:pt idx="3">
                  <c:v>3263</c:v>
                </c:pt>
                <c:pt idx="4">
                  <c:v>0</c:v>
                </c:pt>
                <c:pt idx="5">
                  <c:v>800</c:v>
                </c:pt>
                <c:pt idx="6">
                  <c:v>2075</c:v>
                </c:pt>
                <c:pt idx="10">
                  <c:v>5882</c:v>
                </c:pt>
                <c:pt idx="11">
                  <c:v>680</c:v>
                </c:pt>
                <c:pt idx="12">
                  <c:v>4417</c:v>
                </c:pt>
                <c:pt idx="13">
                  <c:v>5107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2280</c:v>
                </c:pt>
                <c:pt idx="2">
                  <c:v>6020</c:v>
                </c:pt>
                <c:pt idx="3">
                  <c:v>3300</c:v>
                </c:pt>
                <c:pt idx="4">
                  <c:v>430</c:v>
                </c:pt>
                <c:pt idx="5">
                  <c:v>800</c:v>
                </c:pt>
                <c:pt idx="6">
                  <c:v>2080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5890</c:v>
                </c:pt>
                <c:pt idx="11">
                  <c:v>680</c:v>
                </c:pt>
                <c:pt idx="12">
                  <c:v>4420</c:v>
                </c:pt>
                <c:pt idx="13">
                  <c:v>5110</c:v>
                </c:pt>
                <c:pt idx="14">
                  <c:v>9070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56288"/>
        <c:axId val="659137088"/>
      </c:lineChart>
      <c:catAx>
        <c:axId val="6589562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9137088"/>
        <c:crosses val="autoZero"/>
        <c:auto val="1"/>
        <c:lblAlgn val="ctr"/>
        <c:lblOffset val="100"/>
        <c:noMultiLvlLbl val="0"/>
      </c:catAx>
      <c:valAx>
        <c:axId val="6591370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8956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46% 100% 78% 0% 21% 50% 0% 0% 0% 100% 17% 96%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0.45813230994152049</c:v>
                </c:pt>
                <c:pt idx="2">
                  <c:v>0.99950166112956806</c:v>
                </c:pt>
                <c:pt idx="3">
                  <c:v>0.78279040404040401</c:v>
                </c:pt>
                <c:pt idx="4">
                  <c:v>0</c:v>
                </c:pt>
                <c:pt idx="5">
                  <c:v>0.20833333333333334</c:v>
                </c:pt>
                <c:pt idx="6">
                  <c:v>0.49879807692307693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0.99864176570458407</c:v>
                </c:pt>
                <c:pt idx="11">
                  <c:v>0.16666666666666666</c:v>
                </c:pt>
                <c:pt idx="12">
                  <c:v>0.95768288084464559</c:v>
                </c:pt>
                <c:pt idx="13">
                  <c:v>0.99941291585127201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0.40466400096233807</c:v>
                </c:pt>
                <c:pt idx="1">
                  <c:v>0.40466400096233807</c:v>
                </c:pt>
                <c:pt idx="2">
                  <c:v>0.40466400096233807</c:v>
                </c:pt>
                <c:pt idx="3">
                  <c:v>0.40466400096233807</c:v>
                </c:pt>
                <c:pt idx="4">
                  <c:v>0.40466400096233807</c:v>
                </c:pt>
                <c:pt idx="5">
                  <c:v>0.40466400096233807</c:v>
                </c:pt>
                <c:pt idx="6">
                  <c:v>0.40466400096233807</c:v>
                </c:pt>
                <c:pt idx="7">
                  <c:v>0.40466400096233807</c:v>
                </c:pt>
                <c:pt idx="8">
                  <c:v>0.40466400096233807</c:v>
                </c:pt>
                <c:pt idx="9">
                  <c:v>0.40466400096233807</c:v>
                </c:pt>
                <c:pt idx="10">
                  <c:v>0.40466400096233807</c:v>
                </c:pt>
                <c:pt idx="11">
                  <c:v>0.40466400096233807</c:v>
                </c:pt>
                <c:pt idx="12">
                  <c:v>0.40466400096233807</c:v>
                </c:pt>
                <c:pt idx="13">
                  <c:v>0.40466400096233807</c:v>
                </c:pt>
                <c:pt idx="14">
                  <c:v>0.40466400096233807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57824"/>
        <c:axId val="659138816"/>
      </c:lineChart>
      <c:catAx>
        <c:axId val="65895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9138816"/>
        <c:crosses val="autoZero"/>
        <c:auto val="1"/>
        <c:lblAlgn val="ctr"/>
        <c:lblOffset val="100"/>
        <c:noMultiLvlLbl val="0"/>
      </c:catAx>
      <c:valAx>
        <c:axId val="659138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895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8958336"/>
        <c:axId val="6591411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58336"/>
        <c:axId val="659141120"/>
      </c:lineChart>
      <c:catAx>
        <c:axId val="658958336"/>
        <c:scaling>
          <c:orientation val="minMax"/>
        </c:scaling>
        <c:delete val="0"/>
        <c:axPos val="b"/>
        <c:majorTickMark val="out"/>
        <c:minorTickMark val="none"/>
        <c:tickLblPos val="nextTo"/>
        <c:crossAx val="659141120"/>
        <c:crosses val="autoZero"/>
        <c:auto val="1"/>
        <c:lblAlgn val="ctr"/>
        <c:lblOffset val="100"/>
        <c:noMultiLvlLbl val="0"/>
      </c:catAx>
      <c:valAx>
        <c:axId val="659141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89583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2723</c:v>
                </c:pt>
                <c:pt idx="4">
                  <c:v>2031</c:v>
                </c:pt>
                <c:pt idx="5">
                  <c:v>0</c:v>
                </c:pt>
                <c:pt idx="6">
                  <c:v>2514</c:v>
                </c:pt>
                <c:pt idx="10">
                  <c:v>5091</c:v>
                </c:pt>
                <c:pt idx="12">
                  <c:v>5147</c:v>
                </c:pt>
                <c:pt idx="13">
                  <c:v>4581</c:v>
                </c:pt>
                <c:pt idx="14">
                  <c:v>50348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2280</c:v>
                </c:pt>
                <c:pt idx="2">
                  <c:v>2730</c:v>
                </c:pt>
                <c:pt idx="3">
                  <c:v>3300</c:v>
                </c:pt>
                <c:pt idx="4">
                  <c:v>2040</c:v>
                </c:pt>
                <c:pt idx="5">
                  <c:v>800</c:v>
                </c:pt>
                <c:pt idx="6">
                  <c:v>2520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5100</c:v>
                </c:pt>
                <c:pt idx="11">
                  <c:v>680</c:v>
                </c:pt>
                <c:pt idx="12">
                  <c:v>5150</c:v>
                </c:pt>
                <c:pt idx="13">
                  <c:v>4590</c:v>
                </c:pt>
                <c:pt idx="14">
                  <c:v>50350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826688"/>
        <c:axId val="659144000"/>
      </c:lineChart>
      <c:catAx>
        <c:axId val="6598266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9144000"/>
        <c:crosses val="autoZero"/>
        <c:auto val="1"/>
        <c:lblAlgn val="ctr"/>
        <c:lblOffset val="100"/>
        <c:noMultiLvlLbl val="0"/>
      </c:catAx>
      <c:valAx>
        <c:axId val="6591440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9826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0% 0% 58% 0% 50% 0% 58% 0% 0% 0% 100% 0% 100% 100%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0.58183760683760688</c:v>
                </c:pt>
                <c:pt idx="3">
                  <c:v>0</c:v>
                </c:pt>
                <c:pt idx="4">
                  <c:v>0.49779411764705883</c:v>
                </c:pt>
                <c:pt idx="5">
                  <c:v>0</c:v>
                </c:pt>
                <c:pt idx="6">
                  <c:v>0.58194444444444449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0.99823529411764711</c:v>
                </c:pt>
                <c:pt idx="11">
                  <c:v>0</c:v>
                </c:pt>
                <c:pt idx="12">
                  <c:v>0.99941747572815531</c:v>
                </c:pt>
                <c:pt idx="13">
                  <c:v>0.99803921568627452</c:v>
                </c:pt>
                <c:pt idx="14">
                  <c:v>0.95829526646805696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0.37437089472861629</c:v>
                </c:pt>
                <c:pt idx="1">
                  <c:v>0.37437089472861629</c:v>
                </c:pt>
                <c:pt idx="2">
                  <c:v>0.37437089472861629</c:v>
                </c:pt>
                <c:pt idx="3">
                  <c:v>0.37437089472861629</c:v>
                </c:pt>
                <c:pt idx="4">
                  <c:v>0.37437089472861629</c:v>
                </c:pt>
                <c:pt idx="5">
                  <c:v>0.37437089472861629</c:v>
                </c:pt>
                <c:pt idx="6">
                  <c:v>0.37437089472861629</c:v>
                </c:pt>
                <c:pt idx="7">
                  <c:v>0.37437089472861629</c:v>
                </c:pt>
                <c:pt idx="8">
                  <c:v>0.37437089472861629</c:v>
                </c:pt>
                <c:pt idx="9">
                  <c:v>0.37437089472861629</c:v>
                </c:pt>
                <c:pt idx="10">
                  <c:v>0.37437089472861629</c:v>
                </c:pt>
                <c:pt idx="11">
                  <c:v>0.37437089472861629</c:v>
                </c:pt>
                <c:pt idx="12">
                  <c:v>0.37437089472861629</c:v>
                </c:pt>
                <c:pt idx="13">
                  <c:v>0.37437089472861629</c:v>
                </c:pt>
                <c:pt idx="14">
                  <c:v>0.37437089472861629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58848"/>
        <c:axId val="659637376"/>
      </c:lineChart>
      <c:catAx>
        <c:axId val="6589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9637376"/>
        <c:crosses val="autoZero"/>
        <c:auto val="1"/>
        <c:lblAlgn val="ctr"/>
        <c:lblOffset val="100"/>
        <c:noMultiLvlLbl val="0"/>
      </c:catAx>
      <c:valAx>
        <c:axId val="6596373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895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2723</c:v>
                </c:pt>
                <c:pt idx="4">
                  <c:v>2031</c:v>
                </c:pt>
                <c:pt idx="5">
                  <c:v>0</c:v>
                </c:pt>
                <c:pt idx="6">
                  <c:v>2514</c:v>
                </c:pt>
                <c:pt idx="10">
                  <c:v>5091</c:v>
                </c:pt>
                <c:pt idx="12">
                  <c:v>5147</c:v>
                </c:pt>
                <c:pt idx="13">
                  <c:v>4581</c:v>
                </c:pt>
                <c:pt idx="14">
                  <c:v>50348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2280</c:v>
                </c:pt>
                <c:pt idx="2">
                  <c:v>2730</c:v>
                </c:pt>
                <c:pt idx="3">
                  <c:v>3300</c:v>
                </c:pt>
                <c:pt idx="4">
                  <c:v>2040</c:v>
                </c:pt>
                <c:pt idx="5">
                  <c:v>800</c:v>
                </c:pt>
                <c:pt idx="6">
                  <c:v>2520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5100</c:v>
                </c:pt>
                <c:pt idx="11">
                  <c:v>680</c:v>
                </c:pt>
                <c:pt idx="12">
                  <c:v>5150</c:v>
                </c:pt>
                <c:pt idx="13">
                  <c:v>4590</c:v>
                </c:pt>
                <c:pt idx="14">
                  <c:v>50350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562496"/>
        <c:axId val="659639680"/>
      </c:lineChart>
      <c:catAx>
        <c:axId val="659562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9639680"/>
        <c:crosses val="autoZero"/>
        <c:auto val="1"/>
        <c:lblAlgn val="ctr"/>
        <c:lblOffset val="100"/>
        <c:noMultiLvlLbl val="0"/>
      </c:catAx>
      <c:valAx>
        <c:axId val="6596396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956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0% 0% 58% 0% 50% 0% 58% 0% 0% 0% 100% 0% 100% 100%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0.58183760683760688</c:v>
                </c:pt>
                <c:pt idx="3">
                  <c:v>0</c:v>
                </c:pt>
                <c:pt idx="4">
                  <c:v>0.49779411764705883</c:v>
                </c:pt>
                <c:pt idx="5">
                  <c:v>0</c:v>
                </c:pt>
                <c:pt idx="6">
                  <c:v>0.58194444444444449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0.99823529411764711</c:v>
                </c:pt>
                <c:pt idx="11">
                  <c:v>0</c:v>
                </c:pt>
                <c:pt idx="12">
                  <c:v>0.99941747572815531</c:v>
                </c:pt>
                <c:pt idx="13">
                  <c:v>0.99803921568627452</c:v>
                </c:pt>
                <c:pt idx="14">
                  <c:v>0.95829526646805696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4"/>
                <c:pt idx="0">
                  <c:v>LOWER PLATE</c:v>
                </c:pt>
                <c:pt idx="1">
                  <c:v>STOPPER</c:v>
                </c:pt>
                <c:pt idx="2">
                  <c:v>STOPPER</c:v>
                </c:pt>
                <c:pt idx="3">
                  <c:v>SLIDER</c:v>
                </c:pt>
                <c:pt idx="4">
                  <c:v>GUIDE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0.37437089472861629</c:v>
                </c:pt>
                <c:pt idx="1">
                  <c:v>0.37437089472861629</c:v>
                </c:pt>
                <c:pt idx="2">
                  <c:v>0.37437089472861629</c:v>
                </c:pt>
                <c:pt idx="3">
                  <c:v>0.37437089472861629</c:v>
                </c:pt>
                <c:pt idx="4">
                  <c:v>0.37437089472861629</c:v>
                </c:pt>
                <c:pt idx="5">
                  <c:v>0.37437089472861629</c:v>
                </c:pt>
                <c:pt idx="6">
                  <c:v>0.37437089472861629</c:v>
                </c:pt>
                <c:pt idx="7">
                  <c:v>0.37437089472861629</c:v>
                </c:pt>
                <c:pt idx="8">
                  <c:v>0.37437089472861629</c:v>
                </c:pt>
                <c:pt idx="9">
                  <c:v>0.37437089472861629</c:v>
                </c:pt>
                <c:pt idx="10">
                  <c:v>0.37437089472861629</c:v>
                </c:pt>
                <c:pt idx="11">
                  <c:v>0.37437089472861629</c:v>
                </c:pt>
                <c:pt idx="12">
                  <c:v>0.37437089472861629</c:v>
                </c:pt>
                <c:pt idx="13">
                  <c:v>0.37437089472861629</c:v>
                </c:pt>
                <c:pt idx="14">
                  <c:v>0.37437089472861629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563520"/>
        <c:axId val="659641408"/>
      </c:lineChart>
      <c:catAx>
        <c:axId val="65956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9641408"/>
        <c:crosses val="autoZero"/>
        <c:auto val="1"/>
        <c:lblAlgn val="ctr"/>
        <c:lblOffset val="100"/>
        <c:noMultiLvlLbl val="0"/>
      </c:catAx>
      <c:valAx>
        <c:axId val="659641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9563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9564544"/>
        <c:axId val="6596437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564544"/>
        <c:axId val="659643712"/>
      </c:lineChart>
      <c:catAx>
        <c:axId val="65956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659643712"/>
        <c:crosses val="autoZero"/>
        <c:auto val="1"/>
        <c:lblAlgn val="ctr"/>
        <c:lblOffset val="100"/>
        <c:noMultiLvlLbl val="0"/>
      </c:catAx>
      <c:valAx>
        <c:axId val="6596437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95645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1">
                  <c:v>4430</c:v>
                </c:pt>
                <c:pt idx="2">
                  <c:v>3016</c:v>
                </c:pt>
                <c:pt idx="3">
                  <c:v>3181</c:v>
                </c:pt>
                <c:pt idx="4">
                  <c:v>1002</c:v>
                </c:pt>
                <c:pt idx="5">
                  <c:v>2735</c:v>
                </c:pt>
                <c:pt idx="6">
                  <c:v>4549</c:v>
                </c:pt>
                <c:pt idx="10">
                  <c:v>5535</c:v>
                </c:pt>
                <c:pt idx="12">
                  <c:v>5608</c:v>
                </c:pt>
                <c:pt idx="13">
                  <c:v>4090</c:v>
                </c:pt>
                <c:pt idx="14">
                  <c:v>58524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4430</c:v>
                </c:pt>
                <c:pt idx="2">
                  <c:v>3020</c:v>
                </c:pt>
                <c:pt idx="3">
                  <c:v>3190</c:v>
                </c:pt>
                <c:pt idx="4">
                  <c:v>1002</c:v>
                </c:pt>
                <c:pt idx="5">
                  <c:v>2740</c:v>
                </c:pt>
                <c:pt idx="6">
                  <c:v>4550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5540</c:v>
                </c:pt>
                <c:pt idx="11">
                  <c:v>680</c:v>
                </c:pt>
                <c:pt idx="12">
                  <c:v>5610</c:v>
                </c:pt>
                <c:pt idx="13">
                  <c:v>4090</c:v>
                </c:pt>
                <c:pt idx="14">
                  <c:v>58530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954688"/>
        <c:axId val="659785984"/>
      </c:lineChart>
      <c:catAx>
        <c:axId val="6599546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9785984"/>
        <c:crosses val="autoZero"/>
        <c:auto val="1"/>
        <c:lblAlgn val="ctr"/>
        <c:lblOffset val="100"/>
        <c:noMultiLvlLbl val="0"/>
      </c:catAx>
      <c:valAx>
        <c:axId val="6597859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9954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92% 75% 66% 25% 62% 100% 0% 0% 0% 100% 0% 100% 92%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0.91666666666666663</c:v>
                </c:pt>
                <c:pt idx="2">
                  <c:v>0.74900662251655625</c:v>
                </c:pt>
                <c:pt idx="3">
                  <c:v>0.66478578892371987</c:v>
                </c:pt>
                <c:pt idx="4">
                  <c:v>0.25</c:v>
                </c:pt>
                <c:pt idx="5">
                  <c:v>0.6238594890510949</c:v>
                </c:pt>
                <c:pt idx="6">
                  <c:v>0.9997802197802198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0.99909747292418771</c:v>
                </c:pt>
                <c:pt idx="11">
                  <c:v>0</c:v>
                </c:pt>
                <c:pt idx="12">
                  <c:v>0.99964349376114081</c:v>
                </c:pt>
                <c:pt idx="13">
                  <c:v>0.91666666666666663</c:v>
                </c:pt>
                <c:pt idx="14">
                  <c:v>0.99989748846745263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0.54129359391718035</c:v>
                </c:pt>
                <c:pt idx="1">
                  <c:v>0.54129359391718035</c:v>
                </c:pt>
                <c:pt idx="2">
                  <c:v>0.54129359391718035</c:v>
                </c:pt>
                <c:pt idx="3">
                  <c:v>0.54129359391718035</c:v>
                </c:pt>
                <c:pt idx="4">
                  <c:v>0.54129359391718035</c:v>
                </c:pt>
                <c:pt idx="5">
                  <c:v>0.54129359391718035</c:v>
                </c:pt>
                <c:pt idx="6">
                  <c:v>0.54129359391718035</c:v>
                </c:pt>
                <c:pt idx="7">
                  <c:v>0.54129359391718035</c:v>
                </c:pt>
                <c:pt idx="8">
                  <c:v>0.54129359391718035</c:v>
                </c:pt>
                <c:pt idx="9">
                  <c:v>0.54129359391718035</c:v>
                </c:pt>
                <c:pt idx="10">
                  <c:v>0.54129359391718035</c:v>
                </c:pt>
                <c:pt idx="11">
                  <c:v>0.54129359391718035</c:v>
                </c:pt>
                <c:pt idx="12">
                  <c:v>0.54129359391718035</c:v>
                </c:pt>
                <c:pt idx="13">
                  <c:v>0.54129359391718035</c:v>
                </c:pt>
                <c:pt idx="14">
                  <c:v>0.54129359391718035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972608"/>
        <c:axId val="659788864"/>
      </c:lineChart>
      <c:catAx>
        <c:axId val="65997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9788864"/>
        <c:crosses val="autoZero"/>
        <c:auto val="1"/>
        <c:lblAlgn val="ctr"/>
        <c:lblOffset val="100"/>
        <c:noMultiLvlLbl val="0"/>
      </c:catAx>
      <c:valAx>
        <c:axId val="6597888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9972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1">
                  <c:v>4430</c:v>
                </c:pt>
                <c:pt idx="2">
                  <c:v>3016</c:v>
                </c:pt>
                <c:pt idx="3">
                  <c:v>3181</c:v>
                </c:pt>
                <c:pt idx="4">
                  <c:v>1002</c:v>
                </c:pt>
                <c:pt idx="5">
                  <c:v>2735</c:v>
                </c:pt>
                <c:pt idx="6">
                  <c:v>4549</c:v>
                </c:pt>
                <c:pt idx="10">
                  <c:v>5535</c:v>
                </c:pt>
                <c:pt idx="12">
                  <c:v>5608</c:v>
                </c:pt>
                <c:pt idx="13">
                  <c:v>4090</c:v>
                </c:pt>
                <c:pt idx="14">
                  <c:v>58524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4430</c:v>
                </c:pt>
                <c:pt idx="2">
                  <c:v>3020</c:v>
                </c:pt>
                <c:pt idx="3">
                  <c:v>3190</c:v>
                </c:pt>
                <c:pt idx="4">
                  <c:v>1002</c:v>
                </c:pt>
                <c:pt idx="5">
                  <c:v>2740</c:v>
                </c:pt>
                <c:pt idx="6">
                  <c:v>4550</c:v>
                </c:pt>
                <c:pt idx="7">
                  <c:v>950</c:v>
                </c:pt>
                <c:pt idx="8">
                  <c:v>260</c:v>
                </c:pt>
                <c:pt idx="9">
                  <c:v>760</c:v>
                </c:pt>
                <c:pt idx="10">
                  <c:v>5540</c:v>
                </c:pt>
                <c:pt idx="11">
                  <c:v>680</c:v>
                </c:pt>
                <c:pt idx="12">
                  <c:v>5610</c:v>
                </c:pt>
                <c:pt idx="13">
                  <c:v>4090</c:v>
                </c:pt>
                <c:pt idx="14">
                  <c:v>58530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973120"/>
        <c:axId val="659791168"/>
      </c:lineChart>
      <c:catAx>
        <c:axId val="6599731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9791168"/>
        <c:crosses val="autoZero"/>
        <c:auto val="1"/>
        <c:lblAlgn val="ctr"/>
        <c:lblOffset val="100"/>
        <c:noMultiLvlLbl val="0"/>
      </c:catAx>
      <c:valAx>
        <c:axId val="659791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9973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0% 92% 75% 66% 25% 62% 100% 0% 0% 0% 100% 0% 100% 92%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0.91666666666666663</c:v>
                </c:pt>
                <c:pt idx="2">
                  <c:v>0.74900662251655625</c:v>
                </c:pt>
                <c:pt idx="3">
                  <c:v>0.66478578892371987</c:v>
                </c:pt>
                <c:pt idx="4">
                  <c:v>0.25</c:v>
                </c:pt>
                <c:pt idx="5">
                  <c:v>0.6238594890510949</c:v>
                </c:pt>
                <c:pt idx="6">
                  <c:v>0.9997802197802198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0.99909747292418771</c:v>
                </c:pt>
                <c:pt idx="11">
                  <c:v>0</c:v>
                </c:pt>
                <c:pt idx="12">
                  <c:v>0.99964349376114081</c:v>
                </c:pt>
                <c:pt idx="13">
                  <c:v>0.91666666666666663</c:v>
                </c:pt>
                <c:pt idx="14">
                  <c:v>0.99989748846745263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BASE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0.54129359391718035</c:v>
                </c:pt>
                <c:pt idx="1">
                  <c:v>0.54129359391718035</c:v>
                </c:pt>
                <c:pt idx="2">
                  <c:v>0.54129359391718035</c:v>
                </c:pt>
                <c:pt idx="3">
                  <c:v>0.54129359391718035</c:v>
                </c:pt>
                <c:pt idx="4">
                  <c:v>0.54129359391718035</c:v>
                </c:pt>
                <c:pt idx="5">
                  <c:v>0.54129359391718035</c:v>
                </c:pt>
                <c:pt idx="6">
                  <c:v>0.54129359391718035</c:v>
                </c:pt>
                <c:pt idx="7">
                  <c:v>0.54129359391718035</c:v>
                </c:pt>
                <c:pt idx="8">
                  <c:v>0.54129359391718035</c:v>
                </c:pt>
                <c:pt idx="9">
                  <c:v>0.54129359391718035</c:v>
                </c:pt>
                <c:pt idx="10">
                  <c:v>0.54129359391718035</c:v>
                </c:pt>
                <c:pt idx="11">
                  <c:v>0.54129359391718035</c:v>
                </c:pt>
                <c:pt idx="12">
                  <c:v>0.54129359391718035</c:v>
                </c:pt>
                <c:pt idx="13">
                  <c:v>0.54129359391718035</c:v>
                </c:pt>
                <c:pt idx="14">
                  <c:v>0.54129359391718035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974144"/>
        <c:axId val="660268160"/>
      </c:lineChart>
      <c:catAx>
        <c:axId val="65997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0268160"/>
        <c:crosses val="autoZero"/>
        <c:auto val="1"/>
        <c:lblAlgn val="ctr"/>
        <c:lblOffset val="100"/>
        <c:noMultiLvlLbl val="0"/>
      </c:catAx>
      <c:valAx>
        <c:axId val="660268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9974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9542016"/>
        <c:axId val="6602704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542016"/>
        <c:axId val="660270464"/>
      </c:lineChart>
      <c:catAx>
        <c:axId val="65954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660270464"/>
        <c:crosses val="autoZero"/>
        <c:auto val="1"/>
        <c:lblAlgn val="ctr"/>
        <c:lblOffset val="100"/>
        <c:noMultiLvlLbl val="0"/>
      </c:catAx>
      <c:valAx>
        <c:axId val="660270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95420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1">
                  <c:v>5994</c:v>
                </c:pt>
                <c:pt idx="2">
                  <c:v>4670</c:v>
                </c:pt>
                <c:pt idx="3">
                  <c:v>3343</c:v>
                </c:pt>
                <c:pt idx="4">
                  <c:v>195648</c:v>
                </c:pt>
                <c:pt idx="5">
                  <c:v>1323</c:v>
                </c:pt>
                <c:pt idx="7">
                  <c:v>6074</c:v>
                </c:pt>
                <c:pt idx="10">
                  <c:v>4043</c:v>
                </c:pt>
                <c:pt idx="11">
                  <c:v>1250</c:v>
                </c:pt>
                <c:pt idx="12">
                  <c:v>1950</c:v>
                </c:pt>
                <c:pt idx="13">
                  <c:v>5007</c:v>
                </c:pt>
                <c:pt idx="14">
                  <c:v>59472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6000</c:v>
                </c:pt>
                <c:pt idx="2">
                  <c:v>4670</c:v>
                </c:pt>
                <c:pt idx="3">
                  <c:v>3350</c:v>
                </c:pt>
                <c:pt idx="4">
                  <c:v>195650</c:v>
                </c:pt>
                <c:pt idx="5">
                  <c:v>1330</c:v>
                </c:pt>
                <c:pt idx="6">
                  <c:v>4550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4050</c:v>
                </c:pt>
                <c:pt idx="11">
                  <c:v>1250</c:v>
                </c:pt>
                <c:pt idx="12">
                  <c:v>1950</c:v>
                </c:pt>
                <c:pt idx="13">
                  <c:v>5010</c:v>
                </c:pt>
                <c:pt idx="14">
                  <c:v>59480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061696"/>
        <c:axId val="660273344"/>
      </c:lineChart>
      <c:catAx>
        <c:axId val="6600616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0273344"/>
        <c:crosses val="autoZero"/>
        <c:auto val="1"/>
        <c:lblAlgn val="ctr"/>
        <c:lblOffset val="100"/>
        <c:noMultiLvlLbl val="0"/>
      </c:catAx>
      <c:valAx>
        <c:axId val="6602733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0061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100% 92% 75% 96% 25% 0% 75% 0% 0% 100% 50% 58%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0.999</c:v>
                </c:pt>
                <c:pt idx="2">
                  <c:v>0.91666666666666663</c:v>
                </c:pt>
                <c:pt idx="3">
                  <c:v>0.74843283582089548</c:v>
                </c:pt>
                <c:pt idx="4">
                  <c:v>0.95832353692818817</c:v>
                </c:pt>
                <c:pt idx="5">
                  <c:v>0.24868421052631579</c:v>
                </c:pt>
                <c:pt idx="6">
                  <c:v>0</c:v>
                </c:pt>
                <c:pt idx="7">
                  <c:v>0.74925986842105263</c:v>
                </c:pt>
                <c:pt idx="8">
                  <c:v>0</c:v>
                </c:pt>
                <c:pt idx="9">
                  <c:v>0</c:v>
                </c:pt>
                <c:pt idx="10">
                  <c:v>0.99827160493827161</c:v>
                </c:pt>
                <c:pt idx="11">
                  <c:v>0.5</c:v>
                </c:pt>
                <c:pt idx="12">
                  <c:v>0.58333333333333337</c:v>
                </c:pt>
                <c:pt idx="13">
                  <c:v>0.9994011976047904</c:v>
                </c:pt>
                <c:pt idx="14">
                  <c:v>0.99986550100874239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0.58008258368321697</c:v>
                </c:pt>
                <c:pt idx="1">
                  <c:v>0.58008258368321697</c:v>
                </c:pt>
                <c:pt idx="2">
                  <c:v>0.58008258368321697</c:v>
                </c:pt>
                <c:pt idx="3">
                  <c:v>0.58008258368321697</c:v>
                </c:pt>
                <c:pt idx="4">
                  <c:v>0.58008258368321697</c:v>
                </c:pt>
                <c:pt idx="5">
                  <c:v>0.58008258368321697</c:v>
                </c:pt>
                <c:pt idx="6">
                  <c:v>0.58008258368321697</c:v>
                </c:pt>
                <c:pt idx="7">
                  <c:v>0.58008258368321697</c:v>
                </c:pt>
                <c:pt idx="8">
                  <c:v>0.58008258368321697</c:v>
                </c:pt>
                <c:pt idx="9">
                  <c:v>0.58008258368321697</c:v>
                </c:pt>
                <c:pt idx="10">
                  <c:v>0.58008258368321697</c:v>
                </c:pt>
                <c:pt idx="11">
                  <c:v>0.58008258368321697</c:v>
                </c:pt>
                <c:pt idx="12">
                  <c:v>0.58008258368321697</c:v>
                </c:pt>
                <c:pt idx="13">
                  <c:v>0.58008258368321697</c:v>
                </c:pt>
                <c:pt idx="14">
                  <c:v>0.58008258368321697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345344"/>
        <c:axId val="660103168"/>
      </c:lineChart>
      <c:catAx>
        <c:axId val="66034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0103168"/>
        <c:crosses val="autoZero"/>
        <c:auto val="1"/>
        <c:lblAlgn val="ctr"/>
        <c:lblOffset val="100"/>
        <c:noMultiLvlLbl val="0"/>
      </c:catAx>
      <c:valAx>
        <c:axId val="660103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034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1">
                  <c:v>5994</c:v>
                </c:pt>
                <c:pt idx="2">
                  <c:v>4670</c:v>
                </c:pt>
                <c:pt idx="3">
                  <c:v>3343</c:v>
                </c:pt>
                <c:pt idx="4">
                  <c:v>195648</c:v>
                </c:pt>
                <c:pt idx="5">
                  <c:v>1323</c:v>
                </c:pt>
                <c:pt idx="7">
                  <c:v>6074</c:v>
                </c:pt>
                <c:pt idx="10">
                  <c:v>4043</c:v>
                </c:pt>
                <c:pt idx="11">
                  <c:v>1250</c:v>
                </c:pt>
                <c:pt idx="12">
                  <c:v>1950</c:v>
                </c:pt>
                <c:pt idx="13">
                  <c:v>5007</c:v>
                </c:pt>
                <c:pt idx="14">
                  <c:v>59472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6000</c:v>
                </c:pt>
                <c:pt idx="2">
                  <c:v>4670</c:v>
                </c:pt>
                <c:pt idx="3">
                  <c:v>3350</c:v>
                </c:pt>
                <c:pt idx="4">
                  <c:v>195650</c:v>
                </c:pt>
                <c:pt idx="5">
                  <c:v>1330</c:v>
                </c:pt>
                <c:pt idx="6">
                  <c:v>4550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4050</c:v>
                </c:pt>
                <c:pt idx="11">
                  <c:v>1250</c:v>
                </c:pt>
                <c:pt idx="12">
                  <c:v>1950</c:v>
                </c:pt>
                <c:pt idx="13">
                  <c:v>5010</c:v>
                </c:pt>
                <c:pt idx="14">
                  <c:v>59480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346368"/>
        <c:axId val="660105472"/>
      </c:lineChart>
      <c:catAx>
        <c:axId val="660346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0105472"/>
        <c:crosses val="autoZero"/>
        <c:auto val="1"/>
        <c:lblAlgn val="ctr"/>
        <c:lblOffset val="100"/>
        <c:noMultiLvlLbl val="0"/>
      </c:catAx>
      <c:valAx>
        <c:axId val="6601054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0346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0% 100% 92% 75% 96% 25% 0% 75% 0% 0% 100% 50% 58%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0.999</c:v>
                </c:pt>
                <c:pt idx="2">
                  <c:v>0.91666666666666663</c:v>
                </c:pt>
                <c:pt idx="3">
                  <c:v>0.74843283582089548</c:v>
                </c:pt>
                <c:pt idx="4">
                  <c:v>0.95832353692818817</c:v>
                </c:pt>
                <c:pt idx="5">
                  <c:v>0.24868421052631579</c:v>
                </c:pt>
                <c:pt idx="6">
                  <c:v>0</c:v>
                </c:pt>
                <c:pt idx="7">
                  <c:v>0.74925986842105263</c:v>
                </c:pt>
                <c:pt idx="8">
                  <c:v>0</c:v>
                </c:pt>
                <c:pt idx="9">
                  <c:v>0</c:v>
                </c:pt>
                <c:pt idx="10">
                  <c:v>0.99827160493827161</c:v>
                </c:pt>
                <c:pt idx="11">
                  <c:v>0.5</c:v>
                </c:pt>
                <c:pt idx="12">
                  <c:v>0.58333333333333337</c:v>
                </c:pt>
                <c:pt idx="13">
                  <c:v>0.9994011976047904</c:v>
                </c:pt>
                <c:pt idx="14">
                  <c:v>0.99986550100874239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0.58008258368321697</c:v>
                </c:pt>
                <c:pt idx="1">
                  <c:v>0.58008258368321697</c:v>
                </c:pt>
                <c:pt idx="2">
                  <c:v>0.58008258368321697</c:v>
                </c:pt>
                <c:pt idx="3">
                  <c:v>0.58008258368321697</c:v>
                </c:pt>
                <c:pt idx="4">
                  <c:v>0.58008258368321697</c:v>
                </c:pt>
                <c:pt idx="5">
                  <c:v>0.58008258368321697</c:v>
                </c:pt>
                <c:pt idx="6">
                  <c:v>0.58008258368321697</c:v>
                </c:pt>
                <c:pt idx="7">
                  <c:v>0.58008258368321697</c:v>
                </c:pt>
                <c:pt idx="8">
                  <c:v>0.58008258368321697</c:v>
                </c:pt>
                <c:pt idx="9">
                  <c:v>0.58008258368321697</c:v>
                </c:pt>
                <c:pt idx="10">
                  <c:v>0.58008258368321697</c:v>
                </c:pt>
                <c:pt idx="11">
                  <c:v>0.58008258368321697</c:v>
                </c:pt>
                <c:pt idx="12">
                  <c:v>0.58008258368321697</c:v>
                </c:pt>
                <c:pt idx="13">
                  <c:v>0.58008258368321697</c:v>
                </c:pt>
                <c:pt idx="14">
                  <c:v>0.58008258368321697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346880"/>
        <c:axId val="660107200"/>
      </c:lineChart>
      <c:catAx>
        <c:axId val="6603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0107200"/>
        <c:crosses val="autoZero"/>
        <c:auto val="1"/>
        <c:lblAlgn val="ctr"/>
        <c:lblOffset val="100"/>
        <c:noMultiLvlLbl val="0"/>
      </c:catAx>
      <c:valAx>
        <c:axId val="6601072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03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0347392"/>
        <c:axId val="6601095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347392"/>
        <c:axId val="660109504"/>
      </c:lineChart>
      <c:catAx>
        <c:axId val="66034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660109504"/>
        <c:crosses val="autoZero"/>
        <c:auto val="1"/>
        <c:lblAlgn val="ctr"/>
        <c:lblOffset val="100"/>
        <c:noMultiLvlLbl val="0"/>
      </c:catAx>
      <c:valAx>
        <c:axId val="6601095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03473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5898</c:v>
                </c:pt>
                <c:pt idx="2">
                  <c:v>4950</c:v>
                </c:pt>
                <c:pt idx="4">
                  <c:v>117344</c:v>
                </c:pt>
                <c:pt idx="10">
                  <c:v>2188</c:v>
                </c:pt>
                <c:pt idx="13">
                  <c:v>4978</c:v>
                </c:pt>
                <c:pt idx="14">
                  <c:v>57720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5900</c:v>
                </c:pt>
                <c:pt idx="2">
                  <c:v>4950</c:v>
                </c:pt>
                <c:pt idx="3">
                  <c:v>3350</c:v>
                </c:pt>
                <c:pt idx="4">
                  <c:v>117400</c:v>
                </c:pt>
                <c:pt idx="5">
                  <c:v>1330</c:v>
                </c:pt>
                <c:pt idx="6">
                  <c:v>4550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2190</c:v>
                </c:pt>
                <c:pt idx="11">
                  <c:v>1250</c:v>
                </c:pt>
                <c:pt idx="12">
                  <c:v>1950</c:v>
                </c:pt>
                <c:pt idx="13">
                  <c:v>4980</c:v>
                </c:pt>
                <c:pt idx="14">
                  <c:v>57720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776448"/>
        <c:axId val="660866176"/>
      </c:lineChart>
      <c:catAx>
        <c:axId val="6607764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0866176"/>
        <c:crosses val="autoZero"/>
        <c:auto val="1"/>
        <c:lblAlgn val="ctr"/>
        <c:lblOffset val="100"/>
        <c:noMultiLvlLbl val="0"/>
      </c:catAx>
      <c:valAx>
        <c:axId val="6608661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077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100% 96% 0% 58% 0% 0% 0% 0% 0% 54% 0% 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0.99966101694915255</c:v>
                </c:pt>
                <c:pt idx="2">
                  <c:v>0.95833333333333337</c:v>
                </c:pt>
                <c:pt idx="3">
                  <c:v>0</c:v>
                </c:pt>
                <c:pt idx="4">
                  <c:v>0.58305508233957981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0.54117199391171988</c:v>
                </c:pt>
                <c:pt idx="11">
                  <c:v>0</c:v>
                </c:pt>
                <c:pt idx="12">
                  <c:v>0</c:v>
                </c:pt>
                <c:pt idx="13">
                  <c:v>0.99959839357429714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0.33878798800720555</c:v>
                </c:pt>
                <c:pt idx="1">
                  <c:v>0.33878798800720555</c:v>
                </c:pt>
                <c:pt idx="2">
                  <c:v>0.33878798800720555</c:v>
                </c:pt>
                <c:pt idx="3">
                  <c:v>0.33878798800720555</c:v>
                </c:pt>
                <c:pt idx="4">
                  <c:v>0.33878798800720555</c:v>
                </c:pt>
                <c:pt idx="5">
                  <c:v>0.33878798800720555</c:v>
                </c:pt>
                <c:pt idx="6">
                  <c:v>0.33878798800720555</c:v>
                </c:pt>
                <c:pt idx="7">
                  <c:v>0.33878798800720555</c:v>
                </c:pt>
                <c:pt idx="8">
                  <c:v>0.33878798800720555</c:v>
                </c:pt>
                <c:pt idx="9">
                  <c:v>0.33878798800720555</c:v>
                </c:pt>
                <c:pt idx="10">
                  <c:v>0.33878798800720555</c:v>
                </c:pt>
                <c:pt idx="11">
                  <c:v>0.33878798800720555</c:v>
                </c:pt>
                <c:pt idx="12">
                  <c:v>0.33878798800720555</c:v>
                </c:pt>
                <c:pt idx="13">
                  <c:v>0.33878798800720555</c:v>
                </c:pt>
                <c:pt idx="14">
                  <c:v>0.33878798800720555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6528"/>
        <c:axId val="660867904"/>
      </c:lineChart>
      <c:catAx>
        <c:axId val="65768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0867904"/>
        <c:crosses val="autoZero"/>
        <c:auto val="1"/>
        <c:lblAlgn val="ctr"/>
        <c:lblOffset val="100"/>
        <c:noMultiLvlLbl val="0"/>
      </c:catAx>
      <c:valAx>
        <c:axId val="660867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686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5898</c:v>
                </c:pt>
                <c:pt idx="2">
                  <c:v>4950</c:v>
                </c:pt>
                <c:pt idx="4">
                  <c:v>117344</c:v>
                </c:pt>
                <c:pt idx="10">
                  <c:v>2188</c:v>
                </c:pt>
                <c:pt idx="13">
                  <c:v>4978</c:v>
                </c:pt>
                <c:pt idx="14">
                  <c:v>57720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5900</c:v>
                </c:pt>
                <c:pt idx="2">
                  <c:v>4950</c:v>
                </c:pt>
                <c:pt idx="3">
                  <c:v>3350</c:v>
                </c:pt>
                <c:pt idx="4">
                  <c:v>117400</c:v>
                </c:pt>
                <c:pt idx="5">
                  <c:v>1330</c:v>
                </c:pt>
                <c:pt idx="6">
                  <c:v>4550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2190</c:v>
                </c:pt>
                <c:pt idx="11">
                  <c:v>1250</c:v>
                </c:pt>
                <c:pt idx="12">
                  <c:v>1950</c:v>
                </c:pt>
                <c:pt idx="13">
                  <c:v>4980</c:v>
                </c:pt>
                <c:pt idx="14">
                  <c:v>57720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7040"/>
        <c:axId val="660870208"/>
      </c:lineChart>
      <c:catAx>
        <c:axId val="6576870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0870208"/>
        <c:crosses val="autoZero"/>
        <c:auto val="1"/>
        <c:lblAlgn val="ctr"/>
        <c:lblOffset val="100"/>
        <c:noMultiLvlLbl val="0"/>
      </c:catAx>
      <c:valAx>
        <c:axId val="6608702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5768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100% 96% 0% 58% 0% 0% 0% 0% 0% 54% 0% 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0.99966101694915255</c:v>
                </c:pt>
                <c:pt idx="2">
                  <c:v>0.95833333333333337</c:v>
                </c:pt>
                <c:pt idx="3">
                  <c:v>0</c:v>
                </c:pt>
                <c:pt idx="4">
                  <c:v>0.58305508233957981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0.54117199391171988</c:v>
                </c:pt>
                <c:pt idx="11">
                  <c:v>0</c:v>
                </c:pt>
                <c:pt idx="12">
                  <c:v>0</c:v>
                </c:pt>
                <c:pt idx="13">
                  <c:v>0.99959839357429714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0.33878798800720555</c:v>
                </c:pt>
                <c:pt idx="1">
                  <c:v>0.33878798800720555</c:v>
                </c:pt>
                <c:pt idx="2">
                  <c:v>0.33878798800720555</c:v>
                </c:pt>
                <c:pt idx="3">
                  <c:v>0.33878798800720555</c:v>
                </c:pt>
                <c:pt idx="4">
                  <c:v>0.33878798800720555</c:v>
                </c:pt>
                <c:pt idx="5">
                  <c:v>0.33878798800720555</c:v>
                </c:pt>
                <c:pt idx="6">
                  <c:v>0.33878798800720555</c:v>
                </c:pt>
                <c:pt idx="7">
                  <c:v>0.33878798800720555</c:v>
                </c:pt>
                <c:pt idx="8">
                  <c:v>0.33878798800720555</c:v>
                </c:pt>
                <c:pt idx="9">
                  <c:v>0.33878798800720555</c:v>
                </c:pt>
                <c:pt idx="10">
                  <c:v>0.33878798800720555</c:v>
                </c:pt>
                <c:pt idx="11">
                  <c:v>0.33878798800720555</c:v>
                </c:pt>
                <c:pt idx="12">
                  <c:v>0.33878798800720555</c:v>
                </c:pt>
                <c:pt idx="13">
                  <c:v>0.33878798800720555</c:v>
                </c:pt>
                <c:pt idx="14">
                  <c:v>0.33878798800720555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8064"/>
        <c:axId val="660871936"/>
      </c:lineChart>
      <c:catAx>
        <c:axId val="65768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0871936"/>
        <c:crosses val="autoZero"/>
        <c:auto val="1"/>
        <c:lblAlgn val="ctr"/>
        <c:lblOffset val="100"/>
        <c:noMultiLvlLbl val="0"/>
      </c:catAx>
      <c:valAx>
        <c:axId val="6608719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688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688576"/>
        <c:axId val="6606122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8576"/>
        <c:axId val="660612224"/>
      </c:lineChart>
      <c:catAx>
        <c:axId val="65768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660612224"/>
        <c:crosses val="autoZero"/>
        <c:auto val="1"/>
        <c:lblAlgn val="ctr"/>
        <c:lblOffset val="100"/>
        <c:noMultiLvlLbl val="0"/>
      </c:catAx>
      <c:valAx>
        <c:axId val="6606122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576885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1">
                  <c:v>2519</c:v>
                </c:pt>
                <c:pt idx="2">
                  <c:v>6437</c:v>
                </c:pt>
                <c:pt idx="3">
                  <c:v>1423</c:v>
                </c:pt>
                <c:pt idx="4">
                  <c:v>4291</c:v>
                </c:pt>
                <c:pt idx="10">
                  <c:v>5991</c:v>
                </c:pt>
                <c:pt idx="13">
                  <c:v>4792</c:v>
                </c:pt>
                <c:pt idx="14">
                  <c:v>45720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6440</c:v>
                </c:pt>
                <c:pt idx="3">
                  <c:v>1430</c:v>
                </c:pt>
                <c:pt idx="4">
                  <c:v>4300</c:v>
                </c:pt>
                <c:pt idx="5">
                  <c:v>1330</c:v>
                </c:pt>
                <c:pt idx="6">
                  <c:v>4550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6000</c:v>
                </c:pt>
                <c:pt idx="11">
                  <c:v>1250</c:v>
                </c:pt>
                <c:pt idx="12">
                  <c:v>1950</c:v>
                </c:pt>
                <c:pt idx="13">
                  <c:v>4800</c:v>
                </c:pt>
                <c:pt idx="14">
                  <c:v>45720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80064"/>
        <c:axId val="660615104"/>
      </c:lineChart>
      <c:catAx>
        <c:axId val="6610800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0615104"/>
        <c:crosses val="autoZero"/>
        <c:auto val="1"/>
        <c:lblAlgn val="ctr"/>
        <c:lblOffset val="100"/>
        <c:noMultiLvlLbl val="0"/>
      </c:catAx>
      <c:valAx>
        <c:axId val="6606151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1080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50% 100% 37% 96% 0% 0% 0% 0% 0% 100% 0% 0% 96% 92%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0.4998015873015873</c:v>
                </c:pt>
                <c:pt idx="2">
                  <c:v>0.99953416149068319</c:v>
                </c:pt>
                <c:pt idx="3">
                  <c:v>0.37316433566433566</c:v>
                </c:pt>
                <c:pt idx="4">
                  <c:v>0.95632751937984495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0.99850000000000005</c:v>
                </c:pt>
                <c:pt idx="11">
                  <c:v>0</c:v>
                </c:pt>
                <c:pt idx="12">
                  <c:v>0</c:v>
                </c:pt>
                <c:pt idx="13">
                  <c:v>0.95673611111111112</c:v>
                </c:pt>
                <c:pt idx="14">
                  <c:v>0.91666666666666663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0.38004869210761527</c:v>
                </c:pt>
                <c:pt idx="1">
                  <c:v>0.38004869210761527</c:v>
                </c:pt>
                <c:pt idx="2">
                  <c:v>0.38004869210761527</c:v>
                </c:pt>
                <c:pt idx="3">
                  <c:v>0.38004869210761527</c:v>
                </c:pt>
                <c:pt idx="4">
                  <c:v>0.38004869210761527</c:v>
                </c:pt>
                <c:pt idx="5">
                  <c:v>0.38004869210761527</c:v>
                </c:pt>
                <c:pt idx="6">
                  <c:v>0.38004869210761527</c:v>
                </c:pt>
                <c:pt idx="7">
                  <c:v>0.38004869210761527</c:v>
                </c:pt>
                <c:pt idx="8">
                  <c:v>0.38004869210761527</c:v>
                </c:pt>
                <c:pt idx="9">
                  <c:v>0.38004869210761527</c:v>
                </c:pt>
                <c:pt idx="10">
                  <c:v>0.38004869210761527</c:v>
                </c:pt>
                <c:pt idx="11">
                  <c:v>0.38004869210761527</c:v>
                </c:pt>
                <c:pt idx="12">
                  <c:v>0.38004869210761527</c:v>
                </c:pt>
                <c:pt idx="13">
                  <c:v>0.38004869210761527</c:v>
                </c:pt>
                <c:pt idx="14">
                  <c:v>0.38004869210761527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9088"/>
        <c:axId val="660616832"/>
      </c:lineChart>
      <c:catAx>
        <c:axId val="65768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0616832"/>
        <c:crosses val="autoZero"/>
        <c:auto val="1"/>
        <c:lblAlgn val="ctr"/>
        <c:lblOffset val="100"/>
        <c:noMultiLvlLbl val="0"/>
      </c:catAx>
      <c:valAx>
        <c:axId val="660616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5768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1">
                  <c:v>2519</c:v>
                </c:pt>
                <c:pt idx="2">
                  <c:v>6437</c:v>
                </c:pt>
                <c:pt idx="3">
                  <c:v>1423</c:v>
                </c:pt>
                <c:pt idx="4">
                  <c:v>4291</c:v>
                </c:pt>
                <c:pt idx="10">
                  <c:v>5991</c:v>
                </c:pt>
                <c:pt idx="13">
                  <c:v>4792</c:v>
                </c:pt>
                <c:pt idx="14">
                  <c:v>45720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6440</c:v>
                </c:pt>
                <c:pt idx="3">
                  <c:v>1430</c:v>
                </c:pt>
                <c:pt idx="4">
                  <c:v>4300</c:v>
                </c:pt>
                <c:pt idx="5">
                  <c:v>1330</c:v>
                </c:pt>
                <c:pt idx="6">
                  <c:v>4550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6000</c:v>
                </c:pt>
                <c:pt idx="11">
                  <c:v>1250</c:v>
                </c:pt>
                <c:pt idx="12">
                  <c:v>1950</c:v>
                </c:pt>
                <c:pt idx="13">
                  <c:v>4800</c:v>
                </c:pt>
                <c:pt idx="14">
                  <c:v>45720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24768"/>
        <c:axId val="658022400"/>
      </c:lineChart>
      <c:catAx>
        <c:axId val="6610247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8022400"/>
        <c:crosses val="autoZero"/>
        <c:auto val="1"/>
        <c:lblAlgn val="ctr"/>
        <c:lblOffset val="100"/>
        <c:noMultiLvlLbl val="0"/>
      </c:catAx>
      <c:valAx>
        <c:axId val="658022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1024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50% 100% 37% 96% 0% 0% 0% 0% 0% 100% 0% 0% 96% 92%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0.4998015873015873</c:v>
                </c:pt>
                <c:pt idx="2">
                  <c:v>0.99953416149068319</c:v>
                </c:pt>
                <c:pt idx="3">
                  <c:v>0.37316433566433566</c:v>
                </c:pt>
                <c:pt idx="4">
                  <c:v>0.95632751937984495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0.99850000000000005</c:v>
                </c:pt>
                <c:pt idx="11">
                  <c:v>0</c:v>
                </c:pt>
                <c:pt idx="12">
                  <c:v>0</c:v>
                </c:pt>
                <c:pt idx="13">
                  <c:v>0.95673611111111112</c:v>
                </c:pt>
                <c:pt idx="14">
                  <c:v>0.91666666666666663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0.38004869210761527</c:v>
                </c:pt>
                <c:pt idx="1">
                  <c:v>0.38004869210761527</c:v>
                </c:pt>
                <c:pt idx="2">
                  <c:v>0.38004869210761527</c:v>
                </c:pt>
                <c:pt idx="3">
                  <c:v>0.38004869210761527</c:v>
                </c:pt>
                <c:pt idx="4">
                  <c:v>0.38004869210761527</c:v>
                </c:pt>
                <c:pt idx="5">
                  <c:v>0.38004869210761527</c:v>
                </c:pt>
                <c:pt idx="6">
                  <c:v>0.38004869210761527</c:v>
                </c:pt>
                <c:pt idx="7">
                  <c:v>0.38004869210761527</c:v>
                </c:pt>
                <c:pt idx="8">
                  <c:v>0.38004869210761527</c:v>
                </c:pt>
                <c:pt idx="9">
                  <c:v>0.38004869210761527</c:v>
                </c:pt>
                <c:pt idx="10">
                  <c:v>0.38004869210761527</c:v>
                </c:pt>
                <c:pt idx="11">
                  <c:v>0.38004869210761527</c:v>
                </c:pt>
                <c:pt idx="12">
                  <c:v>0.38004869210761527</c:v>
                </c:pt>
                <c:pt idx="13">
                  <c:v>0.38004869210761527</c:v>
                </c:pt>
                <c:pt idx="14">
                  <c:v>0.38004869210761527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26304"/>
        <c:axId val="658024128"/>
      </c:lineChart>
      <c:catAx>
        <c:axId val="66102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8024128"/>
        <c:crosses val="autoZero"/>
        <c:auto val="1"/>
        <c:lblAlgn val="ctr"/>
        <c:lblOffset val="100"/>
        <c:noMultiLvlLbl val="0"/>
      </c:catAx>
      <c:valAx>
        <c:axId val="658024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102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027840"/>
        <c:axId val="6580264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27840"/>
        <c:axId val="658026432"/>
      </c:lineChart>
      <c:catAx>
        <c:axId val="66102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658026432"/>
        <c:crosses val="autoZero"/>
        <c:auto val="1"/>
        <c:lblAlgn val="ctr"/>
        <c:lblOffset val="100"/>
        <c:noMultiLvlLbl val="0"/>
      </c:catAx>
      <c:valAx>
        <c:axId val="658026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10278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5255</c:v>
                </c:pt>
                <c:pt idx="3">
                  <c:v>2759</c:v>
                </c:pt>
                <c:pt idx="4">
                  <c:v>3710</c:v>
                </c:pt>
                <c:pt idx="6">
                  <c:v>3682</c:v>
                </c:pt>
                <c:pt idx="10">
                  <c:v>4312</c:v>
                </c:pt>
                <c:pt idx="11">
                  <c:v>1911</c:v>
                </c:pt>
                <c:pt idx="12">
                  <c:v>2956</c:v>
                </c:pt>
                <c:pt idx="13">
                  <c:v>4545</c:v>
                </c:pt>
                <c:pt idx="14">
                  <c:v>45088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5260</c:v>
                </c:pt>
                <c:pt idx="3">
                  <c:v>2760</c:v>
                </c:pt>
                <c:pt idx="4">
                  <c:v>3710</c:v>
                </c:pt>
                <c:pt idx="5">
                  <c:v>1330</c:v>
                </c:pt>
                <c:pt idx="6">
                  <c:v>3690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4320</c:v>
                </c:pt>
                <c:pt idx="11">
                  <c:v>1920</c:v>
                </c:pt>
                <c:pt idx="12">
                  <c:v>3000</c:v>
                </c:pt>
                <c:pt idx="13">
                  <c:v>4550</c:v>
                </c:pt>
                <c:pt idx="14">
                  <c:v>45090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16992"/>
        <c:axId val="658029312"/>
      </c:lineChart>
      <c:catAx>
        <c:axId val="661716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8029312"/>
        <c:crosses val="autoZero"/>
        <c:auto val="1"/>
        <c:lblAlgn val="ctr"/>
        <c:lblOffset val="100"/>
        <c:noMultiLvlLbl val="0"/>
      </c:catAx>
      <c:valAx>
        <c:axId val="658029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1716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0% 100% 79% 79% 0% 83% 0% 0% 0% 100% 41% 62% 100%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0.99904942965779464</c:v>
                </c:pt>
                <c:pt idx="3">
                  <c:v>0.79137983091787434</c:v>
                </c:pt>
                <c:pt idx="4">
                  <c:v>0.79166666666666663</c:v>
                </c:pt>
                <c:pt idx="5">
                  <c:v>0</c:v>
                </c:pt>
                <c:pt idx="6">
                  <c:v>0.8315266485998194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0.99814814814814812</c:v>
                </c:pt>
                <c:pt idx="11">
                  <c:v>0.41471354166666669</c:v>
                </c:pt>
                <c:pt idx="12">
                  <c:v>0.61583333333333334</c:v>
                </c:pt>
                <c:pt idx="13">
                  <c:v>0.99890109890109891</c:v>
                </c:pt>
                <c:pt idx="14">
                  <c:v>0.95829082575589564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0.49330063490981985</c:v>
                </c:pt>
                <c:pt idx="1">
                  <c:v>0.49330063490981985</c:v>
                </c:pt>
                <c:pt idx="2">
                  <c:v>0.49330063490981985</c:v>
                </c:pt>
                <c:pt idx="3">
                  <c:v>0.49330063490981985</c:v>
                </c:pt>
                <c:pt idx="4">
                  <c:v>0.49330063490981985</c:v>
                </c:pt>
                <c:pt idx="5">
                  <c:v>0.49330063490981985</c:v>
                </c:pt>
                <c:pt idx="6">
                  <c:v>0.49330063490981985</c:v>
                </c:pt>
                <c:pt idx="7">
                  <c:v>0.49330063490981985</c:v>
                </c:pt>
                <c:pt idx="8">
                  <c:v>0.49330063490981985</c:v>
                </c:pt>
                <c:pt idx="9">
                  <c:v>0.49330063490981985</c:v>
                </c:pt>
                <c:pt idx="10">
                  <c:v>0.49330063490981985</c:v>
                </c:pt>
                <c:pt idx="11">
                  <c:v>0.49330063490981985</c:v>
                </c:pt>
                <c:pt idx="12">
                  <c:v>0.49330063490981985</c:v>
                </c:pt>
                <c:pt idx="13">
                  <c:v>0.49330063490981985</c:v>
                </c:pt>
                <c:pt idx="14">
                  <c:v>0.49330063490981985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18016"/>
        <c:axId val="657982016"/>
      </c:lineChart>
      <c:catAx>
        <c:axId val="66171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7982016"/>
        <c:crosses val="autoZero"/>
        <c:auto val="1"/>
        <c:lblAlgn val="ctr"/>
        <c:lblOffset val="100"/>
        <c:noMultiLvlLbl val="0"/>
      </c:catAx>
      <c:valAx>
        <c:axId val="657982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171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5255</c:v>
                </c:pt>
                <c:pt idx="3">
                  <c:v>2759</c:v>
                </c:pt>
                <c:pt idx="4">
                  <c:v>3710</c:v>
                </c:pt>
                <c:pt idx="6">
                  <c:v>3682</c:v>
                </c:pt>
                <c:pt idx="10">
                  <c:v>4312</c:v>
                </c:pt>
                <c:pt idx="11">
                  <c:v>1911</c:v>
                </c:pt>
                <c:pt idx="12">
                  <c:v>2956</c:v>
                </c:pt>
                <c:pt idx="13">
                  <c:v>4545</c:v>
                </c:pt>
                <c:pt idx="14">
                  <c:v>45088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5260</c:v>
                </c:pt>
                <c:pt idx="3">
                  <c:v>2760</c:v>
                </c:pt>
                <c:pt idx="4">
                  <c:v>3710</c:v>
                </c:pt>
                <c:pt idx="5">
                  <c:v>1330</c:v>
                </c:pt>
                <c:pt idx="6">
                  <c:v>3690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4320</c:v>
                </c:pt>
                <c:pt idx="11">
                  <c:v>1920</c:v>
                </c:pt>
                <c:pt idx="12">
                  <c:v>3000</c:v>
                </c:pt>
                <c:pt idx="13">
                  <c:v>4550</c:v>
                </c:pt>
                <c:pt idx="14">
                  <c:v>45090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19040"/>
        <c:axId val="657984320"/>
      </c:lineChart>
      <c:catAx>
        <c:axId val="6617190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7984320"/>
        <c:crosses val="autoZero"/>
        <c:auto val="1"/>
        <c:lblAlgn val="ctr"/>
        <c:lblOffset val="100"/>
        <c:noMultiLvlLbl val="0"/>
      </c:catAx>
      <c:valAx>
        <c:axId val="6579843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1719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0% 100% 79% 79% 0% 83% 0% 0% 0% 100% 41% 62% 100%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0.99904942965779464</c:v>
                </c:pt>
                <c:pt idx="3">
                  <c:v>0.79137983091787434</c:v>
                </c:pt>
                <c:pt idx="4">
                  <c:v>0.79166666666666663</c:v>
                </c:pt>
                <c:pt idx="5">
                  <c:v>0</c:v>
                </c:pt>
                <c:pt idx="6">
                  <c:v>0.8315266485998194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0.99814814814814812</c:v>
                </c:pt>
                <c:pt idx="11">
                  <c:v>0.41471354166666669</c:v>
                </c:pt>
                <c:pt idx="12">
                  <c:v>0.61583333333333334</c:v>
                </c:pt>
                <c:pt idx="13">
                  <c:v>0.99890109890109891</c:v>
                </c:pt>
                <c:pt idx="14">
                  <c:v>0.95829082575589564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0.49330063490981985</c:v>
                </c:pt>
                <c:pt idx="1">
                  <c:v>0.49330063490981985</c:v>
                </c:pt>
                <c:pt idx="2">
                  <c:v>0.49330063490981985</c:v>
                </c:pt>
                <c:pt idx="3">
                  <c:v>0.49330063490981985</c:v>
                </c:pt>
                <c:pt idx="4">
                  <c:v>0.49330063490981985</c:v>
                </c:pt>
                <c:pt idx="5">
                  <c:v>0.49330063490981985</c:v>
                </c:pt>
                <c:pt idx="6">
                  <c:v>0.49330063490981985</c:v>
                </c:pt>
                <c:pt idx="7">
                  <c:v>0.49330063490981985</c:v>
                </c:pt>
                <c:pt idx="8">
                  <c:v>0.49330063490981985</c:v>
                </c:pt>
                <c:pt idx="9">
                  <c:v>0.49330063490981985</c:v>
                </c:pt>
                <c:pt idx="10">
                  <c:v>0.49330063490981985</c:v>
                </c:pt>
                <c:pt idx="11">
                  <c:v>0.49330063490981985</c:v>
                </c:pt>
                <c:pt idx="12">
                  <c:v>0.49330063490981985</c:v>
                </c:pt>
                <c:pt idx="13">
                  <c:v>0.49330063490981985</c:v>
                </c:pt>
                <c:pt idx="14">
                  <c:v>0.49330063490981985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19552"/>
        <c:axId val="657986048"/>
      </c:lineChart>
      <c:catAx>
        <c:axId val="66171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7986048"/>
        <c:crosses val="autoZero"/>
        <c:auto val="1"/>
        <c:lblAlgn val="ctr"/>
        <c:lblOffset val="100"/>
        <c:noMultiLvlLbl val="0"/>
      </c:catAx>
      <c:valAx>
        <c:axId val="6579860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171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720064"/>
        <c:axId val="6579883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20064"/>
        <c:axId val="657988352"/>
      </c:lineChart>
      <c:catAx>
        <c:axId val="66172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657988352"/>
        <c:crosses val="autoZero"/>
        <c:auto val="1"/>
        <c:lblAlgn val="ctr"/>
        <c:lblOffset val="100"/>
        <c:noMultiLvlLbl val="0"/>
      </c:catAx>
      <c:valAx>
        <c:axId val="657988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17200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6162</c:v>
                </c:pt>
                <c:pt idx="3">
                  <c:v>3607</c:v>
                </c:pt>
                <c:pt idx="4">
                  <c:v>5240</c:v>
                </c:pt>
                <c:pt idx="6">
                  <c:v>4975</c:v>
                </c:pt>
                <c:pt idx="10">
                  <c:v>1728</c:v>
                </c:pt>
                <c:pt idx="11">
                  <c:v>1567</c:v>
                </c:pt>
                <c:pt idx="12">
                  <c:v>5544</c:v>
                </c:pt>
                <c:pt idx="13">
                  <c:v>5031</c:v>
                </c:pt>
                <c:pt idx="14">
                  <c:v>61368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6170</c:v>
                </c:pt>
                <c:pt idx="3">
                  <c:v>3610</c:v>
                </c:pt>
                <c:pt idx="4">
                  <c:v>5240</c:v>
                </c:pt>
                <c:pt idx="5">
                  <c:v>1330</c:v>
                </c:pt>
                <c:pt idx="6">
                  <c:v>4980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1730</c:v>
                </c:pt>
                <c:pt idx="11">
                  <c:v>1570</c:v>
                </c:pt>
                <c:pt idx="12">
                  <c:v>5550</c:v>
                </c:pt>
                <c:pt idx="13">
                  <c:v>5040</c:v>
                </c:pt>
                <c:pt idx="14">
                  <c:v>61370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39456"/>
        <c:axId val="662628032"/>
      </c:lineChart>
      <c:catAx>
        <c:axId val="6611394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2628032"/>
        <c:crosses val="autoZero"/>
        <c:auto val="1"/>
        <c:lblAlgn val="ctr"/>
        <c:lblOffset val="100"/>
        <c:noMultiLvlLbl val="0"/>
      </c:catAx>
      <c:valAx>
        <c:axId val="662628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1139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0% 100% 71% 100% 0% 100% 0% 0% 0% 42% 33%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0.99870340356564025</c:v>
                </c:pt>
                <c:pt idx="3">
                  <c:v>0.70774469067405354</c:v>
                </c:pt>
                <c:pt idx="4">
                  <c:v>1</c:v>
                </c:pt>
                <c:pt idx="5">
                  <c:v>0</c:v>
                </c:pt>
                <c:pt idx="6">
                  <c:v>0.99899598393574296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0.41618497109826591</c:v>
                </c:pt>
                <c:pt idx="11">
                  <c:v>0.33269639065817408</c:v>
                </c:pt>
                <c:pt idx="12">
                  <c:v>0.99891891891891893</c:v>
                </c:pt>
                <c:pt idx="13">
                  <c:v>0.99821428571428572</c:v>
                </c:pt>
                <c:pt idx="14">
                  <c:v>0.99996741078702944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0.49676173702347409</c:v>
                </c:pt>
                <c:pt idx="1">
                  <c:v>0.49676173702347409</c:v>
                </c:pt>
                <c:pt idx="2">
                  <c:v>0.49676173702347409</c:v>
                </c:pt>
                <c:pt idx="3">
                  <c:v>0.49676173702347409</c:v>
                </c:pt>
                <c:pt idx="4">
                  <c:v>0.49676173702347409</c:v>
                </c:pt>
                <c:pt idx="5">
                  <c:v>0.49676173702347409</c:v>
                </c:pt>
                <c:pt idx="6">
                  <c:v>0.49676173702347409</c:v>
                </c:pt>
                <c:pt idx="7">
                  <c:v>0.49676173702347409</c:v>
                </c:pt>
                <c:pt idx="8">
                  <c:v>0.49676173702347409</c:v>
                </c:pt>
                <c:pt idx="9">
                  <c:v>0.49676173702347409</c:v>
                </c:pt>
                <c:pt idx="10">
                  <c:v>0.49676173702347409</c:v>
                </c:pt>
                <c:pt idx="11">
                  <c:v>0.49676173702347409</c:v>
                </c:pt>
                <c:pt idx="12">
                  <c:v>0.49676173702347409</c:v>
                </c:pt>
                <c:pt idx="13">
                  <c:v>0.49676173702347409</c:v>
                </c:pt>
                <c:pt idx="14">
                  <c:v>0.49676173702347409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40480"/>
        <c:axId val="662629760"/>
      </c:lineChart>
      <c:catAx>
        <c:axId val="66114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2629760"/>
        <c:crosses val="autoZero"/>
        <c:auto val="1"/>
        <c:lblAlgn val="ctr"/>
        <c:lblOffset val="100"/>
        <c:noMultiLvlLbl val="0"/>
      </c:catAx>
      <c:valAx>
        <c:axId val="6626297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1140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6162</c:v>
                </c:pt>
                <c:pt idx="3">
                  <c:v>3607</c:v>
                </c:pt>
                <c:pt idx="4">
                  <c:v>5240</c:v>
                </c:pt>
                <c:pt idx="6">
                  <c:v>4975</c:v>
                </c:pt>
                <c:pt idx="10">
                  <c:v>1728</c:v>
                </c:pt>
                <c:pt idx="11">
                  <c:v>1567</c:v>
                </c:pt>
                <c:pt idx="12">
                  <c:v>5544</c:v>
                </c:pt>
                <c:pt idx="13">
                  <c:v>5031</c:v>
                </c:pt>
                <c:pt idx="14">
                  <c:v>61368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6170</c:v>
                </c:pt>
                <c:pt idx="3">
                  <c:v>3610</c:v>
                </c:pt>
                <c:pt idx="4">
                  <c:v>5240</c:v>
                </c:pt>
                <c:pt idx="5">
                  <c:v>1330</c:v>
                </c:pt>
                <c:pt idx="6">
                  <c:v>4980</c:v>
                </c:pt>
                <c:pt idx="7">
                  <c:v>6080</c:v>
                </c:pt>
                <c:pt idx="8">
                  <c:v>260</c:v>
                </c:pt>
                <c:pt idx="9">
                  <c:v>760</c:v>
                </c:pt>
                <c:pt idx="10">
                  <c:v>1730</c:v>
                </c:pt>
                <c:pt idx="11">
                  <c:v>1570</c:v>
                </c:pt>
                <c:pt idx="12">
                  <c:v>5550</c:v>
                </c:pt>
                <c:pt idx="13">
                  <c:v>5040</c:v>
                </c:pt>
                <c:pt idx="14">
                  <c:v>61370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40992"/>
        <c:axId val="662632064"/>
      </c:lineChart>
      <c:catAx>
        <c:axId val="661140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2632064"/>
        <c:crosses val="autoZero"/>
        <c:auto val="1"/>
        <c:lblAlgn val="ctr"/>
        <c:lblOffset val="100"/>
        <c:noMultiLvlLbl val="0"/>
      </c:catAx>
      <c:valAx>
        <c:axId val="6626320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114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0% 100% 71% 100% 0% 100% 0% 0% 0% 42% 33%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0.99870340356564025</c:v>
                </c:pt>
                <c:pt idx="3">
                  <c:v>0.70774469067405354</c:v>
                </c:pt>
                <c:pt idx="4">
                  <c:v>1</c:v>
                </c:pt>
                <c:pt idx="5">
                  <c:v>0</c:v>
                </c:pt>
                <c:pt idx="6">
                  <c:v>0.99899598393574296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0.41618497109826591</c:v>
                </c:pt>
                <c:pt idx="11">
                  <c:v>0.33269639065817408</c:v>
                </c:pt>
                <c:pt idx="12">
                  <c:v>0.99891891891891893</c:v>
                </c:pt>
                <c:pt idx="13">
                  <c:v>0.99821428571428572</c:v>
                </c:pt>
                <c:pt idx="14">
                  <c:v>0.99996741078702944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0.49676173702347409</c:v>
                </c:pt>
                <c:pt idx="1">
                  <c:v>0.49676173702347409</c:v>
                </c:pt>
                <c:pt idx="2">
                  <c:v>0.49676173702347409</c:v>
                </c:pt>
                <c:pt idx="3">
                  <c:v>0.49676173702347409</c:v>
                </c:pt>
                <c:pt idx="4">
                  <c:v>0.49676173702347409</c:v>
                </c:pt>
                <c:pt idx="5">
                  <c:v>0.49676173702347409</c:v>
                </c:pt>
                <c:pt idx="6">
                  <c:v>0.49676173702347409</c:v>
                </c:pt>
                <c:pt idx="7">
                  <c:v>0.49676173702347409</c:v>
                </c:pt>
                <c:pt idx="8">
                  <c:v>0.49676173702347409</c:v>
                </c:pt>
                <c:pt idx="9">
                  <c:v>0.49676173702347409</c:v>
                </c:pt>
                <c:pt idx="10">
                  <c:v>0.49676173702347409</c:v>
                </c:pt>
                <c:pt idx="11">
                  <c:v>0.49676173702347409</c:v>
                </c:pt>
                <c:pt idx="12">
                  <c:v>0.49676173702347409</c:v>
                </c:pt>
                <c:pt idx="13">
                  <c:v>0.49676173702347409</c:v>
                </c:pt>
                <c:pt idx="14">
                  <c:v>0.49676173702347409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41504"/>
        <c:axId val="662633792"/>
      </c:lineChart>
      <c:catAx>
        <c:axId val="6611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2633792"/>
        <c:crosses val="autoZero"/>
        <c:auto val="1"/>
        <c:lblAlgn val="ctr"/>
        <c:lblOffset val="100"/>
        <c:noMultiLvlLbl val="0"/>
      </c:catAx>
      <c:valAx>
        <c:axId val="6626337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11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142016"/>
        <c:axId val="6623167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42016"/>
        <c:axId val="662316736"/>
      </c:lineChart>
      <c:catAx>
        <c:axId val="66114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662316736"/>
        <c:crosses val="autoZero"/>
        <c:auto val="1"/>
        <c:lblAlgn val="ctr"/>
        <c:lblOffset val="100"/>
        <c:noMultiLvlLbl val="0"/>
      </c:catAx>
      <c:valAx>
        <c:axId val="662316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11420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3810</c:v>
                </c:pt>
                <c:pt idx="3">
                  <c:v>1099</c:v>
                </c:pt>
                <c:pt idx="4">
                  <c:v>2559</c:v>
                </c:pt>
                <c:pt idx="6">
                  <c:v>4606</c:v>
                </c:pt>
                <c:pt idx="9">
                  <c:v>2807</c:v>
                </c:pt>
                <c:pt idx="10">
                  <c:v>3861</c:v>
                </c:pt>
                <c:pt idx="12">
                  <c:v>5504</c:v>
                </c:pt>
                <c:pt idx="13">
                  <c:v>1956</c:v>
                </c:pt>
                <c:pt idx="14">
                  <c:v>43536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3810</c:v>
                </c:pt>
                <c:pt idx="3">
                  <c:v>1100</c:v>
                </c:pt>
                <c:pt idx="4">
                  <c:v>2560</c:v>
                </c:pt>
                <c:pt idx="5">
                  <c:v>1330</c:v>
                </c:pt>
                <c:pt idx="6">
                  <c:v>4610</c:v>
                </c:pt>
                <c:pt idx="7">
                  <c:v>6080</c:v>
                </c:pt>
                <c:pt idx="8">
                  <c:v>260</c:v>
                </c:pt>
                <c:pt idx="9">
                  <c:v>2810</c:v>
                </c:pt>
                <c:pt idx="10">
                  <c:v>3870</c:v>
                </c:pt>
                <c:pt idx="11">
                  <c:v>1570</c:v>
                </c:pt>
                <c:pt idx="12">
                  <c:v>5510</c:v>
                </c:pt>
                <c:pt idx="13">
                  <c:v>1960</c:v>
                </c:pt>
                <c:pt idx="14">
                  <c:v>43540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470144"/>
        <c:axId val="662319616"/>
      </c:lineChart>
      <c:catAx>
        <c:axId val="6624701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2319616"/>
        <c:crosses val="autoZero"/>
        <c:auto val="1"/>
        <c:lblAlgn val="ctr"/>
        <c:lblOffset val="100"/>
        <c:noMultiLvlLbl val="0"/>
      </c:catAx>
      <c:valAx>
        <c:axId val="662319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2470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0% 79% 33% 58% 0% 92% 0% 0% 67% 79% 0% 100% 42% 79%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0.33303030303030301</c:v>
                </c:pt>
                <c:pt idx="4">
                  <c:v>0.58310546875000002</c:v>
                </c:pt>
                <c:pt idx="5">
                  <c:v>0</c:v>
                </c:pt>
                <c:pt idx="6">
                  <c:v>0.91587129428778014</c:v>
                </c:pt>
                <c:pt idx="7">
                  <c:v>0</c:v>
                </c:pt>
                <c:pt idx="8">
                  <c:v>0</c:v>
                </c:pt>
                <c:pt idx="9">
                  <c:v>0.66595492289442459</c:v>
                </c:pt>
                <c:pt idx="10">
                  <c:v>0.78982558139534875</c:v>
                </c:pt>
                <c:pt idx="11">
                  <c:v>0</c:v>
                </c:pt>
                <c:pt idx="12">
                  <c:v>0.99891107078039931</c:v>
                </c:pt>
                <c:pt idx="13">
                  <c:v>0.41581632653061223</c:v>
                </c:pt>
                <c:pt idx="14">
                  <c:v>0.79159393661001376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0.41905170472970321</c:v>
                </c:pt>
                <c:pt idx="1">
                  <c:v>0.41905170472970321</c:v>
                </c:pt>
                <c:pt idx="2">
                  <c:v>0.41905170472970321</c:v>
                </c:pt>
                <c:pt idx="3">
                  <c:v>0.41905170472970321</c:v>
                </c:pt>
                <c:pt idx="4">
                  <c:v>0.41905170472970321</c:v>
                </c:pt>
                <c:pt idx="5">
                  <c:v>0.41905170472970321</c:v>
                </c:pt>
                <c:pt idx="6">
                  <c:v>0.41905170472970321</c:v>
                </c:pt>
                <c:pt idx="7">
                  <c:v>0.41905170472970321</c:v>
                </c:pt>
                <c:pt idx="8">
                  <c:v>0.41905170472970321</c:v>
                </c:pt>
                <c:pt idx="9">
                  <c:v>0.41905170472970321</c:v>
                </c:pt>
                <c:pt idx="10">
                  <c:v>0.41905170472970321</c:v>
                </c:pt>
                <c:pt idx="11">
                  <c:v>0.41905170472970321</c:v>
                </c:pt>
                <c:pt idx="12">
                  <c:v>0.41905170472970321</c:v>
                </c:pt>
                <c:pt idx="13">
                  <c:v>0.41905170472970321</c:v>
                </c:pt>
                <c:pt idx="14">
                  <c:v>0.41905170472970321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487552"/>
        <c:axId val="662321344"/>
      </c:lineChart>
      <c:catAx>
        <c:axId val="6624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2321344"/>
        <c:crosses val="autoZero"/>
        <c:auto val="1"/>
        <c:lblAlgn val="ctr"/>
        <c:lblOffset val="100"/>
        <c:noMultiLvlLbl val="0"/>
      </c:catAx>
      <c:valAx>
        <c:axId val="662321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248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3810</c:v>
                </c:pt>
                <c:pt idx="3">
                  <c:v>1099</c:v>
                </c:pt>
                <c:pt idx="4">
                  <c:v>2559</c:v>
                </c:pt>
                <c:pt idx="6">
                  <c:v>4606</c:v>
                </c:pt>
                <c:pt idx="9">
                  <c:v>2807</c:v>
                </c:pt>
                <c:pt idx="10">
                  <c:v>3861</c:v>
                </c:pt>
                <c:pt idx="12">
                  <c:v>5504</c:v>
                </c:pt>
                <c:pt idx="13">
                  <c:v>1956</c:v>
                </c:pt>
                <c:pt idx="14">
                  <c:v>43536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2520</c:v>
                </c:pt>
                <c:pt idx="2">
                  <c:v>3810</c:v>
                </c:pt>
                <c:pt idx="3">
                  <c:v>1100</c:v>
                </c:pt>
                <c:pt idx="4">
                  <c:v>2560</c:v>
                </c:pt>
                <c:pt idx="5">
                  <c:v>1330</c:v>
                </c:pt>
                <c:pt idx="6">
                  <c:v>4610</c:v>
                </c:pt>
                <c:pt idx="7">
                  <c:v>6080</c:v>
                </c:pt>
                <c:pt idx="8">
                  <c:v>260</c:v>
                </c:pt>
                <c:pt idx="9">
                  <c:v>2810</c:v>
                </c:pt>
                <c:pt idx="10">
                  <c:v>3870</c:v>
                </c:pt>
                <c:pt idx="11">
                  <c:v>1570</c:v>
                </c:pt>
                <c:pt idx="12">
                  <c:v>5510</c:v>
                </c:pt>
                <c:pt idx="13">
                  <c:v>1960</c:v>
                </c:pt>
                <c:pt idx="14">
                  <c:v>43540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488576"/>
        <c:axId val="663011904"/>
      </c:lineChart>
      <c:catAx>
        <c:axId val="662488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3011904"/>
        <c:crosses val="autoZero"/>
        <c:auto val="1"/>
        <c:lblAlgn val="ctr"/>
        <c:lblOffset val="100"/>
        <c:noMultiLvlLbl val="0"/>
      </c:catAx>
      <c:valAx>
        <c:axId val="663011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2488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0% 79% 33% 58% 0% 92% 0% 0% 67% 79% 0% 100% 42% 79%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0.33303030303030301</c:v>
                </c:pt>
                <c:pt idx="4">
                  <c:v>0.58310546875000002</c:v>
                </c:pt>
                <c:pt idx="5">
                  <c:v>0</c:v>
                </c:pt>
                <c:pt idx="6">
                  <c:v>0.91587129428778014</c:v>
                </c:pt>
                <c:pt idx="7">
                  <c:v>0</c:v>
                </c:pt>
                <c:pt idx="8">
                  <c:v>0</c:v>
                </c:pt>
                <c:pt idx="9">
                  <c:v>0.66595492289442459</c:v>
                </c:pt>
                <c:pt idx="10">
                  <c:v>0.78982558139534875</c:v>
                </c:pt>
                <c:pt idx="11">
                  <c:v>0</c:v>
                </c:pt>
                <c:pt idx="12">
                  <c:v>0.99891107078039931</c:v>
                </c:pt>
                <c:pt idx="13">
                  <c:v>0.41581632653061223</c:v>
                </c:pt>
                <c:pt idx="14">
                  <c:v>0.79159393661001376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LOWER PLATE</c:v>
                </c:pt>
                <c:pt idx="1">
                  <c:v>SPACER 1.2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COVER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0.41905170472970321</c:v>
                </c:pt>
                <c:pt idx="1">
                  <c:v>0.41905170472970321</c:v>
                </c:pt>
                <c:pt idx="2">
                  <c:v>0.41905170472970321</c:v>
                </c:pt>
                <c:pt idx="3">
                  <c:v>0.41905170472970321</c:v>
                </c:pt>
                <c:pt idx="4">
                  <c:v>0.41905170472970321</c:v>
                </c:pt>
                <c:pt idx="5">
                  <c:v>0.41905170472970321</c:v>
                </c:pt>
                <c:pt idx="6">
                  <c:v>0.41905170472970321</c:v>
                </c:pt>
                <c:pt idx="7">
                  <c:v>0.41905170472970321</c:v>
                </c:pt>
                <c:pt idx="8">
                  <c:v>0.41905170472970321</c:v>
                </c:pt>
                <c:pt idx="9">
                  <c:v>0.41905170472970321</c:v>
                </c:pt>
                <c:pt idx="10">
                  <c:v>0.41905170472970321</c:v>
                </c:pt>
                <c:pt idx="11">
                  <c:v>0.41905170472970321</c:v>
                </c:pt>
                <c:pt idx="12">
                  <c:v>0.41905170472970321</c:v>
                </c:pt>
                <c:pt idx="13">
                  <c:v>0.41905170472970321</c:v>
                </c:pt>
                <c:pt idx="14">
                  <c:v>0.41905170472970321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489088"/>
        <c:axId val="663012480"/>
      </c:lineChart>
      <c:catAx>
        <c:axId val="66248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3012480"/>
        <c:crosses val="autoZero"/>
        <c:auto val="1"/>
        <c:lblAlgn val="ctr"/>
        <c:lblOffset val="100"/>
        <c:noMultiLvlLbl val="0"/>
      </c:catAx>
      <c:valAx>
        <c:axId val="6630124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248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2489600"/>
        <c:axId val="6630147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489600"/>
        <c:axId val="663014784"/>
      </c:lineChart>
      <c:catAx>
        <c:axId val="662489600"/>
        <c:scaling>
          <c:orientation val="minMax"/>
        </c:scaling>
        <c:delete val="0"/>
        <c:axPos val="b"/>
        <c:majorTickMark val="out"/>
        <c:minorTickMark val="none"/>
        <c:tickLblPos val="nextTo"/>
        <c:crossAx val="663014784"/>
        <c:crosses val="autoZero"/>
        <c:auto val="1"/>
        <c:lblAlgn val="ctr"/>
        <c:lblOffset val="100"/>
        <c:noMultiLvlLbl val="0"/>
      </c:catAx>
      <c:valAx>
        <c:axId val="6630147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24896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1">
                  <c:v>6516</c:v>
                </c:pt>
                <c:pt idx="2">
                  <c:v>4931</c:v>
                </c:pt>
                <c:pt idx="3">
                  <c:v>5169</c:v>
                </c:pt>
                <c:pt idx="4">
                  <c:v>4147</c:v>
                </c:pt>
                <c:pt idx="6">
                  <c:v>310</c:v>
                </c:pt>
                <c:pt idx="7">
                  <c:v>1617</c:v>
                </c:pt>
                <c:pt idx="11">
                  <c:v>5379</c:v>
                </c:pt>
                <c:pt idx="13">
                  <c:v>500</c:v>
                </c:pt>
                <c:pt idx="14">
                  <c:v>0</c:v>
                </c:pt>
                <c:pt idx="15">
                  <c:v>55776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6520</c:v>
                </c:pt>
                <c:pt idx="2">
                  <c:v>4940</c:v>
                </c:pt>
                <c:pt idx="3">
                  <c:v>5170</c:v>
                </c:pt>
                <c:pt idx="4">
                  <c:v>4150</c:v>
                </c:pt>
                <c:pt idx="5">
                  <c:v>1330</c:v>
                </c:pt>
                <c:pt idx="6">
                  <c:v>310</c:v>
                </c:pt>
                <c:pt idx="7">
                  <c:v>1620</c:v>
                </c:pt>
                <c:pt idx="8">
                  <c:v>6080</c:v>
                </c:pt>
                <c:pt idx="9">
                  <c:v>260</c:v>
                </c:pt>
                <c:pt idx="10">
                  <c:v>2810</c:v>
                </c:pt>
                <c:pt idx="11">
                  <c:v>5380</c:v>
                </c:pt>
                <c:pt idx="12">
                  <c:v>1570</c:v>
                </c:pt>
                <c:pt idx="13">
                  <c:v>500</c:v>
                </c:pt>
                <c:pt idx="14">
                  <c:v>1960</c:v>
                </c:pt>
                <c:pt idx="15">
                  <c:v>55780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609856"/>
        <c:axId val="663017664"/>
      </c:lineChart>
      <c:catAx>
        <c:axId val="6636098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3017664"/>
        <c:crosses val="autoZero"/>
        <c:auto val="1"/>
        <c:lblAlgn val="ctr"/>
        <c:lblOffset val="100"/>
        <c:noMultiLvlLbl val="0"/>
      </c:catAx>
      <c:valAx>
        <c:axId val="6630176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360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"/>
                <c:pt idx="0">
                  <c:v>0% 71% 100% 100% 79% 0% 13% 46% 0% 0% 0% 100% 0% 17% 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0.70789877300613502</c:v>
                </c:pt>
                <c:pt idx="2">
                  <c:v>0.99817813765182184</c:v>
                </c:pt>
                <c:pt idx="3">
                  <c:v>0.99980657640232107</c:v>
                </c:pt>
                <c:pt idx="4">
                  <c:v>0.79109437751004019</c:v>
                </c:pt>
                <c:pt idx="5">
                  <c:v>0</c:v>
                </c:pt>
                <c:pt idx="6">
                  <c:v>0.125</c:v>
                </c:pt>
                <c:pt idx="7">
                  <c:v>0.45748456790123454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0.99981412639405209</c:v>
                </c:pt>
                <c:pt idx="12">
                  <c:v>0</c:v>
                </c:pt>
                <c:pt idx="13">
                  <c:v>0.16666666666666666</c:v>
                </c:pt>
                <c:pt idx="14">
                  <c:v>0</c:v>
                </c:pt>
                <c:pt idx="15">
                  <c:v>0.95826461097167448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0.41361385576692983</c:v>
                </c:pt>
                <c:pt idx="1">
                  <c:v>0.41361385576692983</c:v>
                </c:pt>
                <c:pt idx="2">
                  <c:v>0.41361385576692983</c:v>
                </c:pt>
                <c:pt idx="3">
                  <c:v>0.41361385576692983</c:v>
                </c:pt>
                <c:pt idx="4">
                  <c:v>0.41361385576692983</c:v>
                </c:pt>
                <c:pt idx="5">
                  <c:v>0.41361385576692983</c:v>
                </c:pt>
                <c:pt idx="6">
                  <c:v>0.41361385576692983</c:v>
                </c:pt>
                <c:pt idx="7">
                  <c:v>0.41361385576692983</c:v>
                </c:pt>
                <c:pt idx="8">
                  <c:v>0.41361385576692983</c:v>
                </c:pt>
                <c:pt idx="9">
                  <c:v>0.41361385576692983</c:v>
                </c:pt>
                <c:pt idx="10">
                  <c:v>0.41361385576692983</c:v>
                </c:pt>
                <c:pt idx="11">
                  <c:v>0.41361385576692983</c:v>
                </c:pt>
                <c:pt idx="12">
                  <c:v>0.41361385576692983</c:v>
                </c:pt>
                <c:pt idx="13">
                  <c:v>0.41361385576692983</c:v>
                </c:pt>
                <c:pt idx="14">
                  <c:v>0.41361385576692983</c:v>
                </c:pt>
                <c:pt idx="15">
                  <c:v>0.41361385576692983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610880"/>
        <c:axId val="663633920"/>
      </c:lineChart>
      <c:catAx>
        <c:axId val="66361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3633920"/>
        <c:crosses val="autoZero"/>
        <c:auto val="1"/>
        <c:lblAlgn val="ctr"/>
        <c:lblOffset val="100"/>
        <c:noMultiLvlLbl val="0"/>
      </c:catAx>
      <c:valAx>
        <c:axId val="6636339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361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1">
                  <c:v>6516</c:v>
                </c:pt>
                <c:pt idx="2">
                  <c:v>4931</c:v>
                </c:pt>
                <c:pt idx="3">
                  <c:v>5169</c:v>
                </c:pt>
                <c:pt idx="4">
                  <c:v>4147</c:v>
                </c:pt>
                <c:pt idx="6">
                  <c:v>310</c:v>
                </c:pt>
                <c:pt idx="7">
                  <c:v>1617</c:v>
                </c:pt>
                <c:pt idx="11">
                  <c:v>5379</c:v>
                </c:pt>
                <c:pt idx="13">
                  <c:v>500</c:v>
                </c:pt>
                <c:pt idx="14">
                  <c:v>0</c:v>
                </c:pt>
                <c:pt idx="15">
                  <c:v>55776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6520</c:v>
                </c:pt>
                <c:pt idx="2">
                  <c:v>4940</c:v>
                </c:pt>
                <c:pt idx="3">
                  <c:v>5170</c:v>
                </c:pt>
                <c:pt idx="4">
                  <c:v>4150</c:v>
                </c:pt>
                <c:pt idx="5">
                  <c:v>1330</c:v>
                </c:pt>
                <c:pt idx="6">
                  <c:v>310</c:v>
                </c:pt>
                <c:pt idx="7">
                  <c:v>1620</c:v>
                </c:pt>
                <c:pt idx="8">
                  <c:v>6080</c:v>
                </c:pt>
                <c:pt idx="9">
                  <c:v>260</c:v>
                </c:pt>
                <c:pt idx="10">
                  <c:v>2810</c:v>
                </c:pt>
                <c:pt idx="11">
                  <c:v>5380</c:v>
                </c:pt>
                <c:pt idx="12">
                  <c:v>1570</c:v>
                </c:pt>
                <c:pt idx="13">
                  <c:v>500</c:v>
                </c:pt>
                <c:pt idx="14">
                  <c:v>1960</c:v>
                </c:pt>
                <c:pt idx="15">
                  <c:v>55780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611392"/>
        <c:axId val="663636224"/>
      </c:lineChart>
      <c:catAx>
        <c:axId val="663611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3636224"/>
        <c:crosses val="autoZero"/>
        <c:auto val="1"/>
        <c:lblAlgn val="ctr"/>
        <c:lblOffset val="100"/>
        <c:noMultiLvlLbl val="0"/>
      </c:catAx>
      <c:valAx>
        <c:axId val="6636362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3611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"/>
                <c:pt idx="0">
                  <c:v>0% 71% 100% 100% 79% 0% 13% 46% 0% 0% 0% 100% 0% 17% 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0.70789877300613502</c:v>
                </c:pt>
                <c:pt idx="2">
                  <c:v>0.99817813765182184</c:v>
                </c:pt>
                <c:pt idx="3">
                  <c:v>0.99980657640232107</c:v>
                </c:pt>
                <c:pt idx="4">
                  <c:v>0.79109437751004019</c:v>
                </c:pt>
                <c:pt idx="5">
                  <c:v>0</c:v>
                </c:pt>
                <c:pt idx="6">
                  <c:v>0.125</c:v>
                </c:pt>
                <c:pt idx="7">
                  <c:v>0.45748456790123454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0.99981412639405209</c:v>
                </c:pt>
                <c:pt idx="12">
                  <c:v>0</c:v>
                </c:pt>
                <c:pt idx="13">
                  <c:v>0.16666666666666666</c:v>
                </c:pt>
                <c:pt idx="14">
                  <c:v>0</c:v>
                </c:pt>
                <c:pt idx="15">
                  <c:v>0.95826461097167448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LEAD GUIDE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0.41361385576692983</c:v>
                </c:pt>
                <c:pt idx="1">
                  <c:v>0.41361385576692983</c:v>
                </c:pt>
                <c:pt idx="2">
                  <c:v>0.41361385576692983</c:v>
                </c:pt>
                <c:pt idx="3">
                  <c:v>0.41361385576692983</c:v>
                </c:pt>
                <c:pt idx="4">
                  <c:v>0.41361385576692983</c:v>
                </c:pt>
                <c:pt idx="5">
                  <c:v>0.41361385576692983</c:v>
                </c:pt>
                <c:pt idx="6">
                  <c:v>0.41361385576692983</c:v>
                </c:pt>
                <c:pt idx="7">
                  <c:v>0.41361385576692983</c:v>
                </c:pt>
                <c:pt idx="8">
                  <c:v>0.41361385576692983</c:v>
                </c:pt>
                <c:pt idx="9">
                  <c:v>0.41361385576692983</c:v>
                </c:pt>
                <c:pt idx="10">
                  <c:v>0.41361385576692983</c:v>
                </c:pt>
                <c:pt idx="11">
                  <c:v>0.41361385576692983</c:v>
                </c:pt>
                <c:pt idx="12">
                  <c:v>0.41361385576692983</c:v>
                </c:pt>
                <c:pt idx="13">
                  <c:v>0.41361385576692983</c:v>
                </c:pt>
                <c:pt idx="14">
                  <c:v>0.41361385576692983</c:v>
                </c:pt>
                <c:pt idx="15">
                  <c:v>0.41361385576692983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44096"/>
        <c:axId val="663637952"/>
      </c:lineChart>
      <c:catAx>
        <c:axId val="66304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3637952"/>
        <c:crosses val="autoZero"/>
        <c:auto val="1"/>
        <c:lblAlgn val="ctr"/>
        <c:lblOffset val="100"/>
        <c:noMultiLvlLbl val="0"/>
      </c:catAx>
      <c:valAx>
        <c:axId val="663637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3044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044608"/>
        <c:axId val="6636402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44608"/>
        <c:axId val="663640256"/>
      </c:lineChart>
      <c:catAx>
        <c:axId val="66304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663640256"/>
        <c:crosses val="autoZero"/>
        <c:auto val="1"/>
        <c:lblAlgn val="ctr"/>
        <c:lblOffset val="100"/>
        <c:noMultiLvlLbl val="0"/>
      </c:catAx>
      <c:valAx>
        <c:axId val="6636402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30446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1">
                  <c:v>12074</c:v>
                </c:pt>
                <c:pt idx="2">
                  <c:v>5459</c:v>
                </c:pt>
                <c:pt idx="3">
                  <c:v>4393</c:v>
                </c:pt>
                <c:pt idx="4">
                  <c:v>4772</c:v>
                </c:pt>
                <c:pt idx="7">
                  <c:v>543</c:v>
                </c:pt>
                <c:pt idx="10">
                  <c:v>4068</c:v>
                </c:pt>
                <c:pt idx="12">
                  <c:v>5334</c:v>
                </c:pt>
                <c:pt idx="13">
                  <c:v>1665</c:v>
                </c:pt>
                <c:pt idx="14">
                  <c:v>69768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12080</c:v>
                </c:pt>
                <c:pt idx="2">
                  <c:v>5460</c:v>
                </c:pt>
                <c:pt idx="3">
                  <c:v>4400</c:v>
                </c:pt>
                <c:pt idx="4">
                  <c:v>4780</c:v>
                </c:pt>
                <c:pt idx="5">
                  <c:v>1330</c:v>
                </c:pt>
                <c:pt idx="6">
                  <c:v>1620</c:v>
                </c:pt>
                <c:pt idx="7">
                  <c:v>550</c:v>
                </c:pt>
                <c:pt idx="8">
                  <c:v>260</c:v>
                </c:pt>
                <c:pt idx="9">
                  <c:v>2810</c:v>
                </c:pt>
                <c:pt idx="10">
                  <c:v>4070</c:v>
                </c:pt>
                <c:pt idx="11">
                  <c:v>1570</c:v>
                </c:pt>
                <c:pt idx="12">
                  <c:v>5340</c:v>
                </c:pt>
                <c:pt idx="13">
                  <c:v>1670</c:v>
                </c:pt>
                <c:pt idx="14">
                  <c:v>69770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78752"/>
        <c:axId val="663873216"/>
      </c:lineChart>
      <c:catAx>
        <c:axId val="663178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3873216"/>
        <c:crosses val="autoZero"/>
        <c:auto val="1"/>
        <c:lblAlgn val="ctr"/>
        <c:lblOffset val="100"/>
        <c:noMultiLvlLbl val="0"/>
      </c:catAx>
      <c:valAx>
        <c:axId val="6638732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3178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0% 100% 100% 92% 87% 0% 0% 16% 0% 0% 79% 0% 100% 46%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0.99950331125827818</c:v>
                </c:pt>
                <c:pt idx="2">
                  <c:v>0.99981684981684982</c:v>
                </c:pt>
                <c:pt idx="3">
                  <c:v>0.91520833333333329</c:v>
                </c:pt>
                <c:pt idx="4">
                  <c:v>0.87353556485355643</c:v>
                </c:pt>
                <c:pt idx="5">
                  <c:v>0</c:v>
                </c:pt>
                <c:pt idx="6">
                  <c:v>0</c:v>
                </c:pt>
                <c:pt idx="7">
                  <c:v>0.16454545454545455</c:v>
                </c:pt>
                <c:pt idx="8">
                  <c:v>0</c:v>
                </c:pt>
                <c:pt idx="9">
                  <c:v>0</c:v>
                </c:pt>
                <c:pt idx="10">
                  <c:v>0.79127764127764122</c:v>
                </c:pt>
                <c:pt idx="11">
                  <c:v>0</c:v>
                </c:pt>
                <c:pt idx="12">
                  <c:v>0.99887640449438198</c:v>
                </c:pt>
                <c:pt idx="13">
                  <c:v>0.45696107784431139</c:v>
                </c:pt>
                <c:pt idx="14">
                  <c:v>0.99997133438440589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0.47997973145388084</c:v>
                </c:pt>
                <c:pt idx="1">
                  <c:v>0.47997973145388084</c:v>
                </c:pt>
                <c:pt idx="2">
                  <c:v>0.47997973145388084</c:v>
                </c:pt>
                <c:pt idx="3">
                  <c:v>0.47997973145388084</c:v>
                </c:pt>
                <c:pt idx="4">
                  <c:v>0.47997973145388084</c:v>
                </c:pt>
                <c:pt idx="5">
                  <c:v>0.47997973145388084</c:v>
                </c:pt>
                <c:pt idx="6">
                  <c:v>0.47997973145388084</c:v>
                </c:pt>
                <c:pt idx="7">
                  <c:v>0.47997973145388084</c:v>
                </c:pt>
                <c:pt idx="8">
                  <c:v>0.47997973145388084</c:v>
                </c:pt>
                <c:pt idx="9">
                  <c:v>0.47997973145388084</c:v>
                </c:pt>
                <c:pt idx="10">
                  <c:v>0.47997973145388084</c:v>
                </c:pt>
                <c:pt idx="11">
                  <c:v>0.47997973145388084</c:v>
                </c:pt>
                <c:pt idx="12">
                  <c:v>0.47997973145388084</c:v>
                </c:pt>
                <c:pt idx="13">
                  <c:v>0.47997973145388084</c:v>
                </c:pt>
                <c:pt idx="14">
                  <c:v>0.47997973145388084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84896"/>
        <c:axId val="663874944"/>
      </c:lineChart>
      <c:catAx>
        <c:axId val="66318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3874944"/>
        <c:crosses val="autoZero"/>
        <c:auto val="1"/>
        <c:lblAlgn val="ctr"/>
        <c:lblOffset val="100"/>
        <c:noMultiLvlLbl val="0"/>
      </c:catAx>
      <c:valAx>
        <c:axId val="6638749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3184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1">
                  <c:v>12074</c:v>
                </c:pt>
                <c:pt idx="2">
                  <c:v>5459</c:v>
                </c:pt>
                <c:pt idx="3">
                  <c:v>4393</c:v>
                </c:pt>
                <c:pt idx="4">
                  <c:v>4772</c:v>
                </c:pt>
                <c:pt idx="7">
                  <c:v>543</c:v>
                </c:pt>
                <c:pt idx="10">
                  <c:v>4068</c:v>
                </c:pt>
                <c:pt idx="12">
                  <c:v>5334</c:v>
                </c:pt>
                <c:pt idx="13">
                  <c:v>1665</c:v>
                </c:pt>
                <c:pt idx="14">
                  <c:v>69768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12080</c:v>
                </c:pt>
                <c:pt idx="2">
                  <c:v>5460</c:v>
                </c:pt>
                <c:pt idx="3">
                  <c:v>4400</c:v>
                </c:pt>
                <c:pt idx="4">
                  <c:v>4780</c:v>
                </c:pt>
                <c:pt idx="5">
                  <c:v>1330</c:v>
                </c:pt>
                <c:pt idx="6">
                  <c:v>1620</c:v>
                </c:pt>
                <c:pt idx="7">
                  <c:v>550</c:v>
                </c:pt>
                <c:pt idx="8">
                  <c:v>260</c:v>
                </c:pt>
                <c:pt idx="9">
                  <c:v>2810</c:v>
                </c:pt>
                <c:pt idx="10">
                  <c:v>4070</c:v>
                </c:pt>
                <c:pt idx="11">
                  <c:v>1570</c:v>
                </c:pt>
                <c:pt idx="12">
                  <c:v>5340</c:v>
                </c:pt>
                <c:pt idx="13">
                  <c:v>1670</c:v>
                </c:pt>
                <c:pt idx="14">
                  <c:v>69770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85408"/>
        <c:axId val="663877248"/>
      </c:lineChart>
      <c:catAx>
        <c:axId val="6631854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3877248"/>
        <c:crosses val="autoZero"/>
        <c:auto val="1"/>
        <c:lblAlgn val="ctr"/>
        <c:lblOffset val="100"/>
        <c:noMultiLvlLbl val="0"/>
      </c:catAx>
      <c:valAx>
        <c:axId val="6638772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3185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0% 100% 100% 92% 87% 0% 0% 16% 0% 0% 79% 0% 100% 46%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0.99950331125827818</c:v>
                </c:pt>
                <c:pt idx="2">
                  <c:v>0.99981684981684982</c:v>
                </c:pt>
                <c:pt idx="3">
                  <c:v>0.91520833333333329</c:v>
                </c:pt>
                <c:pt idx="4">
                  <c:v>0.87353556485355643</c:v>
                </c:pt>
                <c:pt idx="5">
                  <c:v>0</c:v>
                </c:pt>
                <c:pt idx="6">
                  <c:v>0</c:v>
                </c:pt>
                <c:pt idx="7">
                  <c:v>0.16454545454545455</c:v>
                </c:pt>
                <c:pt idx="8">
                  <c:v>0</c:v>
                </c:pt>
                <c:pt idx="9">
                  <c:v>0</c:v>
                </c:pt>
                <c:pt idx="10">
                  <c:v>0.79127764127764122</c:v>
                </c:pt>
                <c:pt idx="11">
                  <c:v>0</c:v>
                </c:pt>
                <c:pt idx="12">
                  <c:v>0.99887640449438198</c:v>
                </c:pt>
                <c:pt idx="13">
                  <c:v>0.45696107784431139</c:v>
                </c:pt>
                <c:pt idx="14">
                  <c:v>0.99997133438440589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BODY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F/ADAPTER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0.47997973145388084</c:v>
                </c:pt>
                <c:pt idx="1">
                  <c:v>0.47997973145388084</c:v>
                </c:pt>
                <c:pt idx="2">
                  <c:v>0.47997973145388084</c:v>
                </c:pt>
                <c:pt idx="3">
                  <c:v>0.47997973145388084</c:v>
                </c:pt>
                <c:pt idx="4">
                  <c:v>0.47997973145388084</c:v>
                </c:pt>
                <c:pt idx="5">
                  <c:v>0.47997973145388084</c:v>
                </c:pt>
                <c:pt idx="6">
                  <c:v>0.47997973145388084</c:v>
                </c:pt>
                <c:pt idx="7">
                  <c:v>0.47997973145388084</c:v>
                </c:pt>
                <c:pt idx="8">
                  <c:v>0.47997973145388084</c:v>
                </c:pt>
                <c:pt idx="9">
                  <c:v>0.47997973145388084</c:v>
                </c:pt>
                <c:pt idx="10">
                  <c:v>0.47997973145388084</c:v>
                </c:pt>
                <c:pt idx="11">
                  <c:v>0.47997973145388084</c:v>
                </c:pt>
                <c:pt idx="12">
                  <c:v>0.47997973145388084</c:v>
                </c:pt>
                <c:pt idx="13">
                  <c:v>0.47997973145388084</c:v>
                </c:pt>
                <c:pt idx="14">
                  <c:v>0.47997973145388084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86432"/>
        <c:axId val="663878976"/>
      </c:lineChart>
      <c:catAx>
        <c:axId val="66318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3878976"/>
        <c:crosses val="autoZero"/>
        <c:auto val="1"/>
        <c:lblAlgn val="ctr"/>
        <c:lblOffset val="100"/>
        <c:noMultiLvlLbl val="0"/>
      </c:catAx>
      <c:valAx>
        <c:axId val="663878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3186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184384"/>
        <c:axId val="6632342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84384"/>
        <c:axId val="663234240"/>
      </c:lineChart>
      <c:catAx>
        <c:axId val="66318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663234240"/>
        <c:crosses val="autoZero"/>
        <c:auto val="1"/>
        <c:lblAlgn val="ctr"/>
        <c:lblOffset val="100"/>
        <c:noMultiLvlLbl val="0"/>
      </c:catAx>
      <c:valAx>
        <c:axId val="6632342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31843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1">
                  <c:v>10296</c:v>
                </c:pt>
                <c:pt idx="2">
                  <c:v>4477</c:v>
                </c:pt>
                <c:pt idx="3">
                  <c:v>4719</c:v>
                </c:pt>
                <c:pt idx="4">
                  <c:v>5285</c:v>
                </c:pt>
                <c:pt idx="6">
                  <c:v>3043</c:v>
                </c:pt>
                <c:pt idx="7">
                  <c:v>563</c:v>
                </c:pt>
                <c:pt idx="8">
                  <c:v>1701</c:v>
                </c:pt>
                <c:pt idx="11">
                  <c:v>3395</c:v>
                </c:pt>
                <c:pt idx="13">
                  <c:v>5171</c:v>
                </c:pt>
                <c:pt idx="14">
                  <c:v>1855</c:v>
                </c:pt>
                <c:pt idx="15">
                  <c:v>58832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10300</c:v>
                </c:pt>
                <c:pt idx="2">
                  <c:v>4480</c:v>
                </c:pt>
                <c:pt idx="3">
                  <c:v>4720</c:v>
                </c:pt>
                <c:pt idx="4">
                  <c:v>5290</c:v>
                </c:pt>
                <c:pt idx="5">
                  <c:v>1330</c:v>
                </c:pt>
                <c:pt idx="6">
                  <c:v>3050</c:v>
                </c:pt>
                <c:pt idx="7">
                  <c:v>570</c:v>
                </c:pt>
                <c:pt idx="8">
                  <c:v>1710</c:v>
                </c:pt>
                <c:pt idx="9">
                  <c:v>260</c:v>
                </c:pt>
                <c:pt idx="10">
                  <c:v>2810</c:v>
                </c:pt>
                <c:pt idx="11">
                  <c:v>3400</c:v>
                </c:pt>
                <c:pt idx="12">
                  <c:v>1570</c:v>
                </c:pt>
                <c:pt idx="13">
                  <c:v>5180</c:v>
                </c:pt>
                <c:pt idx="14">
                  <c:v>1860</c:v>
                </c:pt>
                <c:pt idx="15">
                  <c:v>58840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969280"/>
        <c:axId val="663237120"/>
      </c:lineChart>
      <c:catAx>
        <c:axId val="6639692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63237120"/>
        <c:crosses val="autoZero"/>
        <c:auto val="1"/>
        <c:lblAlgn val="ctr"/>
        <c:lblOffset val="100"/>
        <c:noMultiLvlLbl val="0"/>
      </c:catAx>
      <c:valAx>
        <c:axId val="663237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3969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"/>
                <c:pt idx="0">
                  <c:v>0% 100% 100% 100% 100% 0% 75% 16% 46% 0% 0% 75% 0% 100% 46%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0.99961165048543688</c:v>
                </c:pt>
                <c:pt idx="2">
                  <c:v>0.99933035714285712</c:v>
                </c:pt>
                <c:pt idx="3">
                  <c:v>0.99978813559322033</c:v>
                </c:pt>
                <c:pt idx="4">
                  <c:v>0.99905482041587901</c:v>
                </c:pt>
                <c:pt idx="5">
                  <c:v>0</c:v>
                </c:pt>
                <c:pt idx="6">
                  <c:v>0.74827868852459023</c:v>
                </c:pt>
                <c:pt idx="7">
                  <c:v>0.16461988304093567</c:v>
                </c:pt>
                <c:pt idx="8">
                  <c:v>0.45592105263157895</c:v>
                </c:pt>
                <c:pt idx="9">
                  <c:v>0</c:v>
                </c:pt>
                <c:pt idx="10">
                  <c:v>0</c:v>
                </c:pt>
                <c:pt idx="11">
                  <c:v>0.74889705882352942</c:v>
                </c:pt>
                <c:pt idx="12">
                  <c:v>0</c:v>
                </c:pt>
                <c:pt idx="13">
                  <c:v>0.99826254826254823</c:v>
                </c:pt>
                <c:pt idx="14">
                  <c:v>0.45710125448028671</c:v>
                </c:pt>
                <c:pt idx="15">
                  <c:v>0.99986403806934054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0.57138196583134682</c:v>
                </c:pt>
                <c:pt idx="1">
                  <c:v>0.57138196583134682</c:v>
                </c:pt>
                <c:pt idx="2">
                  <c:v>0.57138196583134682</c:v>
                </c:pt>
                <c:pt idx="3">
                  <c:v>0.57138196583134682</c:v>
                </c:pt>
                <c:pt idx="4">
                  <c:v>0.57138196583134682</c:v>
                </c:pt>
                <c:pt idx="5">
                  <c:v>0.57138196583134682</c:v>
                </c:pt>
                <c:pt idx="6">
                  <c:v>0.57138196583134682</c:v>
                </c:pt>
                <c:pt idx="7">
                  <c:v>0.57138196583134682</c:v>
                </c:pt>
                <c:pt idx="8">
                  <c:v>0.57138196583134682</c:v>
                </c:pt>
                <c:pt idx="9">
                  <c:v>0.57138196583134682</c:v>
                </c:pt>
                <c:pt idx="10">
                  <c:v>0.57138196583134682</c:v>
                </c:pt>
                <c:pt idx="11">
                  <c:v>0.57138196583134682</c:v>
                </c:pt>
                <c:pt idx="12">
                  <c:v>0.57138196583134682</c:v>
                </c:pt>
                <c:pt idx="13">
                  <c:v>0.57138196583134682</c:v>
                </c:pt>
                <c:pt idx="14">
                  <c:v>0.57138196583134682</c:v>
                </c:pt>
                <c:pt idx="15">
                  <c:v>0.57138196583134682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990784"/>
        <c:axId val="663238848"/>
      </c:lineChart>
      <c:catAx>
        <c:axId val="66399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63238848"/>
        <c:crosses val="autoZero"/>
        <c:auto val="1"/>
        <c:lblAlgn val="ctr"/>
        <c:lblOffset val="100"/>
        <c:noMultiLvlLbl val="0"/>
      </c:catAx>
      <c:valAx>
        <c:axId val="6632388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3990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1">
                  <c:v>10296</c:v>
                </c:pt>
                <c:pt idx="2">
                  <c:v>4477</c:v>
                </c:pt>
                <c:pt idx="3">
                  <c:v>4719</c:v>
                </c:pt>
                <c:pt idx="4">
                  <c:v>5285</c:v>
                </c:pt>
                <c:pt idx="6">
                  <c:v>3043</c:v>
                </c:pt>
                <c:pt idx="7">
                  <c:v>563</c:v>
                </c:pt>
                <c:pt idx="8">
                  <c:v>1701</c:v>
                </c:pt>
                <c:pt idx="11">
                  <c:v>3395</c:v>
                </c:pt>
                <c:pt idx="13">
                  <c:v>5171</c:v>
                </c:pt>
                <c:pt idx="14">
                  <c:v>1855</c:v>
                </c:pt>
                <c:pt idx="15">
                  <c:v>58832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10300</c:v>
                </c:pt>
                <c:pt idx="2">
                  <c:v>4480</c:v>
                </c:pt>
                <c:pt idx="3">
                  <c:v>4720</c:v>
                </c:pt>
                <c:pt idx="4">
                  <c:v>5290</c:v>
                </c:pt>
                <c:pt idx="5">
                  <c:v>1330</c:v>
                </c:pt>
                <c:pt idx="6">
                  <c:v>3050</c:v>
                </c:pt>
                <c:pt idx="7">
                  <c:v>570</c:v>
                </c:pt>
                <c:pt idx="8">
                  <c:v>1710</c:v>
                </c:pt>
                <c:pt idx="9">
                  <c:v>260</c:v>
                </c:pt>
                <c:pt idx="10">
                  <c:v>2810</c:v>
                </c:pt>
                <c:pt idx="11">
                  <c:v>3400</c:v>
                </c:pt>
                <c:pt idx="12">
                  <c:v>1570</c:v>
                </c:pt>
                <c:pt idx="13">
                  <c:v>5180</c:v>
                </c:pt>
                <c:pt idx="14">
                  <c:v>1860</c:v>
                </c:pt>
                <c:pt idx="15">
                  <c:v>58840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991808"/>
        <c:axId val="684245568"/>
      </c:lineChart>
      <c:catAx>
        <c:axId val="6639918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4245568"/>
        <c:crosses val="autoZero"/>
        <c:auto val="1"/>
        <c:lblAlgn val="ctr"/>
        <c:lblOffset val="100"/>
        <c:noMultiLvlLbl val="0"/>
      </c:catAx>
      <c:valAx>
        <c:axId val="6842455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63991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"/>
                <c:pt idx="0">
                  <c:v>0% 100% 100% 100% 100% 0% 75% 16% 46% 0% 0% 75% 0% 100% 46%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0.99961165048543688</c:v>
                </c:pt>
                <c:pt idx="2">
                  <c:v>0.99933035714285712</c:v>
                </c:pt>
                <c:pt idx="3">
                  <c:v>0.99978813559322033</c:v>
                </c:pt>
                <c:pt idx="4">
                  <c:v>0.99905482041587901</c:v>
                </c:pt>
                <c:pt idx="5">
                  <c:v>0</c:v>
                </c:pt>
                <c:pt idx="6">
                  <c:v>0.74827868852459023</c:v>
                </c:pt>
                <c:pt idx="7">
                  <c:v>0.16461988304093567</c:v>
                </c:pt>
                <c:pt idx="8">
                  <c:v>0.45592105263157895</c:v>
                </c:pt>
                <c:pt idx="9">
                  <c:v>0</c:v>
                </c:pt>
                <c:pt idx="10">
                  <c:v>0</c:v>
                </c:pt>
                <c:pt idx="11">
                  <c:v>0.74889705882352942</c:v>
                </c:pt>
                <c:pt idx="12">
                  <c:v>0</c:v>
                </c:pt>
                <c:pt idx="13">
                  <c:v>0.99826254826254823</c:v>
                </c:pt>
                <c:pt idx="14">
                  <c:v>0.45710125448028671</c:v>
                </c:pt>
                <c:pt idx="15">
                  <c:v>0.99986403806934054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IC GUIDE</c:v>
                </c:pt>
                <c:pt idx="6">
                  <c:v>STOPPER</c:v>
                </c:pt>
                <c:pt idx="7">
                  <c:v>Z280FMFD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F/ADAPTER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0.57138196583134682</c:v>
                </c:pt>
                <c:pt idx="1">
                  <c:v>0.57138196583134682</c:v>
                </c:pt>
                <c:pt idx="2">
                  <c:v>0.57138196583134682</c:v>
                </c:pt>
                <c:pt idx="3">
                  <c:v>0.57138196583134682</c:v>
                </c:pt>
                <c:pt idx="4">
                  <c:v>0.57138196583134682</c:v>
                </c:pt>
                <c:pt idx="5">
                  <c:v>0.57138196583134682</c:v>
                </c:pt>
                <c:pt idx="6">
                  <c:v>0.57138196583134682</c:v>
                </c:pt>
                <c:pt idx="7">
                  <c:v>0.57138196583134682</c:v>
                </c:pt>
                <c:pt idx="8">
                  <c:v>0.57138196583134682</c:v>
                </c:pt>
                <c:pt idx="9">
                  <c:v>0.57138196583134682</c:v>
                </c:pt>
                <c:pt idx="10">
                  <c:v>0.57138196583134682</c:v>
                </c:pt>
                <c:pt idx="11">
                  <c:v>0.57138196583134682</c:v>
                </c:pt>
                <c:pt idx="12">
                  <c:v>0.57138196583134682</c:v>
                </c:pt>
                <c:pt idx="13">
                  <c:v>0.57138196583134682</c:v>
                </c:pt>
                <c:pt idx="14">
                  <c:v>0.57138196583134682</c:v>
                </c:pt>
                <c:pt idx="15">
                  <c:v>0.57138196583134682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992320"/>
        <c:axId val="684247296"/>
      </c:lineChart>
      <c:catAx>
        <c:axId val="66399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4247296"/>
        <c:crosses val="autoZero"/>
        <c:auto val="1"/>
        <c:lblAlgn val="ctr"/>
        <c:lblOffset val="100"/>
        <c:noMultiLvlLbl val="0"/>
      </c:catAx>
      <c:valAx>
        <c:axId val="6842472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6399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992832"/>
        <c:axId val="6842496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992832"/>
        <c:axId val="684249600"/>
      </c:lineChart>
      <c:catAx>
        <c:axId val="66399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684249600"/>
        <c:crosses val="autoZero"/>
        <c:auto val="1"/>
        <c:lblAlgn val="ctr"/>
        <c:lblOffset val="100"/>
        <c:noMultiLvlLbl val="0"/>
      </c:catAx>
      <c:valAx>
        <c:axId val="684249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39928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1">
                  <c:v>11550</c:v>
                </c:pt>
                <c:pt idx="2">
                  <c:v>3739</c:v>
                </c:pt>
                <c:pt idx="3">
                  <c:v>678</c:v>
                </c:pt>
                <c:pt idx="4">
                  <c:v>4429</c:v>
                </c:pt>
                <c:pt idx="5">
                  <c:v>671</c:v>
                </c:pt>
                <c:pt idx="6">
                  <c:v>5228</c:v>
                </c:pt>
                <c:pt idx="7">
                  <c:v>599</c:v>
                </c:pt>
                <c:pt idx="10">
                  <c:v>3274</c:v>
                </c:pt>
                <c:pt idx="11">
                  <c:v>3715</c:v>
                </c:pt>
                <c:pt idx="12">
                  <c:v>5873</c:v>
                </c:pt>
                <c:pt idx="13">
                  <c:v>908</c:v>
                </c:pt>
                <c:pt idx="14">
                  <c:v>68332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11550</c:v>
                </c:pt>
                <c:pt idx="2">
                  <c:v>3740</c:v>
                </c:pt>
                <c:pt idx="3">
                  <c:v>680</c:v>
                </c:pt>
                <c:pt idx="4">
                  <c:v>4430</c:v>
                </c:pt>
                <c:pt idx="5">
                  <c:v>671</c:v>
                </c:pt>
                <c:pt idx="6">
                  <c:v>5230</c:v>
                </c:pt>
                <c:pt idx="7">
                  <c:v>600</c:v>
                </c:pt>
                <c:pt idx="8">
                  <c:v>260</c:v>
                </c:pt>
                <c:pt idx="9">
                  <c:v>2810</c:v>
                </c:pt>
                <c:pt idx="10">
                  <c:v>3300</c:v>
                </c:pt>
                <c:pt idx="11">
                  <c:v>3720</c:v>
                </c:pt>
                <c:pt idx="12">
                  <c:v>5880</c:v>
                </c:pt>
                <c:pt idx="13">
                  <c:v>910</c:v>
                </c:pt>
                <c:pt idx="14">
                  <c:v>68340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389888"/>
        <c:axId val="684251904"/>
      </c:lineChart>
      <c:catAx>
        <c:axId val="6843898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4251904"/>
        <c:crosses val="autoZero"/>
        <c:auto val="1"/>
        <c:lblAlgn val="ctr"/>
        <c:lblOffset val="100"/>
        <c:noMultiLvlLbl val="0"/>
      </c:catAx>
      <c:valAx>
        <c:axId val="684251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4389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100% 83% 17% 79% 17% 100% 17% 0% 0% 66% 62% 100% 21%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0.83311051693404636</c:v>
                </c:pt>
                <c:pt idx="3">
                  <c:v>0.16617647058823529</c:v>
                </c:pt>
                <c:pt idx="4">
                  <c:v>0.79148796087283668</c:v>
                </c:pt>
                <c:pt idx="5">
                  <c:v>0.16666666666666666</c:v>
                </c:pt>
                <c:pt idx="6">
                  <c:v>0.99961759082217971</c:v>
                </c:pt>
                <c:pt idx="7">
                  <c:v>0.16638888888888886</c:v>
                </c:pt>
                <c:pt idx="8">
                  <c:v>0</c:v>
                </c:pt>
                <c:pt idx="9">
                  <c:v>0</c:v>
                </c:pt>
                <c:pt idx="10">
                  <c:v>0.66141414141414134</c:v>
                </c:pt>
                <c:pt idx="11">
                  <c:v>0.62415994623655913</c:v>
                </c:pt>
                <c:pt idx="12">
                  <c:v>0.99880952380952381</c:v>
                </c:pt>
                <c:pt idx="13">
                  <c:v>0.20787545787545789</c:v>
                </c:pt>
                <c:pt idx="14">
                  <c:v>0.9998829382499268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0.50770600682389744</c:v>
                </c:pt>
                <c:pt idx="1">
                  <c:v>0.50770600682389744</c:v>
                </c:pt>
                <c:pt idx="2">
                  <c:v>0.50770600682389744</c:v>
                </c:pt>
                <c:pt idx="3">
                  <c:v>0.50770600682389744</c:v>
                </c:pt>
                <c:pt idx="4">
                  <c:v>0.50770600682389744</c:v>
                </c:pt>
                <c:pt idx="5">
                  <c:v>0.50770600682389744</c:v>
                </c:pt>
                <c:pt idx="6">
                  <c:v>0.50770600682389744</c:v>
                </c:pt>
                <c:pt idx="7">
                  <c:v>0.50770600682389744</c:v>
                </c:pt>
                <c:pt idx="8">
                  <c:v>0.50770600682389744</c:v>
                </c:pt>
                <c:pt idx="9">
                  <c:v>0.50770600682389744</c:v>
                </c:pt>
                <c:pt idx="10">
                  <c:v>0.50770600682389744</c:v>
                </c:pt>
                <c:pt idx="11">
                  <c:v>0.50770600682389744</c:v>
                </c:pt>
                <c:pt idx="12">
                  <c:v>0.50770600682389744</c:v>
                </c:pt>
                <c:pt idx="13">
                  <c:v>0.50770600682389744</c:v>
                </c:pt>
                <c:pt idx="14">
                  <c:v>0.50770600682389744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391936"/>
        <c:axId val="684581440"/>
      </c:lineChart>
      <c:catAx>
        <c:axId val="68439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4581440"/>
        <c:crosses val="autoZero"/>
        <c:auto val="1"/>
        <c:lblAlgn val="ctr"/>
        <c:lblOffset val="100"/>
        <c:noMultiLvlLbl val="0"/>
      </c:catAx>
      <c:valAx>
        <c:axId val="684581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439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1">
                  <c:v>11550</c:v>
                </c:pt>
                <c:pt idx="2">
                  <c:v>3739</c:v>
                </c:pt>
                <c:pt idx="3">
                  <c:v>678</c:v>
                </c:pt>
                <c:pt idx="4">
                  <c:v>4429</c:v>
                </c:pt>
                <c:pt idx="5">
                  <c:v>671</c:v>
                </c:pt>
                <c:pt idx="6">
                  <c:v>5228</c:v>
                </c:pt>
                <c:pt idx="7">
                  <c:v>599</c:v>
                </c:pt>
                <c:pt idx="10">
                  <c:v>3274</c:v>
                </c:pt>
                <c:pt idx="11">
                  <c:v>3715</c:v>
                </c:pt>
                <c:pt idx="12">
                  <c:v>5873</c:v>
                </c:pt>
                <c:pt idx="13">
                  <c:v>908</c:v>
                </c:pt>
                <c:pt idx="14">
                  <c:v>68332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11550</c:v>
                </c:pt>
                <c:pt idx="2">
                  <c:v>3740</c:v>
                </c:pt>
                <c:pt idx="3">
                  <c:v>680</c:v>
                </c:pt>
                <c:pt idx="4">
                  <c:v>4430</c:v>
                </c:pt>
                <c:pt idx="5">
                  <c:v>671</c:v>
                </c:pt>
                <c:pt idx="6">
                  <c:v>5230</c:v>
                </c:pt>
                <c:pt idx="7">
                  <c:v>600</c:v>
                </c:pt>
                <c:pt idx="8">
                  <c:v>260</c:v>
                </c:pt>
                <c:pt idx="9">
                  <c:v>2810</c:v>
                </c:pt>
                <c:pt idx="10">
                  <c:v>3300</c:v>
                </c:pt>
                <c:pt idx="11">
                  <c:v>3720</c:v>
                </c:pt>
                <c:pt idx="12">
                  <c:v>5880</c:v>
                </c:pt>
                <c:pt idx="13">
                  <c:v>910</c:v>
                </c:pt>
                <c:pt idx="14">
                  <c:v>68340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515328"/>
        <c:axId val="684583744"/>
      </c:lineChart>
      <c:catAx>
        <c:axId val="6845153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4583744"/>
        <c:crosses val="autoZero"/>
        <c:auto val="1"/>
        <c:lblAlgn val="ctr"/>
        <c:lblOffset val="100"/>
        <c:noMultiLvlLbl val="0"/>
      </c:catAx>
      <c:valAx>
        <c:axId val="6845837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4515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100% 83% 17% 79% 17% 100% 17% 0% 0% 66% 62% 100% 21%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0.83311051693404636</c:v>
                </c:pt>
                <c:pt idx="3">
                  <c:v>0.16617647058823529</c:v>
                </c:pt>
                <c:pt idx="4">
                  <c:v>0.79148796087283668</c:v>
                </c:pt>
                <c:pt idx="5">
                  <c:v>0.16666666666666666</c:v>
                </c:pt>
                <c:pt idx="6">
                  <c:v>0.99961759082217971</c:v>
                </c:pt>
                <c:pt idx="7">
                  <c:v>0.16638888888888886</c:v>
                </c:pt>
                <c:pt idx="8">
                  <c:v>0</c:v>
                </c:pt>
                <c:pt idx="9">
                  <c:v>0</c:v>
                </c:pt>
                <c:pt idx="10">
                  <c:v>0.66141414141414134</c:v>
                </c:pt>
                <c:pt idx="11">
                  <c:v>0.62415994623655913</c:v>
                </c:pt>
                <c:pt idx="12">
                  <c:v>0.99880952380952381</c:v>
                </c:pt>
                <c:pt idx="13">
                  <c:v>0.20787545787545789</c:v>
                </c:pt>
                <c:pt idx="14">
                  <c:v>0.9998829382499268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BASE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0.50770600682389744</c:v>
                </c:pt>
                <c:pt idx="1">
                  <c:v>0.50770600682389744</c:v>
                </c:pt>
                <c:pt idx="2">
                  <c:v>0.50770600682389744</c:v>
                </c:pt>
                <c:pt idx="3">
                  <c:v>0.50770600682389744</c:v>
                </c:pt>
                <c:pt idx="4">
                  <c:v>0.50770600682389744</c:v>
                </c:pt>
                <c:pt idx="5">
                  <c:v>0.50770600682389744</c:v>
                </c:pt>
                <c:pt idx="6">
                  <c:v>0.50770600682389744</c:v>
                </c:pt>
                <c:pt idx="7">
                  <c:v>0.50770600682389744</c:v>
                </c:pt>
                <c:pt idx="8">
                  <c:v>0.50770600682389744</c:v>
                </c:pt>
                <c:pt idx="9">
                  <c:v>0.50770600682389744</c:v>
                </c:pt>
                <c:pt idx="10">
                  <c:v>0.50770600682389744</c:v>
                </c:pt>
                <c:pt idx="11">
                  <c:v>0.50770600682389744</c:v>
                </c:pt>
                <c:pt idx="12">
                  <c:v>0.50770600682389744</c:v>
                </c:pt>
                <c:pt idx="13">
                  <c:v>0.50770600682389744</c:v>
                </c:pt>
                <c:pt idx="14">
                  <c:v>0.50770600682389744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516864"/>
        <c:axId val="684585472"/>
      </c:lineChart>
      <c:catAx>
        <c:axId val="68451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4585472"/>
        <c:crosses val="autoZero"/>
        <c:auto val="1"/>
        <c:lblAlgn val="ctr"/>
        <c:lblOffset val="100"/>
        <c:noMultiLvlLbl val="0"/>
      </c:catAx>
      <c:valAx>
        <c:axId val="684585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451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518400"/>
        <c:axId val="6845877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518400"/>
        <c:axId val="684587776"/>
      </c:lineChart>
      <c:catAx>
        <c:axId val="68451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684587776"/>
        <c:crosses val="autoZero"/>
        <c:auto val="1"/>
        <c:lblAlgn val="ctr"/>
        <c:lblOffset val="100"/>
        <c:noMultiLvlLbl val="0"/>
      </c:catAx>
      <c:valAx>
        <c:axId val="6845877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45184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10496</c:v>
                </c:pt>
                <c:pt idx="2">
                  <c:v>4513</c:v>
                </c:pt>
                <c:pt idx="3">
                  <c:v>593</c:v>
                </c:pt>
                <c:pt idx="4">
                  <c:v>628</c:v>
                </c:pt>
                <c:pt idx="5">
                  <c:v>3228</c:v>
                </c:pt>
                <c:pt idx="7">
                  <c:v>5145</c:v>
                </c:pt>
                <c:pt idx="11">
                  <c:v>3877</c:v>
                </c:pt>
                <c:pt idx="12">
                  <c:v>6518</c:v>
                </c:pt>
                <c:pt idx="13">
                  <c:v>1605</c:v>
                </c:pt>
                <c:pt idx="14">
                  <c:v>4098</c:v>
                </c:pt>
                <c:pt idx="15">
                  <c:v>63388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10500</c:v>
                </c:pt>
                <c:pt idx="2">
                  <c:v>4515</c:v>
                </c:pt>
                <c:pt idx="3">
                  <c:v>594</c:v>
                </c:pt>
                <c:pt idx="4">
                  <c:v>630</c:v>
                </c:pt>
                <c:pt idx="5">
                  <c:v>3300</c:v>
                </c:pt>
                <c:pt idx="6">
                  <c:v>671</c:v>
                </c:pt>
                <c:pt idx="7">
                  <c:v>5230</c:v>
                </c:pt>
                <c:pt idx="8">
                  <c:v>600</c:v>
                </c:pt>
                <c:pt idx="9">
                  <c:v>260</c:v>
                </c:pt>
                <c:pt idx="10">
                  <c:v>2810</c:v>
                </c:pt>
                <c:pt idx="11">
                  <c:v>3880</c:v>
                </c:pt>
                <c:pt idx="12">
                  <c:v>6520</c:v>
                </c:pt>
                <c:pt idx="13">
                  <c:v>1610</c:v>
                </c:pt>
                <c:pt idx="14">
                  <c:v>4100</c:v>
                </c:pt>
                <c:pt idx="15">
                  <c:v>63400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8512"/>
        <c:axId val="685369024"/>
      </c:lineChart>
      <c:catAx>
        <c:axId val="6852485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5369024"/>
        <c:crosses val="autoZero"/>
        <c:auto val="1"/>
        <c:lblAlgn val="ctr"/>
        <c:lblOffset val="100"/>
        <c:noMultiLvlLbl val="0"/>
      </c:catAx>
      <c:valAx>
        <c:axId val="6853690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5248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0% 100% 100% 17% 17% 57% 0% 98% 0% 0% 0% 83% 100% 25%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0.99961904761904763</c:v>
                </c:pt>
                <c:pt idx="2">
                  <c:v>0.99955703211517166</c:v>
                </c:pt>
                <c:pt idx="3">
                  <c:v>0.16638608305274971</c:v>
                </c:pt>
                <c:pt idx="4">
                  <c:v>0.16613756613756614</c:v>
                </c:pt>
                <c:pt idx="5">
                  <c:v>0.57060606060606067</c:v>
                </c:pt>
                <c:pt idx="6">
                  <c:v>0</c:v>
                </c:pt>
                <c:pt idx="7">
                  <c:v>0.98374760994263866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0.83268900343642616</c:v>
                </c:pt>
                <c:pt idx="12">
                  <c:v>0.99969325153374233</c:v>
                </c:pt>
                <c:pt idx="13">
                  <c:v>0.24922360248447206</c:v>
                </c:pt>
                <c:pt idx="14">
                  <c:v>0.83292682926829276</c:v>
                </c:pt>
                <c:pt idx="15">
                  <c:v>0.99981072555205053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0.52002645411654791</c:v>
                </c:pt>
                <c:pt idx="1">
                  <c:v>0.52002645411654791</c:v>
                </c:pt>
                <c:pt idx="2">
                  <c:v>0.52002645411654791</c:v>
                </c:pt>
                <c:pt idx="3">
                  <c:v>0.52002645411654791</c:v>
                </c:pt>
                <c:pt idx="4">
                  <c:v>0.52002645411654791</c:v>
                </c:pt>
                <c:pt idx="5">
                  <c:v>0.52002645411654791</c:v>
                </c:pt>
                <c:pt idx="6">
                  <c:v>0.52002645411654791</c:v>
                </c:pt>
                <c:pt idx="7">
                  <c:v>0.52002645411654791</c:v>
                </c:pt>
                <c:pt idx="8">
                  <c:v>0.52002645411654791</c:v>
                </c:pt>
                <c:pt idx="9">
                  <c:v>0.52002645411654791</c:v>
                </c:pt>
                <c:pt idx="10">
                  <c:v>0.52002645411654791</c:v>
                </c:pt>
                <c:pt idx="11">
                  <c:v>0.52002645411654791</c:v>
                </c:pt>
                <c:pt idx="12">
                  <c:v>0.52002645411654791</c:v>
                </c:pt>
                <c:pt idx="13">
                  <c:v>0.52002645411654791</c:v>
                </c:pt>
                <c:pt idx="14">
                  <c:v>0.52002645411654791</c:v>
                </c:pt>
                <c:pt idx="15">
                  <c:v>0.52002645411654791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50048"/>
        <c:axId val="685370752"/>
      </c:lineChart>
      <c:catAx>
        <c:axId val="68525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5370752"/>
        <c:crosses val="autoZero"/>
        <c:auto val="1"/>
        <c:lblAlgn val="ctr"/>
        <c:lblOffset val="100"/>
        <c:noMultiLvlLbl val="0"/>
      </c:catAx>
      <c:valAx>
        <c:axId val="6853707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525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10496</c:v>
                </c:pt>
                <c:pt idx="2">
                  <c:v>4513</c:v>
                </c:pt>
                <c:pt idx="3">
                  <c:v>593</c:v>
                </c:pt>
                <c:pt idx="4">
                  <c:v>628</c:v>
                </c:pt>
                <c:pt idx="5">
                  <c:v>3228</c:v>
                </c:pt>
                <c:pt idx="7">
                  <c:v>5145</c:v>
                </c:pt>
                <c:pt idx="11">
                  <c:v>3877</c:v>
                </c:pt>
                <c:pt idx="12">
                  <c:v>6518</c:v>
                </c:pt>
                <c:pt idx="13">
                  <c:v>1605</c:v>
                </c:pt>
                <c:pt idx="14">
                  <c:v>4098</c:v>
                </c:pt>
                <c:pt idx="15">
                  <c:v>63388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10500</c:v>
                </c:pt>
                <c:pt idx="2">
                  <c:v>4515</c:v>
                </c:pt>
                <c:pt idx="3">
                  <c:v>594</c:v>
                </c:pt>
                <c:pt idx="4">
                  <c:v>630</c:v>
                </c:pt>
                <c:pt idx="5">
                  <c:v>3300</c:v>
                </c:pt>
                <c:pt idx="6">
                  <c:v>671</c:v>
                </c:pt>
                <c:pt idx="7">
                  <c:v>5230</c:v>
                </c:pt>
                <c:pt idx="8">
                  <c:v>600</c:v>
                </c:pt>
                <c:pt idx="9">
                  <c:v>260</c:v>
                </c:pt>
                <c:pt idx="10">
                  <c:v>2810</c:v>
                </c:pt>
                <c:pt idx="11">
                  <c:v>3880</c:v>
                </c:pt>
                <c:pt idx="12">
                  <c:v>6520</c:v>
                </c:pt>
                <c:pt idx="13">
                  <c:v>1610</c:v>
                </c:pt>
                <c:pt idx="14">
                  <c:v>4100</c:v>
                </c:pt>
                <c:pt idx="15">
                  <c:v>63400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50560"/>
        <c:axId val="685373056"/>
      </c:lineChart>
      <c:catAx>
        <c:axId val="6852505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5373056"/>
        <c:crosses val="autoZero"/>
        <c:auto val="1"/>
        <c:lblAlgn val="ctr"/>
        <c:lblOffset val="100"/>
        <c:noMultiLvlLbl val="0"/>
      </c:catAx>
      <c:valAx>
        <c:axId val="6853730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5250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0% 100% 100% 17% 17% 57% 0% 98% 0% 0% 0% 83% 100% 25%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0.99961904761904763</c:v>
                </c:pt>
                <c:pt idx="2">
                  <c:v>0.99955703211517166</c:v>
                </c:pt>
                <c:pt idx="3">
                  <c:v>0.16638608305274971</c:v>
                </c:pt>
                <c:pt idx="4">
                  <c:v>0.16613756613756614</c:v>
                </c:pt>
                <c:pt idx="5">
                  <c:v>0.57060606060606067</c:v>
                </c:pt>
                <c:pt idx="6">
                  <c:v>0</c:v>
                </c:pt>
                <c:pt idx="7">
                  <c:v>0.98374760994263866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0.83268900343642616</c:v>
                </c:pt>
                <c:pt idx="12">
                  <c:v>0.99969325153374233</c:v>
                </c:pt>
                <c:pt idx="13">
                  <c:v>0.24922360248447206</c:v>
                </c:pt>
                <c:pt idx="14">
                  <c:v>0.83292682926829276</c:v>
                </c:pt>
                <c:pt idx="15">
                  <c:v>0.99981072555205053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LOWER PLATE</c:v>
                </c:pt>
                <c:pt idx="1">
                  <c:v>LATCH</c:v>
                </c:pt>
                <c:pt idx="2">
                  <c:v>STOPPER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ADAPTER</c:v>
                </c:pt>
                <c:pt idx="7">
                  <c:v>STOPPER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0.52002645411654791</c:v>
                </c:pt>
                <c:pt idx="1">
                  <c:v>0.52002645411654791</c:v>
                </c:pt>
                <c:pt idx="2">
                  <c:v>0.52002645411654791</c:v>
                </c:pt>
                <c:pt idx="3">
                  <c:v>0.52002645411654791</c:v>
                </c:pt>
                <c:pt idx="4">
                  <c:v>0.52002645411654791</c:v>
                </c:pt>
                <c:pt idx="5">
                  <c:v>0.52002645411654791</c:v>
                </c:pt>
                <c:pt idx="6">
                  <c:v>0.52002645411654791</c:v>
                </c:pt>
                <c:pt idx="7">
                  <c:v>0.52002645411654791</c:v>
                </c:pt>
                <c:pt idx="8">
                  <c:v>0.52002645411654791</c:v>
                </c:pt>
                <c:pt idx="9">
                  <c:v>0.52002645411654791</c:v>
                </c:pt>
                <c:pt idx="10">
                  <c:v>0.52002645411654791</c:v>
                </c:pt>
                <c:pt idx="11">
                  <c:v>0.52002645411654791</c:v>
                </c:pt>
                <c:pt idx="12">
                  <c:v>0.52002645411654791</c:v>
                </c:pt>
                <c:pt idx="13">
                  <c:v>0.52002645411654791</c:v>
                </c:pt>
                <c:pt idx="14">
                  <c:v>0.52002645411654791</c:v>
                </c:pt>
                <c:pt idx="15">
                  <c:v>0.52002645411654791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51584"/>
        <c:axId val="685374784"/>
      </c:lineChart>
      <c:catAx>
        <c:axId val="6852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5374784"/>
        <c:crosses val="autoZero"/>
        <c:auto val="1"/>
        <c:lblAlgn val="ctr"/>
        <c:lblOffset val="100"/>
        <c:noMultiLvlLbl val="0"/>
      </c:catAx>
      <c:valAx>
        <c:axId val="6853747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525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516352"/>
        <c:axId val="6847218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516352"/>
        <c:axId val="684721856"/>
      </c:lineChart>
      <c:catAx>
        <c:axId val="68451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684721856"/>
        <c:crosses val="autoZero"/>
        <c:auto val="1"/>
        <c:lblAlgn val="ctr"/>
        <c:lblOffset val="100"/>
        <c:noMultiLvlLbl val="0"/>
      </c:catAx>
      <c:valAx>
        <c:axId val="684721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45163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1">
                  <c:v>2100</c:v>
                </c:pt>
                <c:pt idx="2">
                  <c:v>3831</c:v>
                </c:pt>
                <c:pt idx="3">
                  <c:v>610</c:v>
                </c:pt>
                <c:pt idx="4">
                  <c:v>2342</c:v>
                </c:pt>
                <c:pt idx="6">
                  <c:v>806</c:v>
                </c:pt>
                <c:pt idx="7">
                  <c:v>836</c:v>
                </c:pt>
                <c:pt idx="8">
                  <c:v>106</c:v>
                </c:pt>
                <c:pt idx="9">
                  <c:v>2727</c:v>
                </c:pt>
                <c:pt idx="10">
                  <c:v>5063</c:v>
                </c:pt>
                <c:pt idx="12">
                  <c:v>4191</c:v>
                </c:pt>
                <c:pt idx="13">
                  <c:v>5108</c:v>
                </c:pt>
                <c:pt idx="14">
                  <c:v>40792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2100</c:v>
                </c:pt>
                <c:pt idx="2">
                  <c:v>3840</c:v>
                </c:pt>
                <c:pt idx="3">
                  <c:v>610</c:v>
                </c:pt>
                <c:pt idx="4">
                  <c:v>2350</c:v>
                </c:pt>
                <c:pt idx="5">
                  <c:v>671</c:v>
                </c:pt>
                <c:pt idx="6">
                  <c:v>810</c:v>
                </c:pt>
                <c:pt idx="7">
                  <c:v>840</c:v>
                </c:pt>
                <c:pt idx="8">
                  <c:v>110</c:v>
                </c:pt>
                <c:pt idx="9">
                  <c:v>2730</c:v>
                </c:pt>
                <c:pt idx="10">
                  <c:v>5070</c:v>
                </c:pt>
                <c:pt idx="11">
                  <c:v>6520</c:v>
                </c:pt>
                <c:pt idx="12">
                  <c:v>4200</c:v>
                </c:pt>
                <c:pt idx="13">
                  <c:v>5110</c:v>
                </c:pt>
                <c:pt idx="14">
                  <c:v>40800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428224"/>
        <c:axId val="684724736"/>
      </c:lineChart>
      <c:catAx>
        <c:axId val="6854282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4724736"/>
        <c:crosses val="autoZero"/>
        <c:auto val="1"/>
        <c:lblAlgn val="ctr"/>
        <c:lblOffset val="100"/>
        <c:noMultiLvlLbl val="0"/>
      </c:catAx>
      <c:valAx>
        <c:axId val="684724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5428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25% 100% 17% 75% 0% 29% 33% 16% 58% 100% 0% 87% 100%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0.25</c:v>
                </c:pt>
                <c:pt idx="2">
                  <c:v>0.99765625000000002</c:v>
                </c:pt>
                <c:pt idx="3">
                  <c:v>0.16666666666666666</c:v>
                </c:pt>
                <c:pt idx="4">
                  <c:v>0.74744680851063827</c:v>
                </c:pt>
                <c:pt idx="5">
                  <c:v>0</c:v>
                </c:pt>
                <c:pt idx="6">
                  <c:v>0.29022633744855969</c:v>
                </c:pt>
                <c:pt idx="7">
                  <c:v>0.33174603174603173</c:v>
                </c:pt>
                <c:pt idx="8">
                  <c:v>0.16060606060606059</c:v>
                </c:pt>
                <c:pt idx="9">
                  <c:v>0.58269230769230773</c:v>
                </c:pt>
                <c:pt idx="10">
                  <c:v>0.99861932938856013</c:v>
                </c:pt>
                <c:pt idx="11">
                  <c:v>0</c:v>
                </c:pt>
                <c:pt idx="12">
                  <c:v>0.87312500000000004</c:v>
                </c:pt>
                <c:pt idx="13">
                  <c:v>0.99960861056751471</c:v>
                </c:pt>
                <c:pt idx="14">
                  <c:v>0.87482843137254895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0.48488145559992596</c:v>
                </c:pt>
                <c:pt idx="1">
                  <c:v>0.48488145559992596</c:v>
                </c:pt>
                <c:pt idx="2">
                  <c:v>0.48488145559992596</c:v>
                </c:pt>
                <c:pt idx="3">
                  <c:v>0.48488145559992596</c:v>
                </c:pt>
                <c:pt idx="4">
                  <c:v>0.48488145559992596</c:v>
                </c:pt>
                <c:pt idx="5">
                  <c:v>0.48488145559992596</c:v>
                </c:pt>
                <c:pt idx="6">
                  <c:v>0.48488145559992596</c:v>
                </c:pt>
                <c:pt idx="7">
                  <c:v>0.48488145559992596</c:v>
                </c:pt>
                <c:pt idx="8">
                  <c:v>0.48488145559992596</c:v>
                </c:pt>
                <c:pt idx="9">
                  <c:v>0.48488145559992596</c:v>
                </c:pt>
                <c:pt idx="10">
                  <c:v>0.48488145559992596</c:v>
                </c:pt>
                <c:pt idx="11">
                  <c:v>0.48488145559992596</c:v>
                </c:pt>
                <c:pt idx="12">
                  <c:v>0.48488145559992596</c:v>
                </c:pt>
                <c:pt idx="13">
                  <c:v>0.48488145559992596</c:v>
                </c:pt>
                <c:pt idx="14">
                  <c:v>0.48488145559992596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446656"/>
        <c:axId val="684726464"/>
      </c:lineChart>
      <c:catAx>
        <c:axId val="68544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4726464"/>
        <c:crosses val="autoZero"/>
        <c:auto val="1"/>
        <c:lblAlgn val="ctr"/>
        <c:lblOffset val="100"/>
        <c:noMultiLvlLbl val="0"/>
      </c:catAx>
      <c:valAx>
        <c:axId val="6847264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544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1">
                  <c:v>2100</c:v>
                </c:pt>
                <c:pt idx="2">
                  <c:v>3831</c:v>
                </c:pt>
                <c:pt idx="3">
                  <c:v>610</c:v>
                </c:pt>
                <c:pt idx="4">
                  <c:v>2342</c:v>
                </c:pt>
                <c:pt idx="6">
                  <c:v>806</c:v>
                </c:pt>
                <c:pt idx="7">
                  <c:v>836</c:v>
                </c:pt>
                <c:pt idx="8">
                  <c:v>106</c:v>
                </c:pt>
                <c:pt idx="9">
                  <c:v>2727</c:v>
                </c:pt>
                <c:pt idx="10">
                  <c:v>5063</c:v>
                </c:pt>
                <c:pt idx="12">
                  <c:v>4191</c:v>
                </c:pt>
                <c:pt idx="13">
                  <c:v>5108</c:v>
                </c:pt>
                <c:pt idx="14">
                  <c:v>40792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2100</c:v>
                </c:pt>
                <c:pt idx="2">
                  <c:v>3840</c:v>
                </c:pt>
                <c:pt idx="3">
                  <c:v>610</c:v>
                </c:pt>
                <c:pt idx="4">
                  <c:v>2350</c:v>
                </c:pt>
                <c:pt idx="5">
                  <c:v>671</c:v>
                </c:pt>
                <c:pt idx="6">
                  <c:v>810</c:v>
                </c:pt>
                <c:pt idx="7">
                  <c:v>840</c:v>
                </c:pt>
                <c:pt idx="8">
                  <c:v>110</c:v>
                </c:pt>
                <c:pt idx="9">
                  <c:v>2730</c:v>
                </c:pt>
                <c:pt idx="10">
                  <c:v>5070</c:v>
                </c:pt>
                <c:pt idx="11">
                  <c:v>6520</c:v>
                </c:pt>
                <c:pt idx="12">
                  <c:v>4200</c:v>
                </c:pt>
                <c:pt idx="13">
                  <c:v>5110</c:v>
                </c:pt>
                <c:pt idx="14">
                  <c:v>40800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447168"/>
        <c:axId val="685343296"/>
      </c:lineChart>
      <c:catAx>
        <c:axId val="6854471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5343296"/>
        <c:crosses val="autoZero"/>
        <c:auto val="1"/>
        <c:lblAlgn val="ctr"/>
        <c:lblOffset val="100"/>
        <c:noMultiLvlLbl val="0"/>
      </c:catAx>
      <c:valAx>
        <c:axId val="6853432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5447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0% 25% 100% 17% 75% 0% 29% 33% 16% 58% 100% 0% 87% 100%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0.25</c:v>
                </c:pt>
                <c:pt idx="2">
                  <c:v>0.99765625000000002</c:v>
                </c:pt>
                <c:pt idx="3">
                  <c:v>0.16666666666666666</c:v>
                </c:pt>
                <c:pt idx="4">
                  <c:v>0.74744680851063827</c:v>
                </c:pt>
                <c:pt idx="5">
                  <c:v>0</c:v>
                </c:pt>
                <c:pt idx="6">
                  <c:v>0.29022633744855969</c:v>
                </c:pt>
                <c:pt idx="7">
                  <c:v>0.33174603174603173</c:v>
                </c:pt>
                <c:pt idx="8">
                  <c:v>0.16060606060606059</c:v>
                </c:pt>
                <c:pt idx="9">
                  <c:v>0.58269230769230773</c:v>
                </c:pt>
                <c:pt idx="10">
                  <c:v>0.99861932938856013</c:v>
                </c:pt>
                <c:pt idx="11">
                  <c:v>0</c:v>
                </c:pt>
                <c:pt idx="12">
                  <c:v>0.87312500000000004</c:v>
                </c:pt>
                <c:pt idx="13">
                  <c:v>0.99960861056751471</c:v>
                </c:pt>
                <c:pt idx="14">
                  <c:v>0.87482843137254895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4"/>
                <c:pt idx="0">
                  <c:v>LOWER PLATE</c:v>
                </c:pt>
                <c:pt idx="1">
                  <c:v>SLIDER</c:v>
                </c:pt>
                <c:pt idx="2">
                  <c:v>STOPPER</c:v>
                </c:pt>
                <c:pt idx="3">
                  <c:v>Z280MM</c:v>
                </c:pt>
                <c:pt idx="4">
                  <c:v>SLIDER</c:v>
                </c:pt>
                <c:pt idx="5">
                  <c:v>ADAPTER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0.48488145559992596</c:v>
                </c:pt>
                <c:pt idx="1">
                  <c:v>0.48488145559992596</c:v>
                </c:pt>
                <c:pt idx="2">
                  <c:v>0.48488145559992596</c:v>
                </c:pt>
                <c:pt idx="3">
                  <c:v>0.48488145559992596</c:v>
                </c:pt>
                <c:pt idx="4">
                  <c:v>0.48488145559992596</c:v>
                </c:pt>
                <c:pt idx="5">
                  <c:v>0.48488145559992596</c:v>
                </c:pt>
                <c:pt idx="6">
                  <c:v>0.48488145559992596</c:v>
                </c:pt>
                <c:pt idx="7">
                  <c:v>0.48488145559992596</c:v>
                </c:pt>
                <c:pt idx="8">
                  <c:v>0.48488145559992596</c:v>
                </c:pt>
                <c:pt idx="9">
                  <c:v>0.48488145559992596</c:v>
                </c:pt>
                <c:pt idx="10">
                  <c:v>0.48488145559992596</c:v>
                </c:pt>
                <c:pt idx="11">
                  <c:v>0.48488145559992596</c:v>
                </c:pt>
                <c:pt idx="12">
                  <c:v>0.48488145559992596</c:v>
                </c:pt>
                <c:pt idx="13">
                  <c:v>0.48488145559992596</c:v>
                </c:pt>
                <c:pt idx="14">
                  <c:v>0.48488145559992596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448192"/>
        <c:axId val="685345024"/>
      </c:lineChart>
      <c:catAx>
        <c:axId val="68544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5345024"/>
        <c:crosses val="autoZero"/>
        <c:auto val="1"/>
        <c:lblAlgn val="ctr"/>
        <c:lblOffset val="100"/>
        <c:noMultiLvlLbl val="0"/>
      </c:catAx>
      <c:valAx>
        <c:axId val="6853450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5448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446144"/>
        <c:axId val="6853473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446144"/>
        <c:axId val="685347328"/>
      </c:lineChart>
      <c:catAx>
        <c:axId val="68544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85347328"/>
        <c:crosses val="autoZero"/>
        <c:auto val="1"/>
        <c:lblAlgn val="ctr"/>
        <c:lblOffset val="100"/>
        <c:noMultiLvlLbl val="0"/>
      </c:catAx>
      <c:valAx>
        <c:axId val="6853473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54461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1">
                  <c:v>9916</c:v>
                </c:pt>
                <c:pt idx="2">
                  <c:v>4785</c:v>
                </c:pt>
                <c:pt idx="3">
                  <c:v>1320</c:v>
                </c:pt>
                <c:pt idx="4">
                  <c:v>1974</c:v>
                </c:pt>
                <c:pt idx="7">
                  <c:v>4510</c:v>
                </c:pt>
                <c:pt idx="8">
                  <c:v>2841</c:v>
                </c:pt>
                <c:pt idx="9">
                  <c:v>556</c:v>
                </c:pt>
                <c:pt idx="11">
                  <c:v>5033</c:v>
                </c:pt>
                <c:pt idx="13">
                  <c:v>5543</c:v>
                </c:pt>
                <c:pt idx="14">
                  <c:v>5201</c:v>
                </c:pt>
                <c:pt idx="15">
                  <c:v>68628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9920</c:v>
                </c:pt>
                <c:pt idx="2">
                  <c:v>4790</c:v>
                </c:pt>
                <c:pt idx="3">
                  <c:v>1320</c:v>
                </c:pt>
                <c:pt idx="4">
                  <c:v>1980</c:v>
                </c:pt>
                <c:pt idx="5">
                  <c:v>2350</c:v>
                </c:pt>
                <c:pt idx="6">
                  <c:v>671</c:v>
                </c:pt>
                <c:pt idx="7">
                  <c:v>4510</c:v>
                </c:pt>
                <c:pt idx="8">
                  <c:v>2850</c:v>
                </c:pt>
                <c:pt idx="9">
                  <c:v>556</c:v>
                </c:pt>
                <c:pt idx="10">
                  <c:v>2730</c:v>
                </c:pt>
                <c:pt idx="11">
                  <c:v>5040</c:v>
                </c:pt>
                <c:pt idx="12">
                  <c:v>6520</c:v>
                </c:pt>
                <c:pt idx="13">
                  <c:v>5550</c:v>
                </c:pt>
                <c:pt idx="14">
                  <c:v>5210</c:v>
                </c:pt>
                <c:pt idx="15">
                  <c:v>68630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030912"/>
        <c:axId val="685350208"/>
      </c:lineChart>
      <c:catAx>
        <c:axId val="6850309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5350208"/>
        <c:crosses val="autoZero"/>
        <c:auto val="1"/>
        <c:lblAlgn val="ctr"/>
        <c:lblOffset val="100"/>
        <c:noMultiLvlLbl val="0"/>
      </c:catAx>
      <c:valAx>
        <c:axId val="6853502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503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"/>
                <c:pt idx="0">
                  <c:v>0% 71% 100% 33% 50% 0% 0% 96% 66% 42% 0% 92% 0%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0.70804771505376352</c:v>
                </c:pt>
                <c:pt idx="2">
                  <c:v>0.9989561586638831</c:v>
                </c:pt>
                <c:pt idx="3">
                  <c:v>0.33333333333333331</c:v>
                </c:pt>
                <c:pt idx="4">
                  <c:v>0.49848484848484848</c:v>
                </c:pt>
                <c:pt idx="5">
                  <c:v>0</c:v>
                </c:pt>
                <c:pt idx="6">
                  <c:v>0</c:v>
                </c:pt>
                <c:pt idx="7">
                  <c:v>0.95833333333333337</c:v>
                </c:pt>
                <c:pt idx="8">
                  <c:v>0.66456140350877191</c:v>
                </c:pt>
                <c:pt idx="9">
                  <c:v>0.41666666666666669</c:v>
                </c:pt>
                <c:pt idx="10">
                  <c:v>0</c:v>
                </c:pt>
                <c:pt idx="11">
                  <c:v>0.91539351851851847</c:v>
                </c:pt>
                <c:pt idx="12">
                  <c:v>0</c:v>
                </c:pt>
                <c:pt idx="13">
                  <c:v>0.99873873873873875</c:v>
                </c:pt>
                <c:pt idx="14">
                  <c:v>0.99827255278310945</c:v>
                </c:pt>
                <c:pt idx="15">
                  <c:v>0.99997085822526588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0.56605060848734889</c:v>
                </c:pt>
                <c:pt idx="1">
                  <c:v>0.56605060848734889</c:v>
                </c:pt>
                <c:pt idx="2">
                  <c:v>0.56605060848734889</c:v>
                </c:pt>
                <c:pt idx="3">
                  <c:v>0.56605060848734889</c:v>
                </c:pt>
                <c:pt idx="4">
                  <c:v>0.56605060848734889</c:v>
                </c:pt>
                <c:pt idx="5">
                  <c:v>0.56605060848734889</c:v>
                </c:pt>
                <c:pt idx="6">
                  <c:v>0.56605060848734889</c:v>
                </c:pt>
                <c:pt idx="7">
                  <c:v>0.56605060848734889</c:v>
                </c:pt>
                <c:pt idx="8">
                  <c:v>0.56605060848734889</c:v>
                </c:pt>
                <c:pt idx="9">
                  <c:v>0.56605060848734889</c:v>
                </c:pt>
                <c:pt idx="10">
                  <c:v>0.56605060848734889</c:v>
                </c:pt>
                <c:pt idx="11">
                  <c:v>0.56605060848734889</c:v>
                </c:pt>
                <c:pt idx="12">
                  <c:v>0.56605060848734889</c:v>
                </c:pt>
                <c:pt idx="13">
                  <c:v>0.56605060848734889</c:v>
                </c:pt>
                <c:pt idx="14">
                  <c:v>0.56605060848734889</c:v>
                </c:pt>
                <c:pt idx="15">
                  <c:v>0.56605060848734889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838848"/>
        <c:axId val="686089344"/>
      </c:lineChart>
      <c:catAx>
        <c:axId val="68583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6089344"/>
        <c:crosses val="autoZero"/>
        <c:auto val="1"/>
        <c:lblAlgn val="ctr"/>
        <c:lblOffset val="100"/>
        <c:noMultiLvlLbl val="0"/>
      </c:catAx>
      <c:valAx>
        <c:axId val="686089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583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1">
                  <c:v>9916</c:v>
                </c:pt>
                <c:pt idx="2">
                  <c:v>4785</c:v>
                </c:pt>
                <c:pt idx="3">
                  <c:v>1320</c:v>
                </c:pt>
                <c:pt idx="4">
                  <c:v>1974</c:v>
                </c:pt>
                <c:pt idx="7">
                  <c:v>4510</c:v>
                </c:pt>
                <c:pt idx="8">
                  <c:v>2841</c:v>
                </c:pt>
                <c:pt idx="9">
                  <c:v>556</c:v>
                </c:pt>
                <c:pt idx="11">
                  <c:v>5033</c:v>
                </c:pt>
                <c:pt idx="13">
                  <c:v>5543</c:v>
                </c:pt>
                <c:pt idx="14">
                  <c:v>5201</c:v>
                </c:pt>
                <c:pt idx="15">
                  <c:v>68628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9920</c:v>
                </c:pt>
                <c:pt idx="2">
                  <c:v>4790</c:v>
                </c:pt>
                <c:pt idx="3">
                  <c:v>1320</c:v>
                </c:pt>
                <c:pt idx="4">
                  <c:v>1980</c:v>
                </c:pt>
                <c:pt idx="5">
                  <c:v>2350</c:v>
                </c:pt>
                <c:pt idx="6">
                  <c:v>671</c:v>
                </c:pt>
                <c:pt idx="7">
                  <c:v>4510</c:v>
                </c:pt>
                <c:pt idx="8">
                  <c:v>2850</c:v>
                </c:pt>
                <c:pt idx="9">
                  <c:v>556</c:v>
                </c:pt>
                <c:pt idx="10">
                  <c:v>2730</c:v>
                </c:pt>
                <c:pt idx="11">
                  <c:v>5040</c:v>
                </c:pt>
                <c:pt idx="12">
                  <c:v>6520</c:v>
                </c:pt>
                <c:pt idx="13">
                  <c:v>5550</c:v>
                </c:pt>
                <c:pt idx="14">
                  <c:v>5210</c:v>
                </c:pt>
                <c:pt idx="15">
                  <c:v>68630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839872"/>
        <c:axId val="686091648"/>
      </c:lineChart>
      <c:catAx>
        <c:axId val="6858398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6091648"/>
        <c:crosses val="autoZero"/>
        <c:auto val="1"/>
        <c:lblAlgn val="ctr"/>
        <c:lblOffset val="100"/>
        <c:noMultiLvlLbl val="0"/>
      </c:catAx>
      <c:valAx>
        <c:axId val="686091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5839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"/>
                <c:pt idx="0">
                  <c:v>0% 71% 100% 33% 50% 0% 0% 96% 66% 42% 0% 92% 0%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0.70804771505376352</c:v>
                </c:pt>
                <c:pt idx="2">
                  <c:v>0.9989561586638831</c:v>
                </c:pt>
                <c:pt idx="3">
                  <c:v>0.33333333333333331</c:v>
                </c:pt>
                <c:pt idx="4">
                  <c:v>0.49848484848484848</c:v>
                </c:pt>
                <c:pt idx="5">
                  <c:v>0</c:v>
                </c:pt>
                <c:pt idx="6">
                  <c:v>0</c:v>
                </c:pt>
                <c:pt idx="7">
                  <c:v>0.95833333333333337</c:v>
                </c:pt>
                <c:pt idx="8">
                  <c:v>0.66456140350877191</c:v>
                </c:pt>
                <c:pt idx="9">
                  <c:v>0.41666666666666669</c:v>
                </c:pt>
                <c:pt idx="10">
                  <c:v>0</c:v>
                </c:pt>
                <c:pt idx="11">
                  <c:v>0.91539351851851847</c:v>
                </c:pt>
                <c:pt idx="12">
                  <c:v>0</c:v>
                </c:pt>
                <c:pt idx="13">
                  <c:v>0.99873873873873875</c:v>
                </c:pt>
                <c:pt idx="14">
                  <c:v>0.99827255278310945</c:v>
                </c:pt>
                <c:pt idx="15">
                  <c:v>0.99997085822526588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ADAPTER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BODY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0.56605060848734889</c:v>
                </c:pt>
                <c:pt idx="1">
                  <c:v>0.56605060848734889</c:v>
                </c:pt>
                <c:pt idx="2">
                  <c:v>0.56605060848734889</c:v>
                </c:pt>
                <c:pt idx="3">
                  <c:v>0.56605060848734889</c:v>
                </c:pt>
                <c:pt idx="4">
                  <c:v>0.56605060848734889</c:v>
                </c:pt>
                <c:pt idx="5">
                  <c:v>0.56605060848734889</c:v>
                </c:pt>
                <c:pt idx="6">
                  <c:v>0.56605060848734889</c:v>
                </c:pt>
                <c:pt idx="7">
                  <c:v>0.56605060848734889</c:v>
                </c:pt>
                <c:pt idx="8">
                  <c:v>0.56605060848734889</c:v>
                </c:pt>
                <c:pt idx="9">
                  <c:v>0.56605060848734889</c:v>
                </c:pt>
                <c:pt idx="10">
                  <c:v>0.56605060848734889</c:v>
                </c:pt>
                <c:pt idx="11">
                  <c:v>0.56605060848734889</c:v>
                </c:pt>
                <c:pt idx="12">
                  <c:v>0.56605060848734889</c:v>
                </c:pt>
                <c:pt idx="13">
                  <c:v>0.56605060848734889</c:v>
                </c:pt>
                <c:pt idx="14">
                  <c:v>0.56605060848734889</c:v>
                </c:pt>
                <c:pt idx="15">
                  <c:v>0.56605060848734889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840384"/>
        <c:axId val="686093376"/>
      </c:lineChart>
      <c:catAx>
        <c:axId val="68584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6093376"/>
        <c:crosses val="autoZero"/>
        <c:auto val="1"/>
        <c:lblAlgn val="ctr"/>
        <c:lblOffset val="100"/>
        <c:noMultiLvlLbl val="0"/>
      </c:catAx>
      <c:valAx>
        <c:axId val="6860933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584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840896"/>
        <c:axId val="6860956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840896"/>
        <c:axId val="686095680"/>
      </c:lineChart>
      <c:catAx>
        <c:axId val="685840896"/>
        <c:scaling>
          <c:orientation val="minMax"/>
        </c:scaling>
        <c:delete val="0"/>
        <c:axPos val="b"/>
        <c:majorTickMark val="out"/>
        <c:minorTickMark val="none"/>
        <c:tickLblPos val="nextTo"/>
        <c:crossAx val="686095680"/>
        <c:crosses val="autoZero"/>
        <c:auto val="1"/>
        <c:lblAlgn val="ctr"/>
        <c:lblOffset val="100"/>
        <c:noMultiLvlLbl val="0"/>
      </c:catAx>
      <c:valAx>
        <c:axId val="6860956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58408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1">
                  <c:v>3326</c:v>
                </c:pt>
                <c:pt idx="2">
                  <c:v>1714</c:v>
                </c:pt>
                <c:pt idx="3">
                  <c:v>3219</c:v>
                </c:pt>
                <c:pt idx="4">
                  <c:v>341</c:v>
                </c:pt>
                <c:pt idx="7">
                  <c:v>5394</c:v>
                </c:pt>
                <c:pt idx="8">
                  <c:v>987</c:v>
                </c:pt>
                <c:pt idx="11">
                  <c:v>4766</c:v>
                </c:pt>
                <c:pt idx="13">
                  <c:v>2485</c:v>
                </c:pt>
                <c:pt idx="14">
                  <c:v>1752</c:v>
                </c:pt>
                <c:pt idx="15">
                  <c:v>25624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3330</c:v>
                </c:pt>
                <c:pt idx="2">
                  <c:v>1720</c:v>
                </c:pt>
                <c:pt idx="3">
                  <c:v>3220</c:v>
                </c:pt>
                <c:pt idx="4">
                  <c:v>341</c:v>
                </c:pt>
                <c:pt idx="5">
                  <c:v>2350</c:v>
                </c:pt>
                <c:pt idx="6">
                  <c:v>671</c:v>
                </c:pt>
                <c:pt idx="7">
                  <c:v>5400</c:v>
                </c:pt>
                <c:pt idx="8">
                  <c:v>990</c:v>
                </c:pt>
                <c:pt idx="9">
                  <c:v>556</c:v>
                </c:pt>
                <c:pt idx="10">
                  <c:v>2730</c:v>
                </c:pt>
                <c:pt idx="11">
                  <c:v>4770</c:v>
                </c:pt>
                <c:pt idx="12">
                  <c:v>6520</c:v>
                </c:pt>
                <c:pt idx="13">
                  <c:v>2490</c:v>
                </c:pt>
                <c:pt idx="14">
                  <c:v>1760</c:v>
                </c:pt>
                <c:pt idx="15">
                  <c:v>25630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704128"/>
        <c:axId val="686024960"/>
      </c:lineChart>
      <c:catAx>
        <c:axId val="6867041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6024960"/>
        <c:crosses val="autoZero"/>
        <c:auto val="1"/>
        <c:lblAlgn val="ctr"/>
        <c:lblOffset val="100"/>
        <c:noMultiLvlLbl val="0"/>
      </c:catAx>
      <c:valAx>
        <c:axId val="6860249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6704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"/>
                <c:pt idx="0">
                  <c:v>0% 25% 25% 67% 25% 0% 0% 100% 25% 0% 0% 100% 0% 58% 41% 54%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0.24969969969969971</c:v>
                </c:pt>
                <c:pt idx="2">
                  <c:v>0.2491279069767442</c:v>
                </c:pt>
                <c:pt idx="3">
                  <c:v>0.66645962732919251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0.99888888888888894</c:v>
                </c:pt>
                <c:pt idx="8">
                  <c:v>0.24924242424242424</c:v>
                </c:pt>
                <c:pt idx="9">
                  <c:v>0</c:v>
                </c:pt>
                <c:pt idx="10">
                  <c:v>0</c:v>
                </c:pt>
                <c:pt idx="11">
                  <c:v>0.99916142557651988</c:v>
                </c:pt>
                <c:pt idx="12">
                  <c:v>0</c:v>
                </c:pt>
                <c:pt idx="13">
                  <c:v>0.58216198125836682</c:v>
                </c:pt>
                <c:pt idx="14">
                  <c:v>0.41477272727272729</c:v>
                </c:pt>
                <c:pt idx="15">
                  <c:v>0.54153986214072047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0.34673696955901895</c:v>
                </c:pt>
                <c:pt idx="1">
                  <c:v>0.34673696955901895</c:v>
                </c:pt>
                <c:pt idx="2">
                  <c:v>0.34673696955901895</c:v>
                </c:pt>
                <c:pt idx="3">
                  <c:v>0.34673696955901895</c:v>
                </c:pt>
                <c:pt idx="4">
                  <c:v>0.34673696955901895</c:v>
                </c:pt>
                <c:pt idx="5">
                  <c:v>0.34673696955901895</c:v>
                </c:pt>
                <c:pt idx="6">
                  <c:v>0.34673696955901895</c:v>
                </c:pt>
                <c:pt idx="7">
                  <c:v>0.34673696955901895</c:v>
                </c:pt>
                <c:pt idx="8">
                  <c:v>0.34673696955901895</c:v>
                </c:pt>
                <c:pt idx="9">
                  <c:v>0.34673696955901895</c:v>
                </c:pt>
                <c:pt idx="10">
                  <c:v>0.34673696955901895</c:v>
                </c:pt>
                <c:pt idx="11">
                  <c:v>0.34673696955901895</c:v>
                </c:pt>
                <c:pt idx="12">
                  <c:v>0.34673696955901895</c:v>
                </c:pt>
                <c:pt idx="13">
                  <c:v>0.34673696955901895</c:v>
                </c:pt>
                <c:pt idx="14">
                  <c:v>0.34673696955901895</c:v>
                </c:pt>
                <c:pt idx="15">
                  <c:v>0.34673696955901895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108672"/>
        <c:axId val="686026688"/>
      </c:lineChart>
      <c:catAx>
        <c:axId val="68610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6026688"/>
        <c:crosses val="autoZero"/>
        <c:auto val="1"/>
        <c:lblAlgn val="ctr"/>
        <c:lblOffset val="100"/>
        <c:noMultiLvlLbl val="0"/>
      </c:catAx>
      <c:valAx>
        <c:axId val="6860266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610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1">
                  <c:v>3326</c:v>
                </c:pt>
                <c:pt idx="2">
                  <c:v>1714</c:v>
                </c:pt>
                <c:pt idx="3">
                  <c:v>3219</c:v>
                </c:pt>
                <c:pt idx="4">
                  <c:v>341</c:v>
                </c:pt>
                <c:pt idx="7">
                  <c:v>5394</c:v>
                </c:pt>
                <c:pt idx="8">
                  <c:v>987</c:v>
                </c:pt>
                <c:pt idx="11">
                  <c:v>4766</c:v>
                </c:pt>
                <c:pt idx="13">
                  <c:v>2485</c:v>
                </c:pt>
                <c:pt idx="14">
                  <c:v>1752</c:v>
                </c:pt>
                <c:pt idx="15">
                  <c:v>25624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1970</c:v>
                </c:pt>
                <c:pt idx="1">
                  <c:v>3330</c:v>
                </c:pt>
                <c:pt idx="2">
                  <c:v>1720</c:v>
                </c:pt>
                <c:pt idx="3">
                  <c:v>3220</c:v>
                </c:pt>
                <c:pt idx="4">
                  <c:v>341</c:v>
                </c:pt>
                <c:pt idx="5">
                  <c:v>2350</c:v>
                </c:pt>
                <c:pt idx="6">
                  <c:v>671</c:v>
                </c:pt>
                <c:pt idx="7">
                  <c:v>5400</c:v>
                </c:pt>
                <c:pt idx="8">
                  <c:v>990</c:v>
                </c:pt>
                <c:pt idx="9">
                  <c:v>556</c:v>
                </c:pt>
                <c:pt idx="10">
                  <c:v>2730</c:v>
                </c:pt>
                <c:pt idx="11">
                  <c:v>4770</c:v>
                </c:pt>
                <c:pt idx="12">
                  <c:v>6520</c:v>
                </c:pt>
                <c:pt idx="13">
                  <c:v>2490</c:v>
                </c:pt>
                <c:pt idx="14">
                  <c:v>1760</c:v>
                </c:pt>
                <c:pt idx="15">
                  <c:v>25630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109184"/>
        <c:axId val="686028992"/>
      </c:lineChart>
      <c:catAx>
        <c:axId val="6861091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6028992"/>
        <c:crosses val="autoZero"/>
        <c:auto val="1"/>
        <c:lblAlgn val="ctr"/>
        <c:lblOffset val="100"/>
        <c:noMultiLvlLbl val="0"/>
      </c:catAx>
      <c:valAx>
        <c:axId val="6860289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6109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"/>
                <c:pt idx="0">
                  <c:v>0% 25% 25% 67% 25% 0% 0% 100% 25% 0% 0% 100% 0% 58% 41% 54%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0.24969969969969971</c:v>
                </c:pt>
                <c:pt idx="2">
                  <c:v>0.2491279069767442</c:v>
                </c:pt>
                <c:pt idx="3">
                  <c:v>0.66645962732919251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0.99888888888888894</c:v>
                </c:pt>
                <c:pt idx="8">
                  <c:v>0.24924242424242424</c:v>
                </c:pt>
                <c:pt idx="9">
                  <c:v>0</c:v>
                </c:pt>
                <c:pt idx="10">
                  <c:v>0</c:v>
                </c:pt>
                <c:pt idx="11">
                  <c:v>0.99916142557651988</c:v>
                </c:pt>
                <c:pt idx="12">
                  <c:v>0</c:v>
                </c:pt>
                <c:pt idx="13">
                  <c:v>0.58216198125836682</c:v>
                </c:pt>
                <c:pt idx="14">
                  <c:v>0.41477272727272729</c:v>
                </c:pt>
                <c:pt idx="15">
                  <c:v>0.54153986214072047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'28'!$D$6:$D$21</c:f>
              <c:strCache>
                <c:ptCount val="15"/>
                <c:pt idx="0">
                  <c:v>LOWER PLATE</c:v>
                </c:pt>
                <c:pt idx="1">
                  <c:v>COVER</c:v>
                </c:pt>
                <c:pt idx="2">
                  <c:v>TOGGLE</c:v>
                </c:pt>
                <c:pt idx="3">
                  <c:v>TOGGLE</c:v>
                </c:pt>
                <c:pt idx="4">
                  <c:v>Z280-ASSY</c:v>
                </c:pt>
                <c:pt idx="5">
                  <c:v>SLIDER</c:v>
                </c:pt>
                <c:pt idx="6">
                  <c:v>ADAPTER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0.34673696955901895</c:v>
                </c:pt>
                <c:pt idx="1">
                  <c:v>0.34673696955901895</c:v>
                </c:pt>
                <c:pt idx="2">
                  <c:v>0.34673696955901895</c:v>
                </c:pt>
                <c:pt idx="3">
                  <c:v>0.34673696955901895</c:v>
                </c:pt>
                <c:pt idx="4">
                  <c:v>0.34673696955901895</c:v>
                </c:pt>
                <c:pt idx="5">
                  <c:v>0.34673696955901895</c:v>
                </c:pt>
                <c:pt idx="6">
                  <c:v>0.34673696955901895</c:v>
                </c:pt>
                <c:pt idx="7">
                  <c:v>0.34673696955901895</c:v>
                </c:pt>
                <c:pt idx="8">
                  <c:v>0.34673696955901895</c:v>
                </c:pt>
                <c:pt idx="9">
                  <c:v>0.34673696955901895</c:v>
                </c:pt>
                <c:pt idx="10">
                  <c:v>0.34673696955901895</c:v>
                </c:pt>
                <c:pt idx="11">
                  <c:v>0.34673696955901895</c:v>
                </c:pt>
                <c:pt idx="12">
                  <c:v>0.34673696955901895</c:v>
                </c:pt>
                <c:pt idx="13">
                  <c:v>0.34673696955901895</c:v>
                </c:pt>
                <c:pt idx="14">
                  <c:v>0.34673696955901895</c:v>
                </c:pt>
                <c:pt idx="15">
                  <c:v>0.34673696955901895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110208"/>
        <c:axId val="687013888"/>
      </c:lineChart>
      <c:catAx>
        <c:axId val="68611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7013888"/>
        <c:crosses val="autoZero"/>
        <c:auto val="1"/>
        <c:lblAlgn val="ctr"/>
        <c:lblOffset val="100"/>
        <c:noMultiLvlLbl val="0"/>
      </c:catAx>
      <c:valAx>
        <c:axId val="687013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6110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110720"/>
        <c:axId val="6870161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110720"/>
        <c:axId val="687016192"/>
      </c:lineChart>
      <c:catAx>
        <c:axId val="686110720"/>
        <c:scaling>
          <c:orientation val="minMax"/>
        </c:scaling>
        <c:delete val="0"/>
        <c:axPos val="b"/>
        <c:majorTickMark val="out"/>
        <c:minorTickMark val="none"/>
        <c:tickLblPos val="nextTo"/>
        <c:crossAx val="687016192"/>
        <c:crosses val="autoZero"/>
        <c:auto val="1"/>
        <c:lblAlgn val="ctr"/>
        <c:lblOffset val="100"/>
        <c:noMultiLvlLbl val="0"/>
      </c:catAx>
      <c:valAx>
        <c:axId val="687016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61107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2">
                  <c:v>4113</c:v>
                </c:pt>
                <c:pt idx="3">
                  <c:v>781</c:v>
                </c:pt>
                <c:pt idx="4">
                  <c:v>1090</c:v>
                </c:pt>
                <c:pt idx="5">
                  <c:v>1723</c:v>
                </c:pt>
                <c:pt idx="6">
                  <c:v>4246</c:v>
                </c:pt>
                <c:pt idx="7">
                  <c:v>4095</c:v>
                </c:pt>
                <c:pt idx="8">
                  <c:v>1033</c:v>
                </c:pt>
                <c:pt idx="11">
                  <c:v>3362</c:v>
                </c:pt>
                <c:pt idx="13">
                  <c:v>877</c:v>
                </c:pt>
                <c:pt idx="14">
                  <c:v>3100</c:v>
                </c:pt>
                <c:pt idx="15">
                  <c:v>4152</c:v>
                </c:pt>
                <c:pt idx="16">
                  <c:v>56572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1970</c:v>
                </c:pt>
                <c:pt idx="1">
                  <c:v>3330</c:v>
                </c:pt>
                <c:pt idx="2">
                  <c:v>4120</c:v>
                </c:pt>
                <c:pt idx="3">
                  <c:v>781</c:v>
                </c:pt>
                <c:pt idx="4">
                  <c:v>1090</c:v>
                </c:pt>
                <c:pt idx="5">
                  <c:v>1730</c:v>
                </c:pt>
                <c:pt idx="6">
                  <c:v>4250</c:v>
                </c:pt>
                <c:pt idx="7">
                  <c:v>4100</c:v>
                </c:pt>
                <c:pt idx="8">
                  <c:v>1040</c:v>
                </c:pt>
                <c:pt idx="9">
                  <c:v>556</c:v>
                </c:pt>
                <c:pt idx="10">
                  <c:v>2730</c:v>
                </c:pt>
                <c:pt idx="11">
                  <c:v>3370</c:v>
                </c:pt>
                <c:pt idx="12">
                  <c:v>6520</c:v>
                </c:pt>
                <c:pt idx="13">
                  <c:v>880</c:v>
                </c:pt>
                <c:pt idx="14">
                  <c:v>3100</c:v>
                </c:pt>
                <c:pt idx="15">
                  <c:v>4160</c:v>
                </c:pt>
                <c:pt idx="16">
                  <c:v>56580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516224"/>
        <c:axId val="687019072"/>
      </c:lineChart>
      <c:catAx>
        <c:axId val="6865162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7019072"/>
        <c:crosses val="autoZero"/>
        <c:auto val="1"/>
        <c:lblAlgn val="ctr"/>
        <c:lblOffset val="100"/>
        <c:noMultiLvlLbl val="0"/>
      </c:catAx>
      <c:valAx>
        <c:axId val="6870190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6516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"/>
                <c:pt idx="0">
                  <c:v>0% 0% 83% 17% 25% 46% 92% 83% 41% 0% 0% 67% 0% 29% 67% 79%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0.83191747572815544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0.45647880539499036</c:v>
                </c:pt>
                <c:pt idx="6">
                  <c:v>0.91580392156862744</c:v>
                </c:pt>
                <c:pt idx="7">
                  <c:v>0.83231707317073178</c:v>
                </c:pt>
                <c:pt idx="8">
                  <c:v>0.41386217948717952</c:v>
                </c:pt>
                <c:pt idx="9">
                  <c:v>0</c:v>
                </c:pt>
                <c:pt idx="10">
                  <c:v>0</c:v>
                </c:pt>
                <c:pt idx="11">
                  <c:v>0.66508407517309598</c:v>
                </c:pt>
                <c:pt idx="12">
                  <c:v>0</c:v>
                </c:pt>
                <c:pt idx="13">
                  <c:v>0.29067234848484852</c:v>
                </c:pt>
                <c:pt idx="14">
                  <c:v>0.66666666666666663</c:v>
                </c:pt>
                <c:pt idx="15">
                  <c:v>0.79014423076923079</c:v>
                </c:pt>
                <c:pt idx="16">
                  <c:v>0.99985860728172504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0.48529813669279459</c:v>
                </c:pt>
                <c:pt idx="1">
                  <c:v>0.48529813669279459</c:v>
                </c:pt>
                <c:pt idx="2">
                  <c:v>0.48529813669279459</c:v>
                </c:pt>
                <c:pt idx="3">
                  <c:v>0.48529813669279459</c:v>
                </c:pt>
                <c:pt idx="4">
                  <c:v>0.48529813669279459</c:v>
                </c:pt>
                <c:pt idx="5">
                  <c:v>0.48529813669279459</c:v>
                </c:pt>
                <c:pt idx="6">
                  <c:v>0.48529813669279459</c:v>
                </c:pt>
                <c:pt idx="7">
                  <c:v>0.48529813669279459</c:v>
                </c:pt>
                <c:pt idx="8">
                  <c:v>0.48529813669279459</c:v>
                </c:pt>
                <c:pt idx="9">
                  <c:v>0.48529813669279459</c:v>
                </c:pt>
                <c:pt idx="10">
                  <c:v>0.48529813669279459</c:v>
                </c:pt>
                <c:pt idx="11">
                  <c:v>0.48529813669279459</c:v>
                </c:pt>
                <c:pt idx="12">
                  <c:v>0.48529813669279459</c:v>
                </c:pt>
                <c:pt idx="13">
                  <c:v>0.48529813669279459</c:v>
                </c:pt>
                <c:pt idx="14">
                  <c:v>0.48529813669279459</c:v>
                </c:pt>
                <c:pt idx="15">
                  <c:v>0.48529813669279459</c:v>
                </c:pt>
                <c:pt idx="16">
                  <c:v>0.48529813669279459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111232"/>
        <c:axId val="687020800"/>
      </c:lineChart>
      <c:catAx>
        <c:axId val="68611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7020800"/>
        <c:crosses val="autoZero"/>
        <c:auto val="1"/>
        <c:lblAlgn val="ctr"/>
        <c:lblOffset val="100"/>
        <c:noMultiLvlLbl val="0"/>
      </c:catAx>
      <c:valAx>
        <c:axId val="687020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6111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2">
                  <c:v>4113</c:v>
                </c:pt>
                <c:pt idx="3">
                  <c:v>781</c:v>
                </c:pt>
                <c:pt idx="4">
                  <c:v>1090</c:v>
                </c:pt>
                <c:pt idx="5">
                  <c:v>1723</c:v>
                </c:pt>
                <c:pt idx="6">
                  <c:v>4246</c:v>
                </c:pt>
                <c:pt idx="7">
                  <c:v>4095</c:v>
                </c:pt>
                <c:pt idx="8">
                  <c:v>1033</c:v>
                </c:pt>
                <c:pt idx="11">
                  <c:v>3362</c:v>
                </c:pt>
                <c:pt idx="13">
                  <c:v>877</c:v>
                </c:pt>
                <c:pt idx="14">
                  <c:v>3100</c:v>
                </c:pt>
                <c:pt idx="15">
                  <c:v>4152</c:v>
                </c:pt>
                <c:pt idx="16">
                  <c:v>56572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1970</c:v>
                </c:pt>
                <c:pt idx="1">
                  <c:v>3330</c:v>
                </c:pt>
                <c:pt idx="2">
                  <c:v>4120</c:v>
                </c:pt>
                <c:pt idx="3">
                  <c:v>781</c:v>
                </c:pt>
                <c:pt idx="4">
                  <c:v>1090</c:v>
                </c:pt>
                <c:pt idx="5">
                  <c:v>1730</c:v>
                </c:pt>
                <c:pt idx="6">
                  <c:v>4250</c:v>
                </c:pt>
                <c:pt idx="7">
                  <c:v>4100</c:v>
                </c:pt>
                <c:pt idx="8">
                  <c:v>1040</c:v>
                </c:pt>
                <c:pt idx="9">
                  <c:v>556</c:v>
                </c:pt>
                <c:pt idx="10">
                  <c:v>2730</c:v>
                </c:pt>
                <c:pt idx="11">
                  <c:v>3370</c:v>
                </c:pt>
                <c:pt idx="12">
                  <c:v>6520</c:v>
                </c:pt>
                <c:pt idx="13">
                  <c:v>880</c:v>
                </c:pt>
                <c:pt idx="14">
                  <c:v>3100</c:v>
                </c:pt>
                <c:pt idx="15">
                  <c:v>4160</c:v>
                </c:pt>
                <c:pt idx="16">
                  <c:v>56580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444544"/>
        <c:axId val="687252608"/>
      </c:lineChart>
      <c:catAx>
        <c:axId val="6864445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7252608"/>
        <c:crosses val="autoZero"/>
        <c:auto val="1"/>
        <c:lblAlgn val="ctr"/>
        <c:lblOffset val="100"/>
        <c:noMultiLvlLbl val="0"/>
      </c:catAx>
      <c:valAx>
        <c:axId val="6872526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644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"/>
                <c:pt idx="0">
                  <c:v>0% 0% 83% 17% 25% 46% 92% 83% 41% 0% 0% 67% 0% 29% 67% 79%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0.83191747572815544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0.45647880539499036</c:v>
                </c:pt>
                <c:pt idx="6">
                  <c:v>0.91580392156862744</c:v>
                </c:pt>
                <c:pt idx="7">
                  <c:v>0.83231707317073178</c:v>
                </c:pt>
                <c:pt idx="8">
                  <c:v>0.41386217948717952</c:v>
                </c:pt>
                <c:pt idx="9">
                  <c:v>0</c:v>
                </c:pt>
                <c:pt idx="10">
                  <c:v>0</c:v>
                </c:pt>
                <c:pt idx="11">
                  <c:v>0.66508407517309598</c:v>
                </c:pt>
                <c:pt idx="12">
                  <c:v>0</c:v>
                </c:pt>
                <c:pt idx="13">
                  <c:v>0.29067234848484852</c:v>
                </c:pt>
                <c:pt idx="14">
                  <c:v>0.66666666666666663</c:v>
                </c:pt>
                <c:pt idx="15">
                  <c:v>0.79014423076923079</c:v>
                </c:pt>
                <c:pt idx="16">
                  <c:v>0.99985860728172504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'29'!$D$6:$D$22</c:f>
              <c:strCache>
                <c:ptCount val="16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TOGGLE</c:v>
                </c:pt>
                <c:pt idx="4">
                  <c:v>LATCH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SAM</c:v>
                </c:pt>
                <c:pt idx="13">
                  <c:v>LOCKER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0.48529813669279459</c:v>
                </c:pt>
                <c:pt idx="1">
                  <c:v>0.48529813669279459</c:v>
                </c:pt>
                <c:pt idx="2">
                  <c:v>0.48529813669279459</c:v>
                </c:pt>
                <c:pt idx="3">
                  <c:v>0.48529813669279459</c:v>
                </c:pt>
                <c:pt idx="4">
                  <c:v>0.48529813669279459</c:v>
                </c:pt>
                <c:pt idx="5">
                  <c:v>0.48529813669279459</c:v>
                </c:pt>
                <c:pt idx="6">
                  <c:v>0.48529813669279459</c:v>
                </c:pt>
                <c:pt idx="7">
                  <c:v>0.48529813669279459</c:v>
                </c:pt>
                <c:pt idx="8">
                  <c:v>0.48529813669279459</c:v>
                </c:pt>
                <c:pt idx="9">
                  <c:v>0.48529813669279459</c:v>
                </c:pt>
                <c:pt idx="10">
                  <c:v>0.48529813669279459</c:v>
                </c:pt>
                <c:pt idx="11">
                  <c:v>0.48529813669279459</c:v>
                </c:pt>
                <c:pt idx="12">
                  <c:v>0.48529813669279459</c:v>
                </c:pt>
                <c:pt idx="13">
                  <c:v>0.48529813669279459</c:v>
                </c:pt>
                <c:pt idx="14">
                  <c:v>0.48529813669279459</c:v>
                </c:pt>
                <c:pt idx="15">
                  <c:v>0.48529813669279459</c:v>
                </c:pt>
                <c:pt idx="16">
                  <c:v>0.48529813669279459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445568"/>
        <c:axId val="687254336"/>
      </c:lineChart>
      <c:catAx>
        <c:axId val="686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7254336"/>
        <c:crosses val="autoZero"/>
        <c:auto val="1"/>
        <c:lblAlgn val="ctr"/>
        <c:lblOffset val="100"/>
        <c:noMultiLvlLbl val="0"/>
      </c:catAx>
      <c:valAx>
        <c:axId val="6872543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6445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446592"/>
        <c:axId val="6872566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446592"/>
        <c:axId val="687256640"/>
      </c:lineChart>
      <c:catAx>
        <c:axId val="68644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687256640"/>
        <c:crosses val="autoZero"/>
        <c:auto val="1"/>
        <c:lblAlgn val="ctr"/>
        <c:lblOffset val="100"/>
        <c:noMultiLvlLbl val="0"/>
      </c:catAx>
      <c:valAx>
        <c:axId val="6872566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64465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5314</c:v>
                </c:pt>
                <c:pt idx="3">
                  <c:v>9832</c:v>
                </c:pt>
                <c:pt idx="4">
                  <c:v>1684</c:v>
                </c:pt>
                <c:pt idx="5">
                  <c:v>719</c:v>
                </c:pt>
                <c:pt idx="6">
                  <c:v>5433</c:v>
                </c:pt>
                <c:pt idx="10">
                  <c:v>5695</c:v>
                </c:pt>
                <c:pt idx="12">
                  <c:v>5636</c:v>
                </c:pt>
                <c:pt idx="13">
                  <c:v>5090</c:v>
                </c:pt>
                <c:pt idx="14">
                  <c:v>59804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3330</c:v>
                </c:pt>
                <c:pt idx="2">
                  <c:v>5320</c:v>
                </c:pt>
                <c:pt idx="3">
                  <c:v>9900</c:v>
                </c:pt>
                <c:pt idx="4">
                  <c:v>1690</c:v>
                </c:pt>
                <c:pt idx="5">
                  <c:v>720</c:v>
                </c:pt>
                <c:pt idx="6">
                  <c:v>5440</c:v>
                </c:pt>
                <c:pt idx="7">
                  <c:v>1040</c:v>
                </c:pt>
                <c:pt idx="8">
                  <c:v>556</c:v>
                </c:pt>
                <c:pt idx="9">
                  <c:v>2730</c:v>
                </c:pt>
                <c:pt idx="10">
                  <c:v>5700</c:v>
                </c:pt>
                <c:pt idx="11">
                  <c:v>6520</c:v>
                </c:pt>
                <c:pt idx="12">
                  <c:v>5640</c:v>
                </c:pt>
                <c:pt idx="13">
                  <c:v>5090</c:v>
                </c:pt>
                <c:pt idx="14">
                  <c:v>59810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661568"/>
        <c:axId val="687595520"/>
      </c:lineChart>
      <c:catAx>
        <c:axId val="687661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7595520"/>
        <c:crosses val="autoZero"/>
        <c:auto val="1"/>
        <c:lblAlgn val="ctr"/>
        <c:lblOffset val="100"/>
        <c:noMultiLvlLbl val="0"/>
      </c:catAx>
      <c:valAx>
        <c:axId val="6875955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766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0% 100% 62% 42% 25% 100% 0% 0% 0% 100% 0%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0.9988721804511278</c:v>
                </c:pt>
                <c:pt idx="3">
                  <c:v>0.62070707070707065</c:v>
                </c:pt>
                <c:pt idx="4">
                  <c:v>0.41518737672583828</c:v>
                </c:pt>
                <c:pt idx="5">
                  <c:v>0.24965277777777778</c:v>
                </c:pt>
                <c:pt idx="6">
                  <c:v>0.9987132352941176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0.99912280701754386</c:v>
                </c:pt>
                <c:pt idx="11">
                  <c:v>0</c:v>
                </c:pt>
                <c:pt idx="12">
                  <c:v>0.99929078014184403</c:v>
                </c:pt>
                <c:pt idx="13">
                  <c:v>1</c:v>
                </c:pt>
                <c:pt idx="14">
                  <c:v>0.99989968232737003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0.48542972736284601</c:v>
                </c:pt>
                <c:pt idx="1">
                  <c:v>0.48542972736284601</c:v>
                </c:pt>
                <c:pt idx="2">
                  <c:v>0.48542972736284601</c:v>
                </c:pt>
                <c:pt idx="3">
                  <c:v>0.48542972736284601</c:v>
                </c:pt>
                <c:pt idx="4">
                  <c:v>0.48542972736284601</c:v>
                </c:pt>
                <c:pt idx="5">
                  <c:v>0.48542972736284601</c:v>
                </c:pt>
                <c:pt idx="6">
                  <c:v>0.48542972736284601</c:v>
                </c:pt>
                <c:pt idx="7">
                  <c:v>0.48542972736284601</c:v>
                </c:pt>
                <c:pt idx="8">
                  <c:v>0.48542972736284601</c:v>
                </c:pt>
                <c:pt idx="9">
                  <c:v>0.48542972736284601</c:v>
                </c:pt>
                <c:pt idx="10">
                  <c:v>0.48542972736284601</c:v>
                </c:pt>
                <c:pt idx="11">
                  <c:v>0.48542972736284601</c:v>
                </c:pt>
                <c:pt idx="12">
                  <c:v>0.48542972736284601</c:v>
                </c:pt>
                <c:pt idx="13">
                  <c:v>0.48542972736284601</c:v>
                </c:pt>
                <c:pt idx="14">
                  <c:v>0.48542972736284601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663616"/>
        <c:axId val="687597248"/>
      </c:lineChart>
      <c:catAx>
        <c:axId val="68766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7597248"/>
        <c:crosses val="autoZero"/>
        <c:auto val="1"/>
        <c:lblAlgn val="ctr"/>
        <c:lblOffset val="100"/>
        <c:noMultiLvlLbl val="0"/>
      </c:catAx>
      <c:valAx>
        <c:axId val="687597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766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5314</c:v>
                </c:pt>
                <c:pt idx="3">
                  <c:v>9832</c:v>
                </c:pt>
                <c:pt idx="4">
                  <c:v>1684</c:v>
                </c:pt>
                <c:pt idx="5">
                  <c:v>719</c:v>
                </c:pt>
                <c:pt idx="6">
                  <c:v>5433</c:v>
                </c:pt>
                <c:pt idx="10">
                  <c:v>5695</c:v>
                </c:pt>
                <c:pt idx="12">
                  <c:v>5636</c:v>
                </c:pt>
                <c:pt idx="13">
                  <c:v>5090</c:v>
                </c:pt>
                <c:pt idx="14">
                  <c:v>59804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3330</c:v>
                </c:pt>
                <c:pt idx="2">
                  <c:v>5320</c:v>
                </c:pt>
                <c:pt idx="3">
                  <c:v>9900</c:v>
                </c:pt>
                <c:pt idx="4">
                  <c:v>1690</c:v>
                </c:pt>
                <c:pt idx="5">
                  <c:v>720</c:v>
                </c:pt>
                <c:pt idx="6">
                  <c:v>5440</c:v>
                </c:pt>
                <c:pt idx="7">
                  <c:v>1040</c:v>
                </c:pt>
                <c:pt idx="8">
                  <c:v>556</c:v>
                </c:pt>
                <c:pt idx="9">
                  <c:v>2730</c:v>
                </c:pt>
                <c:pt idx="10">
                  <c:v>5700</c:v>
                </c:pt>
                <c:pt idx="11">
                  <c:v>6520</c:v>
                </c:pt>
                <c:pt idx="12">
                  <c:v>5640</c:v>
                </c:pt>
                <c:pt idx="13">
                  <c:v>5090</c:v>
                </c:pt>
                <c:pt idx="14">
                  <c:v>59810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664128"/>
        <c:axId val="687599552"/>
      </c:lineChart>
      <c:catAx>
        <c:axId val="6876641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7599552"/>
        <c:crosses val="autoZero"/>
        <c:auto val="1"/>
        <c:lblAlgn val="ctr"/>
        <c:lblOffset val="100"/>
        <c:noMultiLvlLbl val="0"/>
      </c:catAx>
      <c:valAx>
        <c:axId val="6875995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7664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0% 100% 62% 42% 25% 100% 0% 0% 0% 100% 0% 100%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0.9988721804511278</c:v>
                </c:pt>
                <c:pt idx="3">
                  <c:v>0.62070707070707065</c:v>
                </c:pt>
                <c:pt idx="4">
                  <c:v>0.41518737672583828</c:v>
                </c:pt>
                <c:pt idx="5">
                  <c:v>0.24965277777777778</c:v>
                </c:pt>
                <c:pt idx="6">
                  <c:v>0.9987132352941176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0.99912280701754386</c:v>
                </c:pt>
                <c:pt idx="11">
                  <c:v>0</c:v>
                </c:pt>
                <c:pt idx="12">
                  <c:v>0.99929078014184403</c:v>
                </c:pt>
                <c:pt idx="13">
                  <c:v>1</c:v>
                </c:pt>
                <c:pt idx="14">
                  <c:v>0.99989968232737003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0.48542972736284601</c:v>
                </c:pt>
                <c:pt idx="1">
                  <c:v>0.48542972736284601</c:v>
                </c:pt>
                <c:pt idx="2">
                  <c:v>0.48542972736284601</c:v>
                </c:pt>
                <c:pt idx="3">
                  <c:v>0.48542972736284601</c:v>
                </c:pt>
                <c:pt idx="4">
                  <c:v>0.48542972736284601</c:v>
                </c:pt>
                <c:pt idx="5">
                  <c:v>0.48542972736284601</c:v>
                </c:pt>
                <c:pt idx="6">
                  <c:v>0.48542972736284601</c:v>
                </c:pt>
                <c:pt idx="7">
                  <c:v>0.48542972736284601</c:v>
                </c:pt>
                <c:pt idx="8">
                  <c:v>0.48542972736284601</c:v>
                </c:pt>
                <c:pt idx="9">
                  <c:v>0.48542972736284601</c:v>
                </c:pt>
                <c:pt idx="10">
                  <c:v>0.48542972736284601</c:v>
                </c:pt>
                <c:pt idx="11">
                  <c:v>0.48542972736284601</c:v>
                </c:pt>
                <c:pt idx="12">
                  <c:v>0.48542972736284601</c:v>
                </c:pt>
                <c:pt idx="13">
                  <c:v>0.48542972736284601</c:v>
                </c:pt>
                <c:pt idx="14">
                  <c:v>0.48542972736284601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964160"/>
        <c:axId val="687601280"/>
      </c:lineChart>
      <c:catAx>
        <c:axId val="68796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7601280"/>
        <c:crosses val="autoZero"/>
        <c:auto val="1"/>
        <c:lblAlgn val="ctr"/>
        <c:lblOffset val="100"/>
        <c:noMultiLvlLbl val="0"/>
      </c:catAx>
      <c:valAx>
        <c:axId val="6876012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7964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7964672"/>
        <c:axId val="6880296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964672"/>
        <c:axId val="688029696"/>
      </c:lineChart>
      <c:catAx>
        <c:axId val="68796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688029696"/>
        <c:crosses val="autoZero"/>
        <c:auto val="1"/>
        <c:lblAlgn val="ctr"/>
        <c:lblOffset val="100"/>
        <c:noMultiLvlLbl val="0"/>
      </c:catAx>
      <c:valAx>
        <c:axId val="6880296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79646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5304</c:v>
                </c:pt>
                <c:pt idx="3">
                  <c:v>8252</c:v>
                </c:pt>
                <c:pt idx="4">
                  <c:v>4374</c:v>
                </c:pt>
                <c:pt idx="5">
                  <c:v>2712</c:v>
                </c:pt>
                <c:pt idx="6">
                  <c:v>5772</c:v>
                </c:pt>
                <c:pt idx="7">
                  <c:v>2219</c:v>
                </c:pt>
                <c:pt idx="10">
                  <c:v>3522</c:v>
                </c:pt>
                <c:pt idx="12">
                  <c:v>5658</c:v>
                </c:pt>
                <c:pt idx="13">
                  <c:v>4314</c:v>
                </c:pt>
                <c:pt idx="14">
                  <c:v>61268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3330</c:v>
                </c:pt>
                <c:pt idx="2">
                  <c:v>5310</c:v>
                </c:pt>
                <c:pt idx="3">
                  <c:v>8260</c:v>
                </c:pt>
                <c:pt idx="4">
                  <c:v>4400</c:v>
                </c:pt>
                <c:pt idx="5">
                  <c:v>2720</c:v>
                </c:pt>
                <c:pt idx="6">
                  <c:v>5772</c:v>
                </c:pt>
                <c:pt idx="7">
                  <c:v>2220</c:v>
                </c:pt>
                <c:pt idx="8">
                  <c:v>556</c:v>
                </c:pt>
                <c:pt idx="9">
                  <c:v>2730</c:v>
                </c:pt>
                <c:pt idx="10">
                  <c:v>3530</c:v>
                </c:pt>
                <c:pt idx="11">
                  <c:v>6520</c:v>
                </c:pt>
                <c:pt idx="12">
                  <c:v>5660</c:v>
                </c:pt>
                <c:pt idx="13">
                  <c:v>4320</c:v>
                </c:pt>
                <c:pt idx="14">
                  <c:v>61270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408640"/>
        <c:axId val="688032576"/>
      </c:lineChart>
      <c:catAx>
        <c:axId val="6874086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8032576"/>
        <c:crosses val="autoZero"/>
        <c:auto val="1"/>
        <c:lblAlgn val="ctr"/>
        <c:lblOffset val="100"/>
        <c:noMultiLvlLbl val="0"/>
      </c:catAx>
      <c:valAx>
        <c:axId val="6880325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7408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100% 42% 83% 66% 100% 50% 0% 0% 62% 0% 100%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0.9988700564971752</c:v>
                </c:pt>
                <c:pt idx="3">
                  <c:v>0.4162631154156578</c:v>
                </c:pt>
                <c:pt idx="4">
                  <c:v>0.82840909090909098</c:v>
                </c:pt>
                <c:pt idx="5">
                  <c:v>0.66470588235294115</c:v>
                </c:pt>
                <c:pt idx="6">
                  <c:v>1</c:v>
                </c:pt>
                <c:pt idx="7">
                  <c:v>0.49977477477477478</c:v>
                </c:pt>
                <c:pt idx="8">
                  <c:v>0</c:v>
                </c:pt>
                <c:pt idx="9">
                  <c:v>0</c:v>
                </c:pt>
                <c:pt idx="10">
                  <c:v>0.62358356940509918</c:v>
                </c:pt>
                <c:pt idx="11">
                  <c:v>0</c:v>
                </c:pt>
                <c:pt idx="12">
                  <c:v>0.99964664310954066</c:v>
                </c:pt>
                <c:pt idx="13">
                  <c:v>0.87378472222222225</c:v>
                </c:pt>
                <c:pt idx="14">
                  <c:v>0.9999673575975192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0.52700034748560143</c:v>
                </c:pt>
                <c:pt idx="1">
                  <c:v>0.52700034748560143</c:v>
                </c:pt>
                <c:pt idx="2">
                  <c:v>0.52700034748560143</c:v>
                </c:pt>
                <c:pt idx="3">
                  <c:v>0.52700034748560143</c:v>
                </c:pt>
                <c:pt idx="4">
                  <c:v>0.52700034748560143</c:v>
                </c:pt>
                <c:pt idx="5">
                  <c:v>0.52700034748560143</c:v>
                </c:pt>
                <c:pt idx="6">
                  <c:v>0.52700034748560143</c:v>
                </c:pt>
                <c:pt idx="7">
                  <c:v>0.52700034748560143</c:v>
                </c:pt>
                <c:pt idx="8">
                  <c:v>0.52700034748560143</c:v>
                </c:pt>
                <c:pt idx="9">
                  <c:v>0.52700034748560143</c:v>
                </c:pt>
                <c:pt idx="10">
                  <c:v>0.52700034748560143</c:v>
                </c:pt>
                <c:pt idx="11">
                  <c:v>0.52700034748560143</c:v>
                </c:pt>
                <c:pt idx="12">
                  <c:v>0.52700034748560143</c:v>
                </c:pt>
                <c:pt idx="13">
                  <c:v>0.52700034748560143</c:v>
                </c:pt>
                <c:pt idx="14">
                  <c:v>0.52700034748560143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409664"/>
        <c:axId val="688034304"/>
      </c:lineChart>
      <c:catAx>
        <c:axId val="68740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8034304"/>
        <c:crosses val="autoZero"/>
        <c:auto val="1"/>
        <c:lblAlgn val="ctr"/>
        <c:lblOffset val="100"/>
        <c:noMultiLvlLbl val="0"/>
      </c:catAx>
      <c:valAx>
        <c:axId val="6880343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7409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5304</c:v>
                </c:pt>
                <c:pt idx="3">
                  <c:v>8252</c:v>
                </c:pt>
                <c:pt idx="4">
                  <c:v>4374</c:v>
                </c:pt>
                <c:pt idx="5">
                  <c:v>2712</c:v>
                </c:pt>
                <c:pt idx="6">
                  <c:v>5772</c:v>
                </c:pt>
                <c:pt idx="7">
                  <c:v>2219</c:v>
                </c:pt>
                <c:pt idx="10">
                  <c:v>3522</c:v>
                </c:pt>
                <c:pt idx="12">
                  <c:v>5658</c:v>
                </c:pt>
                <c:pt idx="13">
                  <c:v>4314</c:v>
                </c:pt>
                <c:pt idx="14">
                  <c:v>61268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1970</c:v>
                </c:pt>
                <c:pt idx="1">
                  <c:v>3330</c:v>
                </c:pt>
                <c:pt idx="2">
                  <c:v>5310</c:v>
                </c:pt>
                <c:pt idx="3">
                  <c:v>8260</c:v>
                </c:pt>
                <c:pt idx="4">
                  <c:v>4400</c:v>
                </c:pt>
                <c:pt idx="5">
                  <c:v>2720</c:v>
                </c:pt>
                <c:pt idx="6">
                  <c:v>5772</c:v>
                </c:pt>
                <c:pt idx="7">
                  <c:v>2220</c:v>
                </c:pt>
                <c:pt idx="8">
                  <c:v>556</c:v>
                </c:pt>
                <c:pt idx="9">
                  <c:v>2730</c:v>
                </c:pt>
                <c:pt idx="10">
                  <c:v>3530</c:v>
                </c:pt>
                <c:pt idx="11">
                  <c:v>6520</c:v>
                </c:pt>
                <c:pt idx="12">
                  <c:v>5660</c:v>
                </c:pt>
                <c:pt idx="13">
                  <c:v>4320</c:v>
                </c:pt>
                <c:pt idx="14">
                  <c:v>61270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382528"/>
        <c:axId val="688036608"/>
      </c:lineChart>
      <c:catAx>
        <c:axId val="687382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88036608"/>
        <c:crosses val="autoZero"/>
        <c:auto val="1"/>
        <c:lblAlgn val="ctr"/>
        <c:lblOffset val="100"/>
        <c:noMultiLvlLbl val="0"/>
      </c:catAx>
      <c:valAx>
        <c:axId val="6880366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68738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"/>
                <c:pt idx="0">
                  <c:v>0% 0% 100% 42% 83% 66% 100% 50% 0% 0% 62% 0% 100%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0.9988700564971752</c:v>
                </c:pt>
                <c:pt idx="3">
                  <c:v>0.4162631154156578</c:v>
                </c:pt>
                <c:pt idx="4">
                  <c:v>0.82840909090909098</c:v>
                </c:pt>
                <c:pt idx="5">
                  <c:v>0.66470588235294115</c:v>
                </c:pt>
                <c:pt idx="6">
                  <c:v>1</c:v>
                </c:pt>
                <c:pt idx="7">
                  <c:v>0.49977477477477478</c:v>
                </c:pt>
                <c:pt idx="8">
                  <c:v>0</c:v>
                </c:pt>
                <c:pt idx="9">
                  <c:v>0</c:v>
                </c:pt>
                <c:pt idx="10">
                  <c:v>0.62358356940509918</c:v>
                </c:pt>
                <c:pt idx="11">
                  <c:v>0</c:v>
                </c:pt>
                <c:pt idx="12">
                  <c:v>0.99964664310954066</c:v>
                </c:pt>
                <c:pt idx="13">
                  <c:v>0.87378472222222225</c:v>
                </c:pt>
                <c:pt idx="14">
                  <c:v>0.9999673575975192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'31'!$D$6:$D$20</c:f>
              <c:strCache>
                <c:ptCount val="14"/>
                <c:pt idx="0">
                  <c:v>LOWER PLATE</c:v>
                </c:pt>
                <c:pt idx="1">
                  <c:v>COVER</c:v>
                </c:pt>
                <c:pt idx="2">
                  <c:v>STOPPER</c:v>
                </c:pt>
                <c:pt idx="3">
                  <c:v>203T</c:v>
                </c:pt>
                <c:pt idx="4">
                  <c:v>SLIDER</c:v>
                </c:pt>
                <c:pt idx="5">
                  <c:v>ACTUATOR</c:v>
                </c:pt>
                <c:pt idx="6">
                  <c:v>LEAD GUIDE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SAM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0.52700034748560143</c:v>
                </c:pt>
                <c:pt idx="1">
                  <c:v>0.52700034748560143</c:v>
                </c:pt>
                <c:pt idx="2">
                  <c:v>0.52700034748560143</c:v>
                </c:pt>
                <c:pt idx="3">
                  <c:v>0.52700034748560143</c:v>
                </c:pt>
                <c:pt idx="4">
                  <c:v>0.52700034748560143</c:v>
                </c:pt>
                <c:pt idx="5">
                  <c:v>0.52700034748560143</c:v>
                </c:pt>
                <c:pt idx="6">
                  <c:v>0.52700034748560143</c:v>
                </c:pt>
                <c:pt idx="7">
                  <c:v>0.52700034748560143</c:v>
                </c:pt>
                <c:pt idx="8">
                  <c:v>0.52700034748560143</c:v>
                </c:pt>
                <c:pt idx="9">
                  <c:v>0.52700034748560143</c:v>
                </c:pt>
                <c:pt idx="10">
                  <c:v>0.52700034748560143</c:v>
                </c:pt>
                <c:pt idx="11">
                  <c:v>0.52700034748560143</c:v>
                </c:pt>
                <c:pt idx="12">
                  <c:v>0.52700034748560143</c:v>
                </c:pt>
                <c:pt idx="13">
                  <c:v>0.52700034748560143</c:v>
                </c:pt>
                <c:pt idx="14">
                  <c:v>0.52700034748560143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383040"/>
        <c:axId val="686858816"/>
      </c:lineChart>
      <c:catAx>
        <c:axId val="68738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86858816"/>
        <c:crosses val="autoZero"/>
        <c:auto val="1"/>
        <c:lblAlgn val="ctr"/>
        <c:lblOffset val="100"/>
        <c:noMultiLvlLbl val="0"/>
      </c:catAx>
      <c:valAx>
        <c:axId val="686858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87383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0.39395493657923353</c:v>
                </c:pt>
                <c:pt idx="1">
                  <c:v>0.36315721219128633</c:v>
                </c:pt>
                <c:pt idx="2">
                  <c:v>0.36626798602044564</c:v>
                </c:pt>
                <c:pt idx="3">
                  <c:v>0.38299272754057662</c:v>
                </c:pt>
                <c:pt idx="4">
                  <c:v>0.40466400096233807</c:v>
                </c:pt>
                <c:pt idx="6">
                  <c:v>0.37437089472861629</c:v>
                </c:pt>
                <c:pt idx="7">
                  <c:v>0.54129359391718035</c:v>
                </c:pt>
                <c:pt idx="8">
                  <c:v>0.58008258368321697</c:v>
                </c:pt>
                <c:pt idx="9">
                  <c:v>0.33878798800720555</c:v>
                </c:pt>
                <c:pt idx="10">
                  <c:v>0.38004869210761527</c:v>
                </c:pt>
                <c:pt idx="13">
                  <c:v>0.49330063490981985</c:v>
                </c:pt>
                <c:pt idx="14">
                  <c:v>0.49676173702347409</c:v>
                </c:pt>
                <c:pt idx="15">
                  <c:v>0.41905170472970321</c:v>
                </c:pt>
                <c:pt idx="16">
                  <c:v>0.41361385576692983</c:v>
                </c:pt>
                <c:pt idx="17">
                  <c:v>0.47997973145388084</c:v>
                </c:pt>
                <c:pt idx="20">
                  <c:v>0.57138196583134682</c:v>
                </c:pt>
                <c:pt idx="21">
                  <c:v>0.50770600682389744</c:v>
                </c:pt>
                <c:pt idx="22">
                  <c:v>0.52002645411654791</c:v>
                </c:pt>
                <c:pt idx="23">
                  <c:v>0.48488145559992596</c:v>
                </c:pt>
                <c:pt idx="24">
                  <c:v>0.56605060848734889</c:v>
                </c:pt>
                <c:pt idx="27">
                  <c:v>0.34673696955901895</c:v>
                </c:pt>
                <c:pt idx="28">
                  <c:v>0.48529813669279459</c:v>
                </c:pt>
                <c:pt idx="29">
                  <c:v>0.48542972736284601</c:v>
                </c:pt>
                <c:pt idx="30">
                  <c:v>0.52700034748560143</c:v>
                </c:pt>
                <c:pt idx="31">
                  <c:v>0.35234967585744681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7383552"/>
        <c:axId val="6868611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383552"/>
        <c:axId val="686861120"/>
      </c:lineChart>
      <c:catAx>
        <c:axId val="68738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686861120"/>
        <c:crosses val="autoZero"/>
        <c:auto val="1"/>
        <c:lblAlgn val="ctr"/>
        <c:lblOffset val="100"/>
        <c:noMultiLvlLbl val="0"/>
      </c:catAx>
      <c:valAx>
        <c:axId val="686861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873835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425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732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0" sqref="AI10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393" t="s">
        <v>188</v>
      </c>
      <c r="B1" s="393"/>
      <c r="C1" s="393"/>
      <c r="D1" s="393"/>
      <c r="E1" s="393"/>
      <c r="F1" s="393"/>
      <c r="G1" s="393"/>
      <c r="H1" s="393"/>
    </row>
    <row r="2" spans="1:33" ht="21.75" customHeight="1" thickBot="1">
      <c r="A2" s="96" t="s">
        <v>61</v>
      </c>
      <c r="B2" s="98" t="s">
        <v>76</v>
      </c>
      <c r="C2" s="99" t="s">
        <v>77</v>
      </c>
      <c r="D2" s="99" t="s">
        <v>78</v>
      </c>
      <c r="E2" s="99" t="s">
        <v>79</v>
      </c>
      <c r="F2" s="99" t="s">
        <v>80</v>
      </c>
      <c r="G2" s="99" t="s">
        <v>81</v>
      </c>
      <c r="H2" s="99" t="s">
        <v>82</v>
      </c>
      <c r="I2" s="99" t="s">
        <v>83</v>
      </c>
      <c r="J2" s="99" t="s">
        <v>84</v>
      </c>
      <c r="K2" s="99" t="s">
        <v>85</v>
      </c>
      <c r="L2" s="99" t="s">
        <v>86</v>
      </c>
      <c r="M2" s="99" t="s">
        <v>87</v>
      </c>
      <c r="N2" s="99" t="s">
        <v>88</v>
      </c>
      <c r="O2" s="99" t="s">
        <v>89</v>
      </c>
      <c r="P2" s="99" t="s">
        <v>90</v>
      </c>
      <c r="Q2" s="99" t="s">
        <v>91</v>
      </c>
      <c r="R2" s="99" t="s">
        <v>92</v>
      </c>
      <c r="S2" s="99" t="s">
        <v>93</v>
      </c>
      <c r="T2" s="99" t="s">
        <v>94</v>
      </c>
      <c r="U2" s="99" t="s">
        <v>95</v>
      </c>
      <c r="V2" s="99" t="s">
        <v>96</v>
      </c>
      <c r="W2" s="99" t="s">
        <v>97</v>
      </c>
      <c r="X2" s="99" t="s">
        <v>98</v>
      </c>
      <c r="Y2" s="99" t="s">
        <v>99</v>
      </c>
      <c r="Z2" s="99" t="s">
        <v>100</v>
      </c>
      <c r="AA2" s="99" t="s">
        <v>101</v>
      </c>
      <c r="AB2" s="99" t="s">
        <v>102</v>
      </c>
      <c r="AC2" s="99" t="s">
        <v>103</v>
      </c>
      <c r="AD2" s="99" t="s">
        <v>104</v>
      </c>
      <c r="AE2" s="99" t="s">
        <v>105</v>
      </c>
      <c r="AF2" s="100" t="s">
        <v>106</v>
      </c>
      <c r="AG2" s="96" t="s">
        <v>108</v>
      </c>
    </row>
    <row r="3" spans="1:33" ht="21.75" customHeight="1">
      <c r="A3" s="116" t="s">
        <v>62</v>
      </c>
      <c r="B3" s="111">
        <f>'01'!AD6</f>
        <v>0</v>
      </c>
      <c r="C3" s="111">
        <f>'02'!AD6</f>
        <v>0</v>
      </c>
      <c r="D3" s="104">
        <f>'03'!AD6</f>
        <v>0</v>
      </c>
      <c r="E3" s="104">
        <f>'04'!AD6</f>
        <v>0</v>
      </c>
      <c r="F3" s="104">
        <f>'05'!AD6</f>
        <v>0</v>
      </c>
      <c r="G3" s="104"/>
      <c r="H3" s="104">
        <f>'07'!AD6</f>
        <v>0</v>
      </c>
      <c r="I3" s="104">
        <f>'08'!AD6</f>
        <v>0</v>
      </c>
      <c r="J3" s="104">
        <f>'09'!AD6</f>
        <v>0</v>
      </c>
      <c r="K3" s="104">
        <f>'10'!AD6</f>
        <v>0</v>
      </c>
      <c r="L3" s="104">
        <f>'11'!AD6</f>
        <v>0</v>
      </c>
      <c r="M3" s="104"/>
      <c r="N3" s="122"/>
      <c r="O3" s="104">
        <f>'14'!AD6</f>
        <v>0</v>
      </c>
      <c r="P3" s="104">
        <f>'15'!AD6</f>
        <v>0</v>
      </c>
      <c r="Q3" s="104">
        <f>'16'!AD6</f>
        <v>0</v>
      </c>
      <c r="R3" s="104">
        <f>'17'!AD6</f>
        <v>0</v>
      </c>
      <c r="S3" s="104">
        <f>'18'!AD6</f>
        <v>0</v>
      </c>
      <c r="T3" s="104"/>
      <c r="U3" s="104"/>
      <c r="V3" s="104">
        <f>'21'!AD6</f>
        <v>0</v>
      </c>
      <c r="W3" s="122">
        <f>'22'!AD6</f>
        <v>0</v>
      </c>
      <c r="X3" s="104">
        <f>'23'!AD6</f>
        <v>0</v>
      </c>
      <c r="Y3" s="104">
        <f>'24'!AD6</f>
        <v>0</v>
      </c>
      <c r="Z3" s="104">
        <f>'25'!AD6</f>
        <v>0</v>
      </c>
      <c r="AA3" s="104"/>
      <c r="AB3" s="104"/>
      <c r="AC3" s="104">
        <f>'28'!AD6</f>
        <v>0</v>
      </c>
      <c r="AD3" s="104">
        <f>'29'!AD6</f>
        <v>0</v>
      </c>
      <c r="AE3" s="104">
        <f>'30'!AD6</f>
        <v>0</v>
      </c>
      <c r="AF3" s="105">
        <f>'31'!AD6</f>
        <v>0</v>
      </c>
      <c r="AG3" s="107">
        <f>SUM(B3:AF3)/31</f>
        <v>0</v>
      </c>
    </row>
    <row r="4" spans="1:33" ht="21.75" customHeight="1">
      <c r="A4" s="117" t="s">
        <v>63</v>
      </c>
      <c r="B4" s="112">
        <f>'01'!AD7</f>
        <v>0</v>
      </c>
      <c r="C4" s="112">
        <f>'02'!AD7</f>
        <v>0.16432748538011693</v>
      </c>
      <c r="D4" s="81">
        <f>'03'!AD7</f>
        <v>0.74876033057851243</v>
      </c>
      <c r="E4" s="81">
        <f>'04'!AD7</f>
        <v>0.70833333333333337</v>
      </c>
      <c r="F4" s="81">
        <f>'05'!AD7</f>
        <v>0.45813230994152049</v>
      </c>
      <c r="G4" s="81"/>
      <c r="H4" s="81">
        <f>'07'!AD7</f>
        <v>0</v>
      </c>
      <c r="I4" s="81">
        <f>'08'!AD7</f>
        <v>0.91666666666666663</v>
      </c>
      <c r="J4" s="81">
        <f>'09'!AD7</f>
        <v>0.999</v>
      </c>
      <c r="K4" s="81">
        <f>'10'!AD7</f>
        <v>0.99966101694915255</v>
      </c>
      <c r="L4" s="81">
        <f>'11'!AD7</f>
        <v>0.4998015873015873</v>
      </c>
      <c r="M4" s="81"/>
      <c r="N4" s="81"/>
      <c r="O4" s="81">
        <f>'14'!AD7</f>
        <v>0</v>
      </c>
      <c r="P4" s="81">
        <f>'15'!AD7</f>
        <v>0</v>
      </c>
      <c r="Q4" s="81">
        <f>'16'!AD7</f>
        <v>0</v>
      </c>
      <c r="R4" s="81">
        <f>'17'!AD7</f>
        <v>0.70789877300613502</v>
      </c>
      <c r="S4" s="81">
        <f>'18'!AD7</f>
        <v>0.99950331125827818</v>
      </c>
      <c r="T4" s="81"/>
      <c r="U4" s="81"/>
      <c r="V4" s="81">
        <f>'21'!AD7</f>
        <v>0.99961165048543688</v>
      </c>
      <c r="W4" s="81">
        <f>'22'!AD7</f>
        <v>1</v>
      </c>
      <c r="X4" s="81">
        <f>'23'!AD7</f>
        <v>0.99961904761904763</v>
      </c>
      <c r="Y4" s="81">
        <f>'24'!AD7</f>
        <v>0.25</v>
      </c>
      <c r="Z4" s="81">
        <f>'25'!AD7</f>
        <v>0.70804771505376352</v>
      </c>
      <c r="AA4" s="81"/>
      <c r="AB4" s="81"/>
      <c r="AC4" s="81">
        <f>'28'!AD7</f>
        <v>0.24969969969969971</v>
      </c>
      <c r="AD4" s="81">
        <f>'29'!AD7</f>
        <v>0</v>
      </c>
      <c r="AE4" s="81">
        <f>'30'!AD7</f>
        <v>0</v>
      </c>
      <c r="AF4" s="82">
        <f>'31'!AD7</f>
        <v>0</v>
      </c>
      <c r="AG4" s="83">
        <f>SUM(B4:AF4)/31</f>
        <v>0.36803428797655652</v>
      </c>
    </row>
    <row r="5" spans="1:33" ht="21.75" customHeight="1">
      <c r="A5" s="118" t="s">
        <v>64</v>
      </c>
      <c r="B5" s="113">
        <f>'01'!AD8</f>
        <v>0.99980620155038757</v>
      </c>
      <c r="C5" s="113">
        <f>'02'!AD8</f>
        <v>0.99823529411764711</v>
      </c>
      <c r="D5" s="84">
        <f>'03'!AD8</f>
        <v>0.70684880239520964</v>
      </c>
      <c r="E5" s="84">
        <f>'04'!AD8</f>
        <v>0.99836660617059891</v>
      </c>
      <c r="F5" s="84">
        <f>'05'!AD8</f>
        <v>0.99950166112956806</v>
      </c>
      <c r="G5" s="84"/>
      <c r="H5" s="84">
        <f>'07'!AD8</f>
        <v>0.58183760683760688</v>
      </c>
      <c r="I5" s="84">
        <f>'08'!AD8</f>
        <v>0.74900662251655625</v>
      </c>
      <c r="J5" s="84">
        <f>'09'!AD8</f>
        <v>0.91666666666666663</v>
      </c>
      <c r="K5" s="84">
        <f>'10'!AD8</f>
        <v>0.95833333333333337</v>
      </c>
      <c r="L5" s="84">
        <f>'11'!AD8</f>
        <v>0.99953416149068319</v>
      </c>
      <c r="M5" s="84"/>
      <c r="N5" s="84"/>
      <c r="O5" s="84">
        <f>'14'!AD8</f>
        <v>0.99904942965779464</v>
      </c>
      <c r="P5" s="84">
        <f>'15'!AD8</f>
        <v>0.99870340356564025</v>
      </c>
      <c r="Q5" s="84">
        <f>'16'!AD8</f>
        <v>0.79166666666666663</v>
      </c>
      <c r="R5" s="84">
        <f>'17'!AD8</f>
        <v>0.99817813765182184</v>
      </c>
      <c r="S5" s="84">
        <f>'18'!AD8</f>
        <v>0.99981684981684982</v>
      </c>
      <c r="T5" s="84"/>
      <c r="U5" s="84"/>
      <c r="V5" s="84">
        <f>'21'!AD8</f>
        <v>0.99933035714285712</v>
      </c>
      <c r="W5" s="123">
        <f>'22'!AD8</f>
        <v>0.83311051693404636</v>
      </c>
      <c r="X5" s="84">
        <f>'23'!AD8</f>
        <v>0.99955703211517166</v>
      </c>
      <c r="Y5" s="84">
        <f>'24'!AD8</f>
        <v>0.99765625000000002</v>
      </c>
      <c r="Z5" s="84">
        <f>'25'!AD8</f>
        <v>0.9989561586638831</v>
      </c>
      <c r="AA5" s="84"/>
      <c r="AB5" s="84"/>
      <c r="AC5" s="84">
        <f>'28'!AD8</f>
        <v>0.2491279069767442</v>
      </c>
      <c r="AD5" s="84">
        <f>'29'!AD8</f>
        <v>0.83191747572815544</v>
      </c>
      <c r="AE5" s="84">
        <f>'30'!AD8</f>
        <v>0.9988721804511278</v>
      </c>
      <c r="AF5" s="85">
        <f>'31'!AD8</f>
        <v>0.9988700564971752</v>
      </c>
      <c r="AG5" s="86">
        <f t="shared" ref="AG5:AG18" si="0">SUM(B5:AF5)/31</f>
        <v>0.69686933477665125</v>
      </c>
    </row>
    <row r="6" spans="1:33" ht="21.75" customHeight="1">
      <c r="A6" s="119" t="s">
        <v>65</v>
      </c>
      <c r="B6" s="114">
        <f>'01'!AD9</f>
        <v>0.3328888888888889</v>
      </c>
      <c r="C6" s="114">
        <f>'02'!AD9</f>
        <v>0.95773312456506621</v>
      </c>
      <c r="D6" s="87">
        <f>'03'!AD9</f>
        <v>0.99980769230769229</v>
      </c>
      <c r="E6" s="87">
        <f>'04'!AD9</f>
        <v>0</v>
      </c>
      <c r="F6" s="87">
        <f>'05'!AD9</f>
        <v>0.78279040404040401</v>
      </c>
      <c r="G6" s="87"/>
      <c r="H6" s="87">
        <f>'07'!AD9</f>
        <v>0</v>
      </c>
      <c r="I6" s="87">
        <f>'08'!AD9</f>
        <v>0.66478578892371987</v>
      </c>
      <c r="J6" s="87">
        <f>'09'!AD9</f>
        <v>0.74843283582089548</v>
      </c>
      <c r="K6" s="87">
        <f>'10'!AD9</f>
        <v>0</v>
      </c>
      <c r="L6" s="87">
        <f>'11'!AD9</f>
        <v>0.37316433566433566</v>
      </c>
      <c r="M6" s="87"/>
      <c r="N6" s="87"/>
      <c r="O6" s="87">
        <f>'14'!AD9</f>
        <v>0.79137983091787434</v>
      </c>
      <c r="P6" s="87">
        <f>'15'!AD9</f>
        <v>0.70774469067405354</v>
      </c>
      <c r="Q6" s="87">
        <f>'16'!AD9</f>
        <v>0.33303030303030301</v>
      </c>
      <c r="R6" s="87">
        <f>'17'!AD9</f>
        <v>0.99980657640232107</v>
      </c>
      <c r="S6" s="87">
        <f>'18'!AD9</f>
        <v>0.91520833333333329</v>
      </c>
      <c r="T6" s="87"/>
      <c r="U6" s="87"/>
      <c r="V6" s="87">
        <f>'21'!AD9</f>
        <v>0.99978813559322033</v>
      </c>
      <c r="W6" s="87">
        <f>'22'!AD9</f>
        <v>0.16617647058823529</v>
      </c>
      <c r="X6" s="87">
        <f>'23'!AD9+'23'!AD10</f>
        <v>0.33252364919031585</v>
      </c>
      <c r="Y6" s="87">
        <f>'24'!AD9</f>
        <v>0.16666666666666666</v>
      </c>
      <c r="Z6" s="87">
        <f>'25'!AD9+'25'!AD10</f>
        <v>0.83181818181818179</v>
      </c>
      <c r="AA6" s="87"/>
      <c r="AB6" s="87"/>
      <c r="AC6" s="87">
        <f>'28'!AD9+'28'!AD10</f>
        <v>0.91645962732919251</v>
      </c>
      <c r="AD6" s="87">
        <f>'29'!AD9+'29'!AD10</f>
        <v>0.41666666666666663</v>
      </c>
      <c r="AE6" s="87">
        <f>'30'!AD9</f>
        <v>0.62070707070707065</v>
      </c>
      <c r="AF6" s="88">
        <f>'31'!AD9</f>
        <v>0.4162631154156578</v>
      </c>
      <c r="AG6" s="89">
        <f t="shared" si="0"/>
        <v>0.4346400770498095</v>
      </c>
    </row>
    <row r="7" spans="1:33" ht="21.75" customHeight="1">
      <c r="A7" s="119" t="s">
        <v>66</v>
      </c>
      <c r="B7" s="114">
        <f>'01'!AD10</f>
        <v>0</v>
      </c>
      <c r="C7" s="114">
        <f>'02'!AD10</f>
        <v>0.16356589147286821</v>
      </c>
      <c r="D7" s="87">
        <f>'03'!AD10</f>
        <v>0</v>
      </c>
      <c r="E7" s="87">
        <f>'04'!AD10</f>
        <v>0</v>
      </c>
      <c r="F7" s="87">
        <f>'05'!AD10</f>
        <v>0</v>
      </c>
      <c r="G7" s="87"/>
      <c r="H7" s="87">
        <f>'07'!AD10</f>
        <v>0.49779411764705883</v>
      </c>
      <c r="I7" s="87">
        <f>'08'!AD10</f>
        <v>0.25</v>
      </c>
      <c r="J7" s="87">
        <f>'09'!AD10</f>
        <v>0.95832353692818817</v>
      </c>
      <c r="K7" s="87">
        <f>'10'!AD10</f>
        <v>0.58305508233957981</v>
      </c>
      <c r="L7" s="87">
        <f>'11'!AD10</f>
        <v>0.95632751937984495</v>
      </c>
      <c r="M7" s="87"/>
      <c r="N7" s="87"/>
      <c r="O7" s="87">
        <f>'14'!AD10</f>
        <v>0.79166666666666663</v>
      </c>
      <c r="P7" s="87">
        <f>'15'!AD10</f>
        <v>1</v>
      </c>
      <c r="Q7" s="87">
        <f>'16'!AD10</f>
        <v>0.58310546875000002</v>
      </c>
      <c r="R7" s="87">
        <f>'17'!AD10</f>
        <v>0.79109437751004019</v>
      </c>
      <c r="S7" s="87">
        <f>'18'!AD10</f>
        <v>0.87353556485355643</v>
      </c>
      <c r="T7" s="87"/>
      <c r="U7" s="87"/>
      <c r="V7" s="87">
        <f>'21'!AD10</f>
        <v>0.99905482041587901</v>
      </c>
      <c r="W7" s="87">
        <f>'22'!AD10</f>
        <v>0.79148796087283668</v>
      </c>
      <c r="X7" s="87">
        <f>'23'!AD11</f>
        <v>0.57060606060606067</v>
      </c>
      <c r="Y7" s="87">
        <f>'24'!AD10</f>
        <v>0.74744680851063827</v>
      </c>
      <c r="Z7" s="87">
        <f>'25'!AD11</f>
        <v>0</v>
      </c>
      <c r="AA7" s="87"/>
      <c r="AB7" s="87"/>
      <c r="AC7" s="87">
        <f>'28'!AD11</f>
        <v>0</v>
      </c>
      <c r="AD7" s="87">
        <f>'29'!AD11</f>
        <v>0.45647880539499036</v>
      </c>
      <c r="AE7" s="87">
        <f>'30'!AD10</f>
        <v>0.41518737672583828</v>
      </c>
      <c r="AF7" s="88">
        <f>'31'!AD10</f>
        <v>0.82840909090909098</v>
      </c>
      <c r="AG7" s="89">
        <f t="shared" si="0"/>
        <v>0.39539158545106895</v>
      </c>
    </row>
    <row r="8" spans="1:33" ht="21.75" customHeight="1">
      <c r="A8" s="119" t="s">
        <v>67</v>
      </c>
      <c r="B8" s="114">
        <f>'01'!AD11</f>
        <v>0</v>
      </c>
      <c r="C8" s="114">
        <f>'02'!AD11</f>
        <v>0</v>
      </c>
      <c r="D8" s="87">
        <f>'03'!AD11</f>
        <v>0</v>
      </c>
      <c r="E8" s="87">
        <f>'04'!AD11</f>
        <v>0.24843750000000001</v>
      </c>
      <c r="F8" s="87">
        <f>'05'!AD11</f>
        <v>0.20833333333333334</v>
      </c>
      <c r="G8" s="87"/>
      <c r="H8" s="87">
        <f>'07'!AD11</f>
        <v>0</v>
      </c>
      <c r="I8" s="87">
        <f>'08'!AD11</f>
        <v>0.6238594890510949</v>
      </c>
      <c r="J8" s="87">
        <f>'09'!AD11</f>
        <v>0.24868421052631579</v>
      </c>
      <c r="K8" s="87">
        <f>'10'!AD11</f>
        <v>0</v>
      </c>
      <c r="L8" s="87">
        <f>'11'!AD11</f>
        <v>0</v>
      </c>
      <c r="M8" s="87"/>
      <c r="N8" s="87"/>
      <c r="O8" s="87">
        <f>'14'!AD11</f>
        <v>0</v>
      </c>
      <c r="P8" s="87">
        <f>'15'!AD11</f>
        <v>0</v>
      </c>
      <c r="Q8" s="87">
        <f>'16'!AD11</f>
        <v>0</v>
      </c>
      <c r="R8" s="87">
        <f>'17'!AD11</f>
        <v>0</v>
      </c>
      <c r="S8" s="87">
        <f>'18'!AD11</f>
        <v>0</v>
      </c>
      <c r="T8" s="87"/>
      <c r="U8" s="87"/>
      <c r="V8" s="87">
        <f>'21'!AD11</f>
        <v>0</v>
      </c>
      <c r="W8" s="87">
        <f>'22'!AD11</f>
        <v>0.16666666666666666</v>
      </c>
      <c r="X8" s="87">
        <f>'23'!AD12</f>
        <v>0</v>
      </c>
      <c r="Y8" s="87">
        <f>'24'!AD11</f>
        <v>0</v>
      </c>
      <c r="Z8" s="87">
        <f>'25'!AD12</f>
        <v>0</v>
      </c>
      <c r="AA8" s="87"/>
      <c r="AB8" s="87"/>
      <c r="AC8" s="87">
        <f>'28'!AD12</f>
        <v>0</v>
      </c>
      <c r="AD8" s="87">
        <f>'29'!AD12</f>
        <v>0.91580392156862744</v>
      </c>
      <c r="AE8" s="87">
        <f>'30'!AD11</f>
        <v>0.24965277777777778</v>
      </c>
      <c r="AF8" s="88">
        <f>'31'!AD11</f>
        <v>0.66470588235294115</v>
      </c>
      <c r="AG8" s="89">
        <f t="shared" si="0"/>
        <v>0.107294960686347</v>
      </c>
    </row>
    <row r="9" spans="1:33" ht="21.75" customHeight="1">
      <c r="A9" s="119" t="s">
        <v>68</v>
      </c>
      <c r="B9" s="114">
        <f>'01'!AD12</f>
        <v>0.99978213507625269</v>
      </c>
      <c r="C9" s="114">
        <f>'02'!AD12</f>
        <v>0.16666666666666666</v>
      </c>
      <c r="D9" s="87">
        <f>'03'!AD12</f>
        <v>0.79118098159509198</v>
      </c>
      <c r="E9" s="87">
        <f>'04'!AD12</f>
        <v>0.99873150105708242</v>
      </c>
      <c r="F9" s="87">
        <f>'05'!AD12</f>
        <v>0.49879807692307693</v>
      </c>
      <c r="G9" s="87"/>
      <c r="H9" s="87">
        <f>'07'!AD12</f>
        <v>0.58194444444444449</v>
      </c>
      <c r="I9" s="87">
        <f>'08'!AD12</f>
        <v>0.9997802197802198</v>
      </c>
      <c r="J9" s="87">
        <f>'09'!AD12</f>
        <v>0</v>
      </c>
      <c r="K9" s="87">
        <f>'10'!AD12</f>
        <v>0</v>
      </c>
      <c r="L9" s="87">
        <f>'11'!AD12</f>
        <v>0</v>
      </c>
      <c r="M9" s="87"/>
      <c r="N9" s="87"/>
      <c r="O9" s="87">
        <f>'14'!AD12</f>
        <v>0.8315266485998194</v>
      </c>
      <c r="P9" s="87">
        <f>'15'!AD12</f>
        <v>0.99899598393574296</v>
      </c>
      <c r="Q9" s="87">
        <f>'16'!AD12</f>
        <v>0.91587129428778014</v>
      </c>
      <c r="R9" s="87">
        <f>'17'!AD12+'17'!AD13</f>
        <v>0.58248456790123448</v>
      </c>
      <c r="S9" s="87">
        <f>'18'!AD12</f>
        <v>0</v>
      </c>
      <c r="T9" s="87"/>
      <c r="U9" s="87"/>
      <c r="V9" s="87">
        <f>'21'!AD12</f>
        <v>0.74827868852459023</v>
      </c>
      <c r="W9" s="87">
        <f>'22'!AD12</f>
        <v>0.99961759082217971</v>
      </c>
      <c r="X9" s="87">
        <f>'23'!AD13</f>
        <v>0.98374760994263866</v>
      </c>
      <c r="Y9" s="87">
        <f>'24'!AD12</f>
        <v>0.29022633744855969</v>
      </c>
      <c r="Z9" s="87">
        <f>'25'!AD13</f>
        <v>0.95833333333333337</v>
      </c>
      <c r="AA9" s="87"/>
      <c r="AB9" s="87"/>
      <c r="AC9" s="87">
        <f>'28'!AD13</f>
        <v>0.99888888888888894</v>
      </c>
      <c r="AD9" s="87">
        <f>'29'!AD13</f>
        <v>0.83231707317073178</v>
      </c>
      <c r="AE9" s="87">
        <f>'30'!AD12</f>
        <v>0.9987132352941176</v>
      </c>
      <c r="AF9" s="88">
        <f>'31'!AD12</f>
        <v>1</v>
      </c>
      <c r="AG9" s="89">
        <f t="shared" si="0"/>
        <v>0.52180275089330486</v>
      </c>
    </row>
    <row r="10" spans="1:33" ht="21.75" customHeight="1">
      <c r="A10" s="119" t="s">
        <v>69</v>
      </c>
      <c r="B10" s="114">
        <f>'01'!AD13</f>
        <v>0.99881556683587136</v>
      </c>
      <c r="C10" s="114">
        <f>'02'!AD13</f>
        <v>0</v>
      </c>
      <c r="D10" s="87">
        <f>'03'!AD13+'03'!AD14</f>
        <v>0.5</v>
      </c>
      <c r="E10" s="87">
        <f>'04'!AD13</f>
        <v>0</v>
      </c>
      <c r="F10" s="87">
        <f>'05'!AD13</f>
        <v>0</v>
      </c>
      <c r="G10" s="87"/>
      <c r="H10" s="87">
        <f>'07'!AD13</f>
        <v>0</v>
      </c>
      <c r="I10" s="87">
        <f>'08'!AD13</f>
        <v>0</v>
      </c>
      <c r="J10" s="87">
        <f>'09'!AD13</f>
        <v>0.74925986842105263</v>
      </c>
      <c r="K10" s="87">
        <f>'10'!AD13</f>
        <v>0</v>
      </c>
      <c r="L10" s="87">
        <f>'11'!AD13</f>
        <v>0</v>
      </c>
      <c r="M10" s="87"/>
      <c r="N10" s="87"/>
      <c r="O10" s="87">
        <f>'14'!AD13</f>
        <v>0</v>
      </c>
      <c r="P10" s="87">
        <f>'15'!AD13</f>
        <v>0</v>
      </c>
      <c r="Q10" s="87">
        <f>'16'!AD13</f>
        <v>0</v>
      </c>
      <c r="R10" s="87">
        <f>'17'!AD14</f>
        <v>0</v>
      </c>
      <c r="S10" s="87">
        <f>'18'!AD13</f>
        <v>0.16454545454545455</v>
      </c>
      <c r="T10" s="87"/>
      <c r="U10" s="87"/>
      <c r="V10" s="87">
        <f>'21'!AD13+'21'!AD14</f>
        <v>0.62054093567251467</v>
      </c>
      <c r="W10" s="87">
        <f>'22'!AD13</f>
        <v>0.16638888888888886</v>
      </c>
      <c r="X10" s="87">
        <f>'23'!AD14</f>
        <v>0</v>
      </c>
      <c r="Y10" s="87">
        <f>'24'!AD13</f>
        <v>0.33174603174603173</v>
      </c>
      <c r="Z10" s="87">
        <f>'25'!AD14</f>
        <v>0.66456140350877191</v>
      </c>
      <c r="AA10" s="87"/>
      <c r="AB10" s="87"/>
      <c r="AC10" s="87">
        <f>'28'!AD14</f>
        <v>0.24924242424242424</v>
      </c>
      <c r="AD10" s="87">
        <f>'29'!AD14</f>
        <v>0.41386217948717952</v>
      </c>
      <c r="AE10" s="87">
        <f>'30'!AD13</f>
        <v>0</v>
      </c>
      <c r="AF10" s="88">
        <f>'31'!AD13</f>
        <v>0.49977477477477478</v>
      </c>
      <c r="AG10" s="89">
        <f t="shared" si="0"/>
        <v>0.17286250090719238</v>
      </c>
    </row>
    <row r="11" spans="1:33" ht="21.75" customHeight="1">
      <c r="A11" s="118" t="s">
        <v>70</v>
      </c>
      <c r="B11" s="113">
        <f>'01'!AD14</f>
        <v>0.33205128205128204</v>
      </c>
      <c r="C11" s="113">
        <f>'02'!AD14</f>
        <v>0.33205128205128204</v>
      </c>
      <c r="D11" s="84">
        <f>'03'!AD15</f>
        <v>0</v>
      </c>
      <c r="E11" s="84">
        <f>'04'!AD14</f>
        <v>0</v>
      </c>
      <c r="F11" s="84">
        <f>'05'!AD14</f>
        <v>0</v>
      </c>
      <c r="G11" s="84"/>
      <c r="H11" s="84">
        <f>'07'!AD14</f>
        <v>0</v>
      </c>
      <c r="I11" s="84">
        <f>'08'!AD14</f>
        <v>0</v>
      </c>
      <c r="J11" s="84">
        <f>'09'!AD14</f>
        <v>0</v>
      </c>
      <c r="K11" s="84">
        <f>'10'!AD14</f>
        <v>0</v>
      </c>
      <c r="L11" s="84">
        <f>'11'!AD14</f>
        <v>0</v>
      </c>
      <c r="M11" s="84"/>
      <c r="N11" s="84"/>
      <c r="O11" s="84">
        <f>'14'!AD14</f>
        <v>0</v>
      </c>
      <c r="P11" s="84">
        <f>'15'!AD14</f>
        <v>0</v>
      </c>
      <c r="Q11" s="84">
        <f>'16'!AD14</f>
        <v>0</v>
      </c>
      <c r="R11" s="84">
        <f>'17'!AD15</f>
        <v>0</v>
      </c>
      <c r="S11" s="84">
        <f>'18'!AD14</f>
        <v>0</v>
      </c>
      <c r="T11" s="84"/>
      <c r="U11" s="84"/>
      <c r="V11" s="84">
        <f>'21'!AD15</f>
        <v>0</v>
      </c>
      <c r="W11" s="84">
        <f>'22'!AD14</f>
        <v>0</v>
      </c>
      <c r="X11" s="84">
        <f>'23'!AD15</f>
        <v>0</v>
      </c>
      <c r="Y11" s="84">
        <f>'24'!AD14</f>
        <v>0.16060606060606059</v>
      </c>
      <c r="Z11" s="84">
        <f>'25'!AD15</f>
        <v>0.41666666666666669</v>
      </c>
      <c r="AA11" s="84"/>
      <c r="AB11" s="84"/>
      <c r="AC11" s="84">
        <f>'28'!AD15</f>
        <v>0</v>
      </c>
      <c r="AD11" s="84">
        <f>'29'!AD15</f>
        <v>0</v>
      </c>
      <c r="AE11" s="84">
        <f>'30'!AD14</f>
        <v>0</v>
      </c>
      <c r="AF11" s="85">
        <f>'31'!AD14</f>
        <v>0</v>
      </c>
      <c r="AG11" s="86">
        <f t="shared" si="0"/>
        <v>4.0044364237912626E-2</v>
      </c>
    </row>
    <row r="12" spans="1:33" ht="21.75" customHeight="1">
      <c r="A12" s="118" t="s">
        <v>71</v>
      </c>
      <c r="B12" s="113">
        <f>'01'!AD15</f>
        <v>0</v>
      </c>
      <c r="C12" s="113">
        <f>'02'!AD15</f>
        <v>0</v>
      </c>
      <c r="D12" s="84">
        <f>'03'!AD16</f>
        <v>0</v>
      </c>
      <c r="E12" s="84">
        <f>'04'!AD15</f>
        <v>0</v>
      </c>
      <c r="F12" s="84">
        <f>'05'!AD15</f>
        <v>0</v>
      </c>
      <c r="G12" s="84"/>
      <c r="H12" s="84">
        <f>'07'!AD15</f>
        <v>0</v>
      </c>
      <c r="I12" s="84">
        <f>'08'!AD15</f>
        <v>0</v>
      </c>
      <c r="J12" s="84">
        <f>'09'!AD15</f>
        <v>0</v>
      </c>
      <c r="K12" s="84">
        <f>'10'!AD15</f>
        <v>0</v>
      </c>
      <c r="L12" s="84">
        <f>'11'!AD15</f>
        <v>0</v>
      </c>
      <c r="M12" s="84"/>
      <c r="N12" s="84"/>
      <c r="O12" s="84">
        <f>'14'!AD15</f>
        <v>0</v>
      </c>
      <c r="P12" s="84">
        <f>'15'!AD15</f>
        <v>0</v>
      </c>
      <c r="Q12" s="84">
        <f>'16'!AD15</f>
        <v>0.66595492289442459</v>
      </c>
      <c r="R12" s="84">
        <f>'17'!AD16</f>
        <v>0</v>
      </c>
      <c r="S12" s="84">
        <f>'18'!AD15</f>
        <v>0</v>
      </c>
      <c r="T12" s="84"/>
      <c r="U12" s="84"/>
      <c r="V12" s="84">
        <f>'21'!AD16</f>
        <v>0</v>
      </c>
      <c r="W12" s="84">
        <f>'22'!AD15</f>
        <v>0</v>
      </c>
      <c r="X12" s="84">
        <f>'23'!AD16</f>
        <v>0</v>
      </c>
      <c r="Y12" s="84">
        <f>'24'!AD15</f>
        <v>0.58269230769230773</v>
      </c>
      <c r="Z12" s="84">
        <f>'25'!AD16</f>
        <v>0</v>
      </c>
      <c r="AA12" s="84"/>
      <c r="AB12" s="84"/>
      <c r="AC12" s="84">
        <f>'28'!AD16</f>
        <v>0</v>
      </c>
      <c r="AD12" s="84">
        <f>'29'!AD16</f>
        <v>0</v>
      </c>
      <c r="AE12" s="84">
        <f>'30'!AD15</f>
        <v>0</v>
      </c>
      <c r="AF12" s="85">
        <f>'31'!AD15</f>
        <v>0</v>
      </c>
      <c r="AG12" s="86">
        <f t="shared" si="0"/>
        <v>4.0278942922152658E-2</v>
      </c>
    </row>
    <row r="13" spans="1:33" ht="21.75" customHeight="1">
      <c r="A13" s="118" t="s">
        <v>72</v>
      </c>
      <c r="B13" s="113">
        <f>'01'!AD16</f>
        <v>0.87398491879350348</v>
      </c>
      <c r="C13" s="113">
        <f>'02'!AD16</f>
        <v>1</v>
      </c>
      <c r="D13" s="84">
        <f>'03'!AD17</f>
        <v>0.99877408056042027</v>
      </c>
      <c r="E13" s="84">
        <f>'04'!AD16</f>
        <v>0.75</v>
      </c>
      <c r="F13" s="84">
        <f>'05'!AD16</f>
        <v>0.99864176570458407</v>
      </c>
      <c r="G13" s="84"/>
      <c r="H13" s="84">
        <f>'07'!AD16</f>
        <v>0.99823529411764711</v>
      </c>
      <c r="I13" s="84">
        <f>'08'!AD16</f>
        <v>0.99909747292418771</v>
      </c>
      <c r="J13" s="84">
        <f>'09'!AD16</f>
        <v>0.99827160493827161</v>
      </c>
      <c r="K13" s="84">
        <f>'10'!AD16</f>
        <v>0.54117199391171988</v>
      </c>
      <c r="L13" s="84">
        <f>'11'!AD16</f>
        <v>0.99850000000000005</v>
      </c>
      <c r="M13" s="84"/>
      <c r="N13" s="84"/>
      <c r="O13" s="84">
        <f>'14'!AD16</f>
        <v>0.99814814814814812</v>
      </c>
      <c r="P13" s="84">
        <f>'15'!AD16</f>
        <v>0.41618497109826591</v>
      </c>
      <c r="Q13" s="84">
        <f>'16'!AD16</f>
        <v>0.78982558139534875</v>
      </c>
      <c r="R13" s="84">
        <f>'17'!AD17</f>
        <v>0.99981412639405209</v>
      </c>
      <c r="S13" s="84">
        <f>'18'!AD16</f>
        <v>0.79127764127764122</v>
      </c>
      <c r="T13" s="84"/>
      <c r="U13" s="84"/>
      <c r="V13" s="84">
        <f>'21'!AD17</f>
        <v>0.74889705882352942</v>
      </c>
      <c r="W13" s="84">
        <f>'22'!AD16</f>
        <v>0.66141414141414134</v>
      </c>
      <c r="X13" s="84">
        <f>'23'!AD17</f>
        <v>0.83268900343642616</v>
      </c>
      <c r="Y13" s="84">
        <f>'24'!AD16</f>
        <v>0.99861932938856013</v>
      </c>
      <c r="Z13" s="84">
        <f>'25'!AD17</f>
        <v>0.91539351851851847</v>
      </c>
      <c r="AA13" s="84"/>
      <c r="AB13" s="84"/>
      <c r="AC13" s="84">
        <f>'28'!AD17</f>
        <v>0.99916142557651988</v>
      </c>
      <c r="AD13" s="84">
        <f>'29'!AD17</f>
        <v>0.66508407517309598</v>
      </c>
      <c r="AE13" s="84">
        <f>'30'!AD16</f>
        <v>0.99912280701754386</v>
      </c>
      <c r="AF13" s="85">
        <f>'31'!AD16</f>
        <v>0.62358356940509918</v>
      </c>
      <c r="AG13" s="86">
        <f t="shared" si="0"/>
        <v>0.66438362993603939</v>
      </c>
    </row>
    <row r="14" spans="1:33" ht="21.75" customHeight="1">
      <c r="A14" s="118" t="s">
        <v>73</v>
      </c>
      <c r="B14" s="113">
        <f>'01'!AD17</f>
        <v>0</v>
      </c>
      <c r="C14" s="113">
        <f>'02'!AD17</f>
        <v>0</v>
      </c>
      <c r="D14" s="84">
        <f>'03'!AD18</f>
        <v>0.16666666666666666</v>
      </c>
      <c r="E14" s="84">
        <f>'04'!AD17</f>
        <v>0.83289124668435011</v>
      </c>
      <c r="F14" s="84">
        <f>'05'!AD17</f>
        <v>0.16666666666666666</v>
      </c>
      <c r="G14" s="84"/>
      <c r="H14" s="84">
        <f>'07'!AD17</f>
        <v>0</v>
      </c>
      <c r="I14" s="84">
        <f>'08'!AD17</f>
        <v>0</v>
      </c>
      <c r="J14" s="84">
        <f>'09'!AD17</f>
        <v>0.5</v>
      </c>
      <c r="K14" s="84">
        <f>'10'!AD17</f>
        <v>0</v>
      </c>
      <c r="L14" s="84">
        <f>'11'!AD17</f>
        <v>0</v>
      </c>
      <c r="M14" s="84"/>
      <c r="N14" s="84"/>
      <c r="O14" s="84">
        <f>'14'!AD17</f>
        <v>0.41471354166666669</v>
      </c>
      <c r="P14" s="84">
        <f>'15'!AD17</f>
        <v>0.33269639065817408</v>
      </c>
      <c r="Q14" s="84">
        <f>'16'!AD17</f>
        <v>0</v>
      </c>
      <c r="R14" s="84">
        <f>'17'!AD18</f>
        <v>0</v>
      </c>
      <c r="S14" s="84">
        <f>'18'!AD17</f>
        <v>0</v>
      </c>
      <c r="T14" s="84"/>
      <c r="U14" s="84"/>
      <c r="V14" s="84">
        <f>'21'!AD18</f>
        <v>0</v>
      </c>
      <c r="W14" s="84">
        <f>'22'!AD17</f>
        <v>0.62415994623655913</v>
      </c>
      <c r="X14" s="84">
        <f>'23'!AD18</f>
        <v>0.99969325153374233</v>
      </c>
      <c r="Y14" s="84">
        <f>'24'!AD17</f>
        <v>0</v>
      </c>
      <c r="Z14" s="84">
        <f>'25'!AD18</f>
        <v>0</v>
      </c>
      <c r="AA14" s="84"/>
      <c r="AB14" s="84"/>
      <c r="AC14" s="84">
        <f>'28'!AD18</f>
        <v>0</v>
      </c>
      <c r="AD14" s="84">
        <f>'29'!AD18</f>
        <v>0</v>
      </c>
      <c r="AE14" s="84">
        <f>'30'!AD17</f>
        <v>0</v>
      </c>
      <c r="AF14" s="85">
        <f>'31'!AD17</f>
        <v>0</v>
      </c>
      <c r="AG14" s="86">
        <f t="shared" si="0"/>
        <v>0.13024153903589758</v>
      </c>
    </row>
    <row r="15" spans="1:33" ht="21.75" customHeight="1">
      <c r="A15" s="119" t="s">
        <v>74</v>
      </c>
      <c r="B15" s="114">
        <f>'01'!AD18</f>
        <v>0.99900398406374502</v>
      </c>
      <c r="C15" s="114">
        <f>'02'!AD18</f>
        <v>0.99877622377622377</v>
      </c>
      <c r="D15" s="87">
        <f>'03'!AD19</f>
        <v>0</v>
      </c>
      <c r="E15" s="87">
        <f>'04'!AD18</f>
        <v>0.25</v>
      </c>
      <c r="F15" s="87">
        <f>'05'!AD18</f>
        <v>0.95768288084464559</v>
      </c>
      <c r="G15" s="87"/>
      <c r="H15" s="87">
        <f>'07'!AD18</f>
        <v>0.99941747572815531</v>
      </c>
      <c r="I15" s="87">
        <f>'08'!AD18</f>
        <v>0.99964349376114081</v>
      </c>
      <c r="J15" s="87">
        <f>'09'!AD18</f>
        <v>0.58333333333333337</v>
      </c>
      <c r="K15" s="87">
        <f>'10'!AD18</f>
        <v>0</v>
      </c>
      <c r="L15" s="87">
        <f>'11'!AD18</f>
        <v>0</v>
      </c>
      <c r="M15" s="87"/>
      <c r="N15" s="87"/>
      <c r="O15" s="87">
        <f>'14'!AD18</f>
        <v>0.61583333333333334</v>
      </c>
      <c r="P15" s="87">
        <f>'15'!AD18</f>
        <v>0.99891891891891893</v>
      </c>
      <c r="Q15" s="87">
        <f>'16'!AD18</f>
        <v>0.99891107078039931</v>
      </c>
      <c r="R15" s="87">
        <f>'17'!AD19</f>
        <v>0.16666666666666666</v>
      </c>
      <c r="S15" s="87">
        <f>'18'!AD18</f>
        <v>0.99887640449438198</v>
      </c>
      <c r="T15" s="87"/>
      <c r="U15" s="87"/>
      <c r="V15" s="87">
        <f>'21'!AD19</f>
        <v>0.99826254826254823</v>
      </c>
      <c r="W15" s="87">
        <f>'22'!AD18</f>
        <v>0.99880952380952381</v>
      </c>
      <c r="X15" s="87">
        <f>'23'!AD19</f>
        <v>0.24922360248447206</v>
      </c>
      <c r="Y15" s="87">
        <f>'24'!AD18</f>
        <v>0.87312500000000004</v>
      </c>
      <c r="Z15" s="87">
        <f>'25'!AD19</f>
        <v>0.99873873873873875</v>
      </c>
      <c r="AA15" s="87"/>
      <c r="AB15" s="87"/>
      <c r="AC15" s="87">
        <f>'28'!AD19</f>
        <v>0.58216198125836682</v>
      </c>
      <c r="AD15" s="87">
        <f>'29'!AD19+'29'!AD20</f>
        <v>0.95733901515151509</v>
      </c>
      <c r="AE15" s="87">
        <f>'30'!AD18</f>
        <v>0.99929078014184403</v>
      </c>
      <c r="AF15" s="88">
        <f>'31'!AD18</f>
        <v>0.99964664310954066</v>
      </c>
      <c r="AG15" s="89">
        <f t="shared" si="0"/>
        <v>0.55560198769862879</v>
      </c>
    </row>
    <row r="16" spans="1:33" ht="21.75" customHeight="1">
      <c r="A16" s="119" t="s">
        <v>75</v>
      </c>
      <c r="B16" s="114">
        <f>'01'!AD19</f>
        <v>0.37299107142857146</v>
      </c>
      <c r="C16" s="114">
        <f>'02'!AD19</f>
        <v>0.66600221483942412</v>
      </c>
      <c r="D16" s="87">
        <f>'03'!AD20</f>
        <v>0.5819812362030905</v>
      </c>
      <c r="E16" s="87">
        <f>'04'!AD19</f>
        <v>0.95813072586328407</v>
      </c>
      <c r="F16" s="87">
        <f>'05'!AD19</f>
        <v>0.99941291585127201</v>
      </c>
      <c r="G16" s="87"/>
      <c r="H16" s="87">
        <f>'07'!AD19</f>
        <v>0.99803921568627452</v>
      </c>
      <c r="I16" s="87">
        <f>'08'!AD19</f>
        <v>0.91666666666666663</v>
      </c>
      <c r="J16" s="87">
        <f>'09'!AD19</f>
        <v>0.9994011976047904</v>
      </c>
      <c r="K16" s="87">
        <f>'10'!AD19</f>
        <v>0.99959839357429714</v>
      </c>
      <c r="L16" s="87">
        <f>'11'!AD19</f>
        <v>0.95673611111111112</v>
      </c>
      <c r="M16" s="87"/>
      <c r="N16" s="87"/>
      <c r="O16" s="87">
        <f>'14'!AD19</f>
        <v>0.99890109890109891</v>
      </c>
      <c r="P16" s="87">
        <f>'15'!AD19</f>
        <v>0.99821428571428572</v>
      </c>
      <c r="Q16" s="87">
        <f>'16'!AD19</f>
        <v>0.41581632653061223</v>
      </c>
      <c r="R16" s="87">
        <f>'17'!AD20</f>
        <v>0</v>
      </c>
      <c r="S16" s="87">
        <f>'18'!AD19</f>
        <v>0.45696107784431139</v>
      </c>
      <c r="T16" s="87"/>
      <c r="U16" s="87"/>
      <c r="V16" s="87">
        <f>'21'!AD20</f>
        <v>0.45710125448028671</v>
      </c>
      <c r="W16" s="87">
        <f>'22'!AD19</f>
        <v>0.20787545787545789</v>
      </c>
      <c r="X16" s="87">
        <f>'23'!AD20</f>
        <v>0.83292682926829276</v>
      </c>
      <c r="Y16" s="87">
        <f>'24'!AD19</f>
        <v>0.99960861056751471</v>
      </c>
      <c r="Z16" s="87">
        <f>'25'!AD20</f>
        <v>0.99827255278310945</v>
      </c>
      <c r="AA16" s="87"/>
      <c r="AB16" s="87"/>
      <c r="AC16" s="87">
        <f>'28'!AD20</f>
        <v>0.41477272727272729</v>
      </c>
      <c r="AD16" s="87">
        <f>'29'!AD21</f>
        <v>0.79014423076923079</v>
      </c>
      <c r="AE16" s="87">
        <f>'30'!AD19</f>
        <v>1</v>
      </c>
      <c r="AF16" s="88">
        <f>'31'!AD19</f>
        <v>0.87378472222222225</v>
      </c>
      <c r="AG16" s="89">
        <f t="shared" si="0"/>
        <v>0.57720448138896552</v>
      </c>
    </row>
    <row r="17" spans="1:33" ht="21.75" customHeight="1" thickBot="1">
      <c r="A17" s="120" t="s">
        <v>113</v>
      </c>
      <c r="B17" s="115">
        <f>'01'!AD20</f>
        <v>0</v>
      </c>
      <c r="C17" s="115">
        <f>'02'!AD20</f>
        <v>0</v>
      </c>
      <c r="D17" s="90">
        <f>'03'!AD21</f>
        <v>0</v>
      </c>
      <c r="E17" s="90">
        <f>'04'!AD20</f>
        <v>0</v>
      </c>
      <c r="F17" s="90">
        <f>'05'!AD20</f>
        <v>0</v>
      </c>
      <c r="G17" s="90"/>
      <c r="H17" s="90">
        <f>'07'!AD20</f>
        <v>0.95829526646805696</v>
      </c>
      <c r="I17" s="90">
        <f>'08'!AD20</f>
        <v>0.99989748846745263</v>
      </c>
      <c r="J17" s="90">
        <f>'09'!AD20</f>
        <v>0.99986550100874239</v>
      </c>
      <c r="K17" s="90">
        <f>'10'!AD20</f>
        <v>1</v>
      </c>
      <c r="L17" s="90">
        <f>'11'!AD20</f>
        <v>0.91666666666666663</v>
      </c>
      <c r="M17" s="90"/>
      <c r="N17" s="90"/>
      <c r="O17" s="90">
        <f>'14'!AD20</f>
        <v>0.95829082575589564</v>
      </c>
      <c r="P17" s="90">
        <f>'15'!AD20</f>
        <v>0.99996741078702944</v>
      </c>
      <c r="Q17" s="90">
        <f>'16'!AD20</f>
        <v>0.79159393661001376</v>
      </c>
      <c r="R17" s="90">
        <f>'17'!AD21</f>
        <v>0.95826461097167448</v>
      </c>
      <c r="S17" s="90">
        <f>'18'!AD20</f>
        <v>0.99997133438440589</v>
      </c>
      <c r="T17" s="90"/>
      <c r="U17" s="90"/>
      <c r="V17" s="90">
        <f>'21'!AD21</f>
        <v>0.99986403806934054</v>
      </c>
      <c r="W17" s="90">
        <f>'22'!AD20</f>
        <v>0.9998829382499268</v>
      </c>
      <c r="X17" s="90">
        <f>'23'!AD21</f>
        <v>0.99981072555205053</v>
      </c>
      <c r="Y17" s="90">
        <f>'24'!AD20</f>
        <v>0.87482843137254895</v>
      </c>
      <c r="Z17" s="90">
        <f>'25'!AD21</f>
        <v>0.99997085822526588</v>
      </c>
      <c r="AA17" s="90"/>
      <c r="AB17" s="90"/>
      <c r="AC17" s="90">
        <f>'28'!AD21</f>
        <v>0.54153986214072047</v>
      </c>
      <c r="AD17" s="90">
        <f>'29'!AD22</f>
        <v>0.99985860728172504</v>
      </c>
      <c r="AE17" s="90">
        <f>'30'!AD20</f>
        <v>0.99989968232737003</v>
      </c>
      <c r="AF17" s="91">
        <f>'31'!AD20</f>
        <v>0.9999673575975192</v>
      </c>
      <c r="AG17" s="92">
        <f t="shared" si="0"/>
        <v>0.58059469490117432</v>
      </c>
    </row>
    <row r="18" spans="1:33" s="93" customFormat="1" ht="21.75" customHeight="1">
      <c r="A18" s="97" t="s">
        <v>107</v>
      </c>
      <c r="B18" s="101">
        <f>'01'!AD21</f>
        <v>0.39395493657923353</v>
      </c>
      <c r="C18" s="101">
        <f>'02'!AD21</f>
        <v>0.36315721219128633</v>
      </c>
      <c r="D18" s="102">
        <f>'03'!AD22</f>
        <v>0.36626798602044564</v>
      </c>
      <c r="E18" s="102">
        <f>'04'!AD21</f>
        <v>0.38299272754057662</v>
      </c>
      <c r="F18" s="102">
        <f>'05'!AD21</f>
        <v>0.40466400096233807</v>
      </c>
      <c r="G18" s="102"/>
      <c r="H18" s="102">
        <f>'07'!AD21</f>
        <v>0.37437089472861629</v>
      </c>
      <c r="I18" s="102">
        <f>'08'!AD21</f>
        <v>0.54129359391718035</v>
      </c>
      <c r="J18" s="102">
        <f>'09'!AD21</f>
        <v>0.58008258368321697</v>
      </c>
      <c r="K18" s="102">
        <f>'10'!AD21</f>
        <v>0.33878798800720555</v>
      </c>
      <c r="L18" s="102">
        <f>'11'!AD21</f>
        <v>0.38004869210761527</v>
      </c>
      <c r="M18" s="102"/>
      <c r="N18" s="102"/>
      <c r="O18" s="102">
        <f>'14'!AD21</f>
        <v>0.49330063490981985</v>
      </c>
      <c r="P18" s="102">
        <f>'15'!AD21</f>
        <v>0.49676173702347409</v>
      </c>
      <c r="Q18" s="102">
        <f>'16'!AD21</f>
        <v>0.41905170472970321</v>
      </c>
      <c r="R18" s="102">
        <f>'17'!AD22</f>
        <v>0.41361385576692983</v>
      </c>
      <c r="S18" s="102">
        <f>'18'!AD21</f>
        <v>0.47997973145388084</v>
      </c>
      <c r="T18" s="102"/>
      <c r="U18" s="102"/>
      <c r="V18" s="102">
        <f>'21'!AD22</f>
        <v>0.57138196583134682</v>
      </c>
      <c r="W18" s="102">
        <f>'22'!AD21</f>
        <v>0.50770600682389744</v>
      </c>
      <c r="X18" s="102">
        <f>'23'!AD22</f>
        <v>0.52002645411654791</v>
      </c>
      <c r="Y18" s="102">
        <f>'24'!AD21</f>
        <v>0.48488145559992596</v>
      </c>
      <c r="Z18" s="102">
        <f>'25'!AD22</f>
        <v>0.56605060848734889</v>
      </c>
      <c r="AA18" s="102"/>
      <c r="AB18" s="102"/>
      <c r="AC18" s="102">
        <f>'28'!AD22</f>
        <v>0.34673696955901895</v>
      </c>
      <c r="AD18" s="102">
        <f>'29'!AD23</f>
        <v>0.48529813669279459</v>
      </c>
      <c r="AE18" s="102">
        <f>'30'!AD21</f>
        <v>0.48542972736284601</v>
      </c>
      <c r="AF18" s="103">
        <f>'31'!AD21</f>
        <v>0.52700034748560143</v>
      </c>
      <c r="AG18" s="106">
        <f t="shared" si="0"/>
        <v>0.35234967585744681</v>
      </c>
    </row>
    <row r="19" spans="1:33" ht="21.75" customHeight="1" thickBot="1">
      <c r="A19" s="76" t="s">
        <v>111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J86"/>
  <sheetViews>
    <sheetView topLeftCell="A13" zoomScale="72" zoomScaleNormal="72" zoomScaleSheetLayoutView="70" workbookViewId="0">
      <selection activeCell="Y14" sqref="Y1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182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136" t="s">
        <v>17</v>
      </c>
      <c r="L5" s="136" t="s">
        <v>18</v>
      </c>
      <c r="M5" s="136" t="s">
        <v>19</v>
      </c>
      <c r="N5" s="1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0.39395493657923353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139</v>
      </c>
      <c r="E7" s="56" t="s">
        <v>165</v>
      </c>
      <c r="F7" s="12" t="s">
        <v>140</v>
      </c>
      <c r="G7" s="36">
        <v>1</v>
      </c>
      <c r="H7" s="38">
        <v>25</v>
      </c>
      <c r="I7" s="7">
        <v>12000</v>
      </c>
      <c r="J7" s="14">
        <v>4740</v>
      </c>
      <c r="K7" s="15">
        <f>L7+3325+5269+4135+4735</f>
        <v>17464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0.39395493657923353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139</v>
      </c>
      <c r="E8" s="57" t="s">
        <v>166</v>
      </c>
      <c r="F8" s="12" t="s">
        <v>140</v>
      </c>
      <c r="G8" s="36">
        <v>1</v>
      </c>
      <c r="H8" s="38">
        <v>25</v>
      </c>
      <c r="I8" s="7">
        <v>6000</v>
      </c>
      <c r="J8" s="14">
        <v>5160</v>
      </c>
      <c r="K8" s="15">
        <f>L8+3182+4438+5374+5210+5298+5397+4707</f>
        <v>38765</v>
      </c>
      <c r="L8" s="15">
        <f>2718+2441</f>
        <v>5159</v>
      </c>
      <c r="M8" s="16">
        <f t="shared" si="0"/>
        <v>5159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0.99980620155038757</v>
      </c>
      <c r="AC8" s="9">
        <f t="shared" si="5"/>
        <v>1</v>
      </c>
      <c r="AD8" s="10">
        <f t="shared" si="6"/>
        <v>0.99980620155038757</v>
      </c>
      <c r="AE8" s="39">
        <f t="shared" si="7"/>
        <v>0.39395493657923353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175</v>
      </c>
      <c r="E9" s="57" t="s">
        <v>183</v>
      </c>
      <c r="F9" s="12" t="s">
        <v>184</v>
      </c>
      <c r="G9" s="12">
        <v>1</v>
      </c>
      <c r="H9" s="13">
        <v>25</v>
      </c>
      <c r="I9" s="34">
        <v>10000</v>
      </c>
      <c r="J9" s="5">
        <v>1500</v>
      </c>
      <c r="K9" s="15">
        <f>L9</f>
        <v>1498</v>
      </c>
      <c r="L9" s="15">
        <f>1397+101</f>
        <v>1498</v>
      </c>
      <c r="M9" s="16">
        <f t="shared" si="0"/>
        <v>1498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>
        <v>16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0.9986666666666667</v>
      </c>
      <c r="AC9" s="9">
        <f t="shared" si="5"/>
        <v>0.33333333333333331</v>
      </c>
      <c r="AD9" s="10">
        <f t="shared" si="6"/>
        <v>0.3328888888888889</v>
      </c>
      <c r="AE9" s="39">
        <f t="shared" si="7"/>
        <v>0.39395493657923353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159</v>
      </c>
      <c r="D10" s="55" t="s">
        <v>156</v>
      </c>
      <c r="E10" s="57" t="s">
        <v>171</v>
      </c>
      <c r="F10" s="12" t="s">
        <v>144</v>
      </c>
      <c r="G10" s="12">
        <v>2</v>
      </c>
      <c r="H10" s="13">
        <v>25</v>
      </c>
      <c r="I10" s="34">
        <v>1000</v>
      </c>
      <c r="J10" s="14">
        <v>3094</v>
      </c>
      <c r="K10" s="15">
        <f>L10+3094</f>
        <v>3094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0.39395493657923353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121</v>
      </c>
      <c r="E11" s="57" t="s">
        <v>169</v>
      </c>
      <c r="F11" s="12" t="s">
        <v>152</v>
      </c>
      <c r="G11" s="12">
        <v>1</v>
      </c>
      <c r="H11" s="13">
        <v>25</v>
      </c>
      <c r="I11" s="34">
        <v>6000</v>
      </c>
      <c r="J11" s="14">
        <v>4400</v>
      </c>
      <c r="K11" s="15">
        <f>L11+2308+4605+4724+4396</f>
        <v>16033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0.39395493657923353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v>16000</v>
      </c>
      <c r="J12" s="14">
        <v>4590</v>
      </c>
      <c r="K12" s="15">
        <f>L12+2679+3513+4059+4770+4877+2848</f>
        <v>27335</v>
      </c>
      <c r="L12" s="15">
        <f>2347+2242</f>
        <v>4589</v>
      </c>
      <c r="M12" s="16">
        <f t="shared" si="0"/>
        <v>4589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0.99978213507625269</v>
      </c>
      <c r="AC12" s="9">
        <f t="shared" si="5"/>
        <v>1</v>
      </c>
      <c r="AD12" s="10">
        <f t="shared" si="6"/>
        <v>0.99978213507625269</v>
      </c>
      <c r="AE12" s="39">
        <f t="shared" si="7"/>
        <v>0.39395493657923353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141</v>
      </c>
      <c r="D13" s="55" t="s">
        <v>151</v>
      </c>
      <c r="E13" s="57" t="s">
        <v>176</v>
      </c>
      <c r="F13" s="12" t="s">
        <v>177</v>
      </c>
      <c r="G13" s="12">
        <v>1</v>
      </c>
      <c r="H13" s="13">
        <v>35</v>
      </c>
      <c r="I13" s="7">
        <v>10000</v>
      </c>
      <c r="J13" s="14">
        <v>5910</v>
      </c>
      <c r="K13" s="15">
        <f>L13+2819</f>
        <v>8722</v>
      </c>
      <c r="L13" s="15">
        <f>3100+2803</f>
        <v>5903</v>
      </c>
      <c r="M13" s="16">
        <f t="shared" si="0"/>
        <v>5903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0.99881556683587136</v>
      </c>
      <c r="AC13" s="9">
        <f t="shared" si="5"/>
        <v>1</v>
      </c>
      <c r="AD13" s="10">
        <f t="shared" si="6"/>
        <v>0.99881556683587136</v>
      </c>
      <c r="AE13" s="39">
        <f t="shared" si="7"/>
        <v>0.39395493657923353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138</v>
      </c>
      <c r="E14" s="57" t="s">
        <v>178</v>
      </c>
      <c r="F14" s="33" t="s">
        <v>179</v>
      </c>
      <c r="G14" s="36">
        <v>1</v>
      </c>
      <c r="H14" s="38">
        <v>40</v>
      </c>
      <c r="I14" s="7">
        <v>300</v>
      </c>
      <c r="J14" s="5">
        <v>260</v>
      </c>
      <c r="K14" s="15">
        <f>L14</f>
        <v>259</v>
      </c>
      <c r="L14" s="15">
        <v>259</v>
      </c>
      <c r="M14" s="16">
        <f t="shared" si="0"/>
        <v>259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>
        <v>16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0.99615384615384617</v>
      </c>
      <c r="AC14" s="9">
        <f t="shared" si="5"/>
        <v>0.33333333333333331</v>
      </c>
      <c r="AD14" s="10">
        <f t="shared" si="6"/>
        <v>0.33205128205128204</v>
      </c>
      <c r="AE14" s="39">
        <f t="shared" si="7"/>
        <v>0.39395493657923353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0.39395493657923353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4310</v>
      </c>
      <c r="K16" s="15">
        <f>L16+3017+5739+3585+4577</f>
        <v>21223</v>
      </c>
      <c r="L16" s="15">
        <f>2963+1342</f>
        <v>4305</v>
      </c>
      <c r="M16" s="16">
        <f t="shared" si="0"/>
        <v>4305</v>
      </c>
      <c r="N16" s="16">
        <v>0</v>
      </c>
      <c r="O16" s="62">
        <f t="shared" si="1"/>
        <v>0</v>
      </c>
      <c r="P16" s="42">
        <f t="shared" si="2"/>
        <v>21</v>
      </c>
      <c r="Q16" s="43">
        <f t="shared" si="3"/>
        <v>3</v>
      </c>
      <c r="R16" s="7"/>
      <c r="S16" s="6">
        <v>3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0.99883990719257543</v>
      </c>
      <c r="AC16" s="9">
        <f t="shared" si="5"/>
        <v>0.875</v>
      </c>
      <c r="AD16" s="10">
        <f t="shared" si="6"/>
        <v>0.87398491879350348</v>
      </c>
      <c r="AE16" s="39">
        <f t="shared" si="7"/>
        <v>0.39395493657923353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159</v>
      </c>
      <c r="D17" s="55" t="s">
        <v>161</v>
      </c>
      <c r="E17" s="56" t="s">
        <v>172</v>
      </c>
      <c r="F17" s="12" t="s">
        <v>150</v>
      </c>
      <c r="G17" s="12">
        <v>1</v>
      </c>
      <c r="H17" s="13">
        <v>25</v>
      </c>
      <c r="I17" s="34">
        <v>1000</v>
      </c>
      <c r="J17" s="5">
        <v>876</v>
      </c>
      <c r="K17" s="15">
        <f>L17+1215+876</f>
        <v>2091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0.39395493657923353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154</v>
      </c>
      <c r="D18" s="55" t="s">
        <v>185</v>
      </c>
      <c r="E18" s="57" t="s">
        <v>186</v>
      </c>
      <c r="F18" s="33" t="s">
        <v>187</v>
      </c>
      <c r="G18" s="12">
        <v>1</v>
      </c>
      <c r="H18" s="13">
        <v>25</v>
      </c>
      <c r="I18" s="34">
        <v>10000</v>
      </c>
      <c r="J18" s="5">
        <v>5020</v>
      </c>
      <c r="K18" s="15">
        <f>L18</f>
        <v>5015</v>
      </c>
      <c r="L18" s="15">
        <f>2910+2105</f>
        <v>5015</v>
      </c>
      <c r="M18" s="16">
        <f t="shared" si="0"/>
        <v>5015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0.99900398406374502</v>
      </c>
      <c r="AC18" s="9">
        <f t="shared" si="5"/>
        <v>1</v>
      </c>
      <c r="AD18" s="10">
        <f t="shared" si="6"/>
        <v>0.99900398406374502</v>
      </c>
      <c r="AE18" s="39">
        <f t="shared" si="7"/>
        <v>0.39395493657923353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1680</v>
      </c>
      <c r="K19" s="15">
        <f>L19+4633+5456+3865+4711</f>
        <v>20336</v>
      </c>
      <c r="L19" s="15">
        <v>1671</v>
      </c>
      <c r="M19" s="16">
        <f t="shared" si="0"/>
        <v>1671</v>
      </c>
      <c r="N19" s="16">
        <v>0</v>
      </c>
      <c r="O19" s="62">
        <f t="shared" si="1"/>
        <v>0</v>
      </c>
      <c r="P19" s="42">
        <f t="shared" si="2"/>
        <v>9</v>
      </c>
      <c r="Q19" s="43">
        <f t="shared" si="3"/>
        <v>15</v>
      </c>
      <c r="R19" s="7"/>
      <c r="S19" s="6">
        <v>15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0.99464285714285716</v>
      </c>
      <c r="AC19" s="9">
        <f t="shared" si="5"/>
        <v>0.375</v>
      </c>
      <c r="AD19" s="10">
        <f t="shared" si="6"/>
        <v>0.37299107142857146</v>
      </c>
      <c r="AE19" s="39">
        <f t="shared" si="7"/>
        <v>0.39395493657923353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164</v>
      </c>
      <c r="F20" s="12" t="s">
        <v>117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0.39395493657923353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10">SUM(I6:I20)</f>
        <v>332300</v>
      </c>
      <c r="J21" s="22">
        <f t="shared" si="10"/>
        <v>53340</v>
      </c>
      <c r="K21" s="23">
        <f t="shared" si="10"/>
        <v>336853</v>
      </c>
      <c r="L21" s="24">
        <f t="shared" si="10"/>
        <v>28399</v>
      </c>
      <c r="M21" s="23">
        <f t="shared" si="10"/>
        <v>28399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142</v>
      </c>
      <c r="Q21" s="46">
        <f t="shared" si="11"/>
        <v>218</v>
      </c>
      <c r="R21" s="26">
        <f t="shared" si="11"/>
        <v>24</v>
      </c>
      <c r="S21" s="27">
        <f t="shared" si="11"/>
        <v>74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120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0.53238074431214677</v>
      </c>
      <c r="AC21" s="4">
        <f>SUM(AC6:AC20)/15</f>
        <v>0.39444444444444443</v>
      </c>
      <c r="AD21" s="4">
        <f>SUM(AD6:AD20)/15</f>
        <v>0.39395493657923353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189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201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135" t="s">
        <v>47</v>
      </c>
      <c r="D50" s="135" t="s">
        <v>48</v>
      </c>
      <c r="E50" s="135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135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131" t="s">
        <v>142</v>
      </c>
      <c r="D51" s="131" t="s">
        <v>58</v>
      </c>
      <c r="E51" s="134" t="s">
        <v>190</v>
      </c>
      <c r="F51" s="437" t="s">
        <v>191</v>
      </c>
      <c r="G51" s="437"/>
      <c r="H51" s="437"/>
      <c r="I51" s="437"/>
      <c r="J51" s="437"/>
      <c r="K51" s="437"/>
      <c r="L51" s="437"/>
      <c r="M51" s="438"/>
      <c r="N51" s="130" t="s">
        <v>157</v>
      </c>
      <c r="O51" s="74" t="s">
        <v>160</v>
      </c>
      <c r="P51" s="436" t="s">
        <v>202</v>
      </c>
      <c r="Q51" s="436"/>
      <c r="R51" s="436" t="s">
        <v>203</v>
      </c>
      <c r="S51" s="436"/>
      <c r="T51" s="436"/>
      <c r="U51" s="436"/>
      <c r="V51" s="437" t="s">
        <v>173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146</v>
      </c>
      <c r="B52" s="436"/>
      <c r="C52" s="137" t="s">
        <v>137</v>
      </c>
      <c r="D52" s="137" t="s">
        <v>175</v>
      </c>
      <c r="E52" s="138" t="s">
        <v>178</v>
      </c>
      <c r="F52" s="437" t="s">
        <v>192</v>
      </c>
      <c r="G52" s="437"/>
      <c r="H52" s="437"/>
      <c r="I52" s="437"/>
      <c r="J52" s="437"/>
      <c r="K52" s="437"/>
      <c r="L52" s="437"/>
      <c r="M52" s="438"/>
      <c r="N52" s="130" t="s">
        <v>119</v>
      </c>
      <c r="O52" s="74" t="s">
        <v>155</v>
      </c>
      <c r="P52" s="439" t="s">
        <v>138</v>
      </c>
      <c r="Q52" s="440"/>
      <c r="R52" s="436" t="s">
        <v>174</v>
      </c>
      <c r="S52" s="436"/>
      <c r="T52" s="436"/>
      <c r="U52" s="436"/>
      <c r="V52" s="437" t="s">
        <v>181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35" t="s">
        <v>157</v>
      </c>
      <c r="B53" s="436"/>
      <c r="C53" s="131" t="s">
        <v>193</v>
      </c>
      <c r="D53" s="131" t="s">
        <v>194</v>
      </c>
      <c r="E53" s="134" t="s">
        <v>195</v>
      </c>
      <c r="F53" s="437" t="s">
        <v>196</v>
      </c>
      <c r="G53" s="437"/>
      <c r="H53" s="437"/>
      <c r="I53" s="437"/>
      <c r="J53" s="437"/>
      <c r="K53" s="437"/>
      <c r="L53" s="437"/>
      <c r="M53" s="438"/>
      <c r="N53" s="130" t="s">
        <v>157</v>
      </c>
      <c r="O53" s="74" t="s">
        <v>204</v>
      </c>
      <c r="P53" s="439" t="s">
        <v>138</v>
      </c>
      <c r="Q53" s="440"/>
      <c r="R53" s="436" t="s">
        <v>205</v>
      </c>
      <c r="S53" s="436"/>
      <c r="T53" s="436"/>
      <c r="U53" s="436"/>
      <c r="V53" s="437" t="s">
        <v>181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35" t="s">
        <v>154</v>
      </c>
      <c r="B54" s="436"/>
      <c r="C54" s="131" t="s">
        <v>197</v>
      </c>
      <c r="D54" s="131" t="s">
        <v>198</v>
      </c>
      <c r="E54" s="134" t="s">
        <v>199</v>
      </c>
      <c r="F54" s="437" t="s">
        <v>200</v>
      </c>
      <c r="G54" s="437"/>
      <c r="H54" s="437"/>
      <c r="I54" s="437"/>
      <c r="J54" s="437"/>
      <c r="K54" s="437"/>
      <c r="L54" s="437"/>
      <c r="M54" s="438"/>
      <c r="N54" s="130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131"/>
      <c r="D55" s="131"/>
      <c r="E55" s="134"/>
      <c r="F55" s="437"/>
      <c r="G55" s="437"/>
      <c r="H55" s="437"/>
      <c r="I55" s="437"/>
      <c r="J55" s="437"/>
      <c r="K55" s="437"/>
      <c r="L55" s="437"/>
      <c r="M55" s="438"/>
      <c r="N55" s="130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131"/>
      <c r="D56" s="131"/>
      <c r="E56" s="134"/>
      <c r="F56" s="437"/>
      <c r="G56" s="437"/>
      <c r="H56" s="437"/>
      <c r="I56" s="437"/>
      <c r="J56" s="437"/>
      <c r="K56" s="437"/>
      <c r="L56" s="437"/>
      <c r="M56" s="438"/>
      <c r="N56" s="130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134"/>
      <c r="D57" s="131"/>
      <c r="E57" s="134"/>
      <c r="F57" s="437"/>
      <c r="G57" s="437"/>
      <c r="H57" s="437"/>
      <c r="I57" s="437"/>
      <c r="J57" s="437"/>
      <c r="K57" s="437"/>
      <c r="L57" s="437"/>
      <c r="M57" s="438"/>
      <c r="N57" s="130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134"/>
      <c r="D58" s="131"/>
      <c r="E58" s="134"/>
      <c r="F58" s="437"/>
      <c r="G58" s="437"/>
      <c r="H58" s="437"/>
      <c r="I58" s="437"/>
      <c r="J58" s="437"/>
      <c r="K58" s="437"/>
      <c r="L58" s="437"/>
      <c r="M58" s="438"/>
      <c r="N58" s="130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131"/>
      <c r="D59" s="131"/>
      <c r="E59" s="131"/>
      <c r="F59" s="437"/>
      <c r="G59" s="437"/>
      <c r="H59" s="437"/>
      <c r="I59" s="437"/>
      <c r="J59" s="437"/>
      <c r="K59" s="437"/>
      <c r="L59" s="437"/>
      <c r="M59" s="438"/>
      <c r="N59" s="130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133"/>
      <c r="D60" s="133"/>
      <c r="E60" s="133"/>
      <c r="F60" s="443"/>
      <c r="G60" s="443"/>
      <c r="H60" s="443"/>
      <c r="I60" s="443"/>
      <c r="J60" s="443"/>
      <c r="K60" s="443"/>
      <c r="L60" s="443"/>
      <c r="M60" s="444"/>
      <c r="N60" s="132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206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129" t="s">
        <v>2</v>
      </c>
      <c r="D62" s="129" t="s">
        <v>38</v>
      </c>
      <c r="E62" s="129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129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207</v>
      </c>
      <c r="D63" s="140"/>
      <c r="E63" s="139" t="s">
        <v>208</v>
      </c>
      <c r="F63" s="456" t="s">
        <v>209</v>
      </c>
      <c r="G63" s="457"/>
      <c r="H63" s="457"/>
      <c r="I63" s="457"/>
      <c r="J63" s="457"/>
      <c r="K63" s="457" t="s">
        <v>210</v>
      </c>
      <c r="L63" s="457"/>
      <c r="M63" s="54" t="s">
        <v>211</v>
      </c>
      <c r="N63" s="457">
        <v>10</v>
      </c>
      <c r="O63" s="457"/>
      <c r="P63" s="458">
        <v>200</v>
      </c>
      <c r="Q63" s="458"/>
      <c r="R63" s="437" t="s">
        <v>212</v>
      </c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/>
      <c r="D64" s="125"/>
      <c r="E64" s="127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125"/>
      <c r="E65" s="127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125"/>
      <c r="E66" s="127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125"/>
      <c r="E67" s="127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125"/>
      <c r="E68" s="127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125"/>
      <c r="E69" s="127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125"/>
      <c r="E70" s="127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213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128" t="s">
        <v>2</v>
      </c>
      <c r="D72" s="128" t="s">
        <v>38</v>
      </c>
      <c r="E72" s="128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126" t="s">
        <v>118</v>
      </c>
      <c r="D73" s="126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125" t="s">
        <v>118</v>
      </c>
      <c r="D74" s="125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2">A74+1</f>
        <v>3</v>
      </c>
      <c r="B75" s="468"/>
      <c r="C75" s="125" t="s">
        <v>163</v>
      </c>
      <c r="D75" s="125"/>
      <c r="E75" s="35" t="s">
        <v>167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2"/>
        <v>4</v>
      </c>
      <c r="B76" s="468"/>
      <c r="C76" s="125" t="s">
        <v>141</v>
      </c>
      <c r="D76" s="125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2"/>
        <v>5</v>
      </c>
      <c r="B77" s="468"/>
      <c r="C77" s="125"/>
      <c r="D77" s="125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2"/>
        <v>6</v>
      </c>
      <c r="B78" s="468"/>
      <c r="C78" s="125"/>
      <c r="D78" s="125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2"/>
        <v>7</v>
      </c>
      <c r="B79" s="468"/>
      <c r="C79" s="125"/>
      <c r="D79" s="125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2"/>
        <v>8</v>
      </c>
      <c r="B80" s="468"/>
      <c r="C80" s="125"/>
      <c r="D80" s="125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2"/>
        <v>9</v>
      </c>
      <c r="B81" s="468"/>
      <c r="C81" s="125"/>
      <c r="D81" s="125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214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J86"/>
  <sheetViews>
    <sheetView topLeftCell="A10" zoomScale="72" zoomScaleNormal="72" zoomScaleSheetLayoutView="70" workbookViewId="0">
      <selection activeCell="M18" sqref="M1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625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215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152" t="s">
        <v>17</v>
      </c>
      <c r="L5" s="152" t="s">
        <v>18</v>
      </c>
      <c r="M5" s="152" t="s">
        <v>19</v>
      </c>
      <c r="N5" s="15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0.36315721219128633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216</v>
      </c>
      <c r="E7" s="56" t="s">
        <v>217</v>
      </c>
      <c r="F7" s="12" t="s">
        <v>218</v>
      </c>
      <c r="G7" s="36">
        <v>1</v>
      </c>
      <c r="H7" s="38">
        <v>25</v>
      </c>
      <c r="I7" s="7">
        <v>40000</v>
      </c>
      <c r="J7" s="14">
        <v>570</v>
      </c>
      <c r="K7" s="15">
        <f>L7</f>
        <v>562</v>
      </c>
      <c r="L7" s="15">
        <f>562</f>
        <v>562</v>
      </c>
      <c r="M7" s="16">
        <f t="shared" si="0"/>
        <v>562</v>
      </c>
      <c r="N7" s="16">
        <v>0</v>
      </c>
      <c r="O7" s="62">
        <f t="shared" si="1"/>
        <v>0</v>
      </c>
      <c r="P7" s="42">
        <f t="shared" si="2"/>
        <v>4</v>
      </c>
      <c r="Q7" s="43">
        <f t="shared" si="3"/>
        <v>20</v>
      </c>
      <c r="R7" s="7"/>
      <c r="S7" s="6">
        <v>20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0.98596491228070171</v>
      </c>
      <c r="AC7" s="9">
        <f t="shared" si="5"/>
        <v>0.16666666666666666</v>
      </c>
      <c r="AD7" s="10">
        <f t="shared" si="6"/>
        <v>0.16432748538011693</v>
      </c>
      <c r="AE7" s="39">
        <f t="shared" si="7"/>
        <v>0.36315721219128633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139</v>
      </c>
      <c r="E8" s="57" t="s">
        <v>166</v>
      </c>
      <c r="F8" s="12" t="s">
        <v>140</v>
      </c>
      <c r="G8" s="36">
        <v>1</v>
      </c>
      <c r="H8" s="38">
        <v>25</v>
      </c>
      <c r="I8" s="7">
        <v>6000</v>
      </c>
      <c r="J8" s="14">
        <v>5100</v>
      </c>
      <c r="K8" s="15">
        <f>L8+3182+4438+5374+5210+5298+5397+4707+5159</f>
        <v>43856</v>
      </c>
      <c r="L8" s="15">
        <f>2456+2635</f>
        <v>5091</v>
      </c>
      <c r="M8" s="16">
        <f t="shared" si="0"/>
        <v>5091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0.99823529411764711</v>
      </c>
      <c r="AC8" s="9">
        <f t="shared" si="5"/>
        <v>1</v>
      </c>
      <c r="AD8" s="10">
        <f t="shared" si="6"/>
        <v>0.99823529411764711</v>
      </c>
      <c r="AE8" s="39">
        <f t="shared" si="7"/>
        <v>0.36315721219128633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219</v>
      </c>
      <c r="E9" s="57" t="s">
        <v>220</v>
      </c>
      <c r="F9" s="12" t="s">
        <v>221</v>
      </c>
      <c r="G9" s="12">
        <v>1</v>
      </c>
      <c r="H9" s="13">
        <v>25</v>
      </c>
      <c r="I9" s="34">
        <v>15000</v>
      </c>
      <c r="J9" s="5">
        <v>4790</v>
      </c>
      <c r="K9" s="15">
        <f>L9</f>
        <v>4787</v>
      </c>
      <c r="L9" s="15">
        <f>2805+1982</f>
        <v>4787</v>
      </c>
      <c r="M9" s="16">
        <f t="shared" si="0"/>
        <v>4787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0.99937369519832986</v>
      </c>
      <c r="AC9" s="9">
        <f t="shared" si="5"/>
        <v>0.95833333333333337</v>
      </c>
      <c r="AD9" s="10">
        <f t="shared" si="6"/>
        <v>0.95773312456506621</v>
      </c>
      <c r="AE9" s="39">
        <f t="shared" si="7"/>
        <v>0.36315721219128633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222</v>
      </c>
      <c r="E10" s="57" t="s">
        <v>223</v>
      </c>
      <c r="F10" s="12" t="s">
        <v>224</v>
      </c>
      <c r="G10" s="12">
        <v>1</v>
      </c>
      <c r="H10" s="13">
        <v>25</v>
      </c>
      <c r="I10" s="34">
        <v>110</v>
      </c>
      <c r="J10" s="14">
        <v>430</v>
      </c>
      <c r="K10" s="15">
        <f>L10</f>
        <v>422</v>
      </c>
      <c r="L10" s="15">
        <v>422</v>
      </c>
      <c r="M10" s="16">
        <f t="shared" si="0"/>
        <v>422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0.98139534883720925</v>
      </c>
      <c r="AC10" s="9">
        <f t="shared" si="5"/>
        <v>0.16666666666666666</v>
      </c>
      <c r="AD10" s="10">
        <f t="shared" si="6"/>
        <v>0.16356589147286821</v>
      </c>
      <c r="AE10" s="39">
        <f t="shared" si="7"/>
        <v>0.36315721219128633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121</v>
      </c>
      <c r="E11" s="57" t="s">
        <v>169</v>
      </c>
      <c r="F11" s="12" t="s">
        <v>152</v>
      </c>
      <c r="G11" s="12">
        <v>1</v>
      </c>
      <c r="H11" s="13">
        <v>25</v>
      </c>
      <c r="I11" s="34">
        <v>6000</v>
      </c>
      <c r="J11" s="14">
        <v>4400</v>
      </c>
      <c r="K11" s="15">
        <f>L11+2308+4605+4724+4396</f>
        <v>16033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0.36315721219128633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v>16000</v>
      </c>
      <c r="J12" s="14">
        <v>780</v>
      </c>
      <c r="K12" s="15">
        <f>L12+2679+3513+4059+4770+4877+2848+4589</f>
        <v>28115</v>
      </c>
      <c r="L12" s="15">
        <f>780</f>
        <v>780</v>
      </c>
      <c r="M12" s="16">
        <f t="shared" si="0"/>
        <v>780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>
        <v>20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9">
        <f t="shared" si="7"/>
        <v>0.36315721219128633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141</v>
      </c>
      <c r="D13" s="55" t="s">
        <v>151</v>
      </c>
      <c r="E13" s="57" t="s">
        <v>176</v>
      </c>
      <c r="F13" s="12" t="s">
        <v>177</v>
      </c>
      <c r="G13" s="12">
        <v>1</v>
      </c>
      <c r="H13" s="13">
        <v>35</v>
      </c>
      <c r="I13" s="7">
        <v>10000</v>
      </c>
      <c r="J13" s="14">
        <v>5910</v>
      </c>
      <c r="K13" s="15">
        <f>L13+2819+5903</f>
        <v>8722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0.36315721219128633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138</v>
      </c>
      <c r="E14" s="57" t="s">
        <v>178</v>
      </c>
      <c r="F14" s="33" t="s">
        <v>179</v>
      </c>
      <c r="G14" s="36">
        <v>1</v>
      </c>
      <c r="H14" s="38">
        <v>40</v>
      </c>
      <c r="I14" s="7">
        <v>300</v>
      </c>
      <c r="J14" s="5">
        <v>260</v>
      </c>
      <c r="K14" s="15">
        <f>L14+259</f>
        <v>518</v>
      </c>
      <c r="L14" s="15">
        <v>259</v>
      </c>
      <c r="M14" s="16">
        <f t="shared" si="0"/>
        <v>259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>
        <v>16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0.99615384615384617</v>
      </c>
      <c r="AC14" s="9">
        <f t="shared" si="5"/>
        <v>0.33333333333333331</v>
      </c>
      <c r="AD14" s="10">
        <f t="shared" si="6"/>
        <v>0.33205128205128204</v>
      </c>
      <c r="AE14" s="39">
        <f t="shared" si="7"/>
        <v>0.36315721219128633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0.36315721219128633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5680</v>
      </c>
      <c r="K16" s="15">
        <f>L16+3017+5739+3585+4577+4305</f>
        <v>26903</v>
      </c>
      <c r="L16" s="15">
        <f>2953+2727</f>
        <v>5680</v>
      </c>
      <c r="M16" s="16">
        <f t="shared" si="0"/>
        <v>5680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0.36315721219128633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159</v>
      </c>
      <c r="D17" s="55" t="s">
        <v>161</v>
      </c>
      <c r="E17" s="56" t="s">
        <v>172</v>
      </c>
      <c r="F17" s="12" t="s">
        <v>150</v>
      </c>
      <c r="G17" s="12">
        <v>1</v>
      </c>
      <c r="H17" s="13">
        <v>25</v>
      </c>
      <c r="I17" s="34">
        <v>1000</v>
      </c>
      <c r="J17" s="5">
        <v>876</v>
      </c>
      <c r="K17" s="15">
        <f>L17+1215+876</f>
        <v>2091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0.36315721219128633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154</v>
      </c>
      <c r="D18" s="55" t="s">
        <v>185</v>
      </c>
      <c r="E18" s="57" t="s">
        <v>186</v>
      </c>
      <c r="F18" s="33" t="s">
        <v>187</v>
      </c>
      <c r="G18" s="12">
        <v>1</v>
      </c>
      <c r="H18" s="13">
        <v>25</v>
      </c>
      <c r="I18" s="34">
        <v>10000</v>
      </c>
      <c r="J18" s="5">
        <v>5720</v>
      </c>
      <c r="K18" s="15">
        <f>L18+5015</f>
        <v>10728</v>
      </c>
      <c r="L18" s="15">
        <f>3057+2656</f>
        <v>5713</v>
      </c>
      <c r="M18" s="16">
        <f t="shared" si="0"/>
        <v>5713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0.99877622377622377</v>
      </c>
      <c r="AC18" s="9">
        <f t="shared" si="5"/>
        <v>1</v>
      </c>
      <c r="AD18" s="10">
        <f t="shared" si="6"/>
        <v>0.99877622377622377</v>
      </c>
      <c r="AE18" s="39">
        <f t="shared" si="7"/>
        <v>0.36315721219128633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3010</v>
      </c>
      <c r="K19" s="15">
        <f>L19+4633+5456+3865+4711+1671</f>
        <v>23343</v>
      </c>
      <c r="L19" s="15">
        <f>400+2607</f>
        <v>3007</v>
      </c>
      <c r="M19" s="16">
        <f t="shared" si="0"/>
        <v>3007</v>
      </c>
      <c r="N19" s="16">
        <v>0</v>
      </c>
      <c r="O19" s="62">
        <f t="shared" si="1"/>
        <v>0</v>
      </c>
      <c r="P19" s="42">
        <f t="shared" si="2"/>
        <v>16</v>
      </c>
      <c r="Q19" s="43">
        <f t="shared" si="3"/>
        <v>8</v>
      </c>
      <c r="R19" s="7"/>
      <c r="S19" s="6">
        <v>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0.99900332225913624</v>
      </c>
      <c r="AC19" s="9">
        <f t="shared" si="5"/>
        <v>0.66666666666666663</v>
      </c>
      <c r="AD19" s="10">
        <f t="shared" si="6"/>
        <v>0.66600221483942412</v>
      </c>
      <c r="AE19" s="39">
        <f t="shared" si="7"/>
        <v>0.36315721219128633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164</v>
      </c>
      <c r="F20" s="12" t="s">
        <v>117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0.36315721219128633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10">SUM(I6:I20)</f>
        <v>364410</v>
      </c>
      <c r="J21" s="22">
        <f t="shared" si="10"/>
        <v>49326</v>
      </c>
      <c r="K21" s="23">
        <f t="shared" si="10"/>
        <v>341098</v>
      </c>
      <c r="L21" s="24">
        <f t="shared" si="10"/>
        <v>26301</v>
      </c>
      <c r="M21" s="23">
        <f t="shared" si="10"/>
        <v>26301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131</v>
      </c>
      <c r="Q21" s="46">
        <f t="shared" si="11"/>
        <v>229</v>
      </c>
      <c r="R21" s="26">
        <f t="shared" si="11"/>
        <v>24</v>
      </c>
      <c r="S21" s="27">
        <f t="shared" si="11"/>
        <v>88</v>
      </c>
      <c r="T21" s="27">
        <f t="shared" si="11"/>
        <v>1</v>
      </c>
      <c r="U21" s="27">
        <f t="shared" si="11"/>
        <v>0</v>
      </c>
      <c r="V21" s="28">
        <f t="shared" si="11"/>
        <v>0</v>
      </c>
      <c r="W21" s="29">
        <f t="shared" si="11"/>
        <v>116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0.59726017617487293</v>
      </c>
      <c r="AC21" s="4">
        <f>SUM(AC6:AC20)/15</f>
        <v>0.36388888888888887</v>
      </c>
      <c r="AD21" s="4">
        <f>SUM(AD6:AD20)/15</f>
        <v>0.36315721219128633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225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241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151" t="s">
        <v>47</v>
      </c>
      <c r="D50" s="151" t="s">
        <v>48</v>
      </c>
      <c r="E50" s="151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151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147" t="s">
        <v>226</v>
      </c>
      <c r="D51" s="147" t="s">
        <v>227</v>
      </c>
      <c r="E51" s="150" t="s">
        <v>217</v>
      </c>
      <c r="F51" s="437" t="s">
        <v>228</v>
      </c>
      <c r="G51" s="437"/>
      <c r="H51" s="437"/>
      <c r="I51" s="437"/>
      <c r="J51" s="437"/>
      <c r="K51" s="437"/>
      <c r="L51" s="437"/>
      <c r="M51" s="438"/>
      <c r="N51" s="146" t="s">
        <v>157</v>
      </c>
      <c r="O51" s="74" t="s">
        <v>226</v>
      </c>
      <c r="P51" s="436" t="s">
        <v>242</v>
      </c>
      <c r="Q51" s="436"/>
      <c r="R51" s="436" t="s">
        <v>243</v>
      </c>
      <c r="S51" s="436"/>
      <c r="T51" s="436"/>
      <c r="U51" s="436"/>
      <c r="V51" s="437" t="s">
        <v>244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229</v>
      </c>
      <c r="B52" s="436"/>
      <c r="C52" s="147" t="s">
        <v>230</v>
      </c>
      <c r="D52" s="147" t="s">
        <v>231</v>
      </c>
      <c r="E52" s="150" t="s">
        <v>220</v>
      </c>
      <c r="F52" s="437" t="s">
        <v>232</v>
      </c>
      <c r="G52" s="437"/>
      <c r="H52" s="437"/>
      <c r="I52" s="437"/>
      <c r="J52" s="437"/>
      <c r="K52" s="437"/>
      <c r="L52" s="437"/>
      <c r="M52" s="438"/>
      <c r="N52" s="146" t="s">
        <v>247</v>
      </c>
      <c r="O52" s="74" t="s">
        <v>234</v>
      </c>
      <c r="P52" s="439" t="s">
        <v>235</v>
      </c>
      <c r="Q52" s="440"/>
      <c r="R52" s="436" t="s">
        <v>236</v>
      </c>
      <c r="S52" s="436"/>
      <c r="T52" s="436"/>
      <c r="U52" s="436"/>
      <c r="V52" s="437" t="s">
        <v>248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35" t="s">
        <v>233</v>
      </c>
      <c r="B53" s="436"/>
      <c r="C53" s="147" t="s">
        <v>234</v>
      </c>
      <c r="D53" s="147" t="s">
        <v>235</v>
      </c>
      <c r="E53" s="150" t="s">
        <v>236</v>
      </c>
      <c r="F53" s="437" t="s">
        <v>237</v>
      </c>
      <c r="G53" s="437"/>
      <c r="H53" s="437"/>
      <c r="I53" s="437"/>
      <c r="J53" s="437"/>
      <c r="K53" s="437"/>
      <c r="L53" s="437"/>
      <c r="M53" s="438"/>
      <c r="N53" s="146"/>
      <c r="O53" s="74"/>
      <c r="P53" s="439"/>
      <c r="Q53" s="440"/>
      <c r="R53" s="436"/>
      <c r="S53" s="436"/>
      <c r="T53" s="436"/>
      <c r="U53" s="436"/>
      <c r="V53" s="437"/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35" t="s">
        <v>119</v>
      </c>
      <c r="B54" s="436"/>
      <c r="C54" s="147" t="s">
        <v>238</v>
      </c>
      <c r="D54" s="147" t="s">
        <v>58</v>
      </c>
      <c r="E54" s="150" t="s">
        <v>239</v>
      </c>
      <c r="F54" s="437" t="s">
        <v>240</v>
      </c>
      <c r="G54" s="437"/>
      <c r="H54" s="437"/>
      <c r="I54" s="437"/>
      <c r="J54" s="437"/>
      <c r="K54" s="437"/>
      <c r="L54" s="437"/>
      <c r="M54" s="438"/>
      <c r="N54" s="146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119</v>
      </c>
      <c r="B55" s="436"/>
      <c r="C55" s="147" t="s">
        <v>245</v>
      </c>
      <c r="D55" s="147" t="s">
        <v>222</v>
      </c>
      <c r="E55" s="150" t="s">
        <v>246</v>
      </c>
      <c r="F55" s="437" t="s">
        <v>244</v>
      </c>
      <c r="G55" s="437"/>
      <c r="H55" s="437"/>
      <c r="I55" s="437"/>
      <c r="J55" s="437"/>
      <c r="K55" s="437"/>
      <c r="L55" s="437"/>
      <c r="M55" s="438"/>
      <c r="N55" s="146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147"/>
      <c r="D56" s="147"/>
      <c r="E56" s="150"/>
      <c r="F56" s="437"/>
      <c r="G56" s="437"/>
      <c r="H56" s="437"/>
      <c r="I56" s="437"/>
      <c r="J56" s="437"/>
      <c r="K56" s="437"/>
      <c r="L56" s="437"/>
      <c r="M56" s="438"/>
      <c r="N56" s="146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150"/>
      <c r="D57" s="147"/>
      <c r="E57" s="150"/>
      <c r="F57" s="437"/>
      <c r="G57" s="437"/>
      <c r="H57" s="437"/>
      <c r="I57" s="437"/>
      <c r="J57" s="437"/>
      <c r="K57" s="437"/>
      <c r="L57" s="437"/>
      <c r="M57" s="438"/>
      <c r="N57" s="146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150"/>
      <c r="D58" s="147"/>
      <c r="E58" s="150"/>
      <c r="F58" s="437"/>
      <c r="G58" s="437"/>
      <c r="H58" s="437"/>
      <c r="I58" s="437"/>
      <c r="J58" s="437"/>
      <c r="K58" s="437"/>
      <c r="L58" s="437"/>
      <c r="M58" s="438"/>
      <c r="N58" s="146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147"/>
      <c r="D59" s="147"/>
      <c r="E59" s="147"/>
      <c r="F59" s="437"/>
      <c r="G59" s="437"/>
      <c r="H59" s="437"/>
      <c r="I59" s="437"/>
      <c r="J59" s="437"/>
      <c r="K59" s="437"/>
      <c r="L59" s="437"/>
      <c r="M59" s="438"/>
      <c r="N59" s="146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149"/>
      <c r="D60" s="149"/>
      <c r="E60" s="149"/>
      <c r="F60" s="443"/>
      <c r="G60" s="443"/>
      <c r="H60" s="443"/>
      <c r="I60" s="443"/>
      <c r="J60" s="443"/>
      <c r="K60" s="443"/>
      <c r="L60" s="443"/>
      <c r="M60" s="444"/>
      <c r="N60" s="148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249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145" t="s">
        <v>2</v>
      </c>
      <c r="D62" s="145" t="s">
        <v>38</v>
      </c>
      <c r="E62" s="145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145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250</v>
      </c>
      <c r="D63" s="141"/>
      <c r="E63" s="143" t="s">
        <v>251</v>
      </c>
      <c r="F63" s="456" t="s">
        <v>252</v>
      </c>
      <c r="G63" s="457"/>
      <c r="H63" s="457"/>
      <c r="I63" s="457"/>
      <c r="J63" s="457"/>
      <c r="K63" s="457" t="s">
        <v>253</v>
      </c>
      <c r="L63" s="457"/>
      <c r="M63" s="54" t="s">
        <v>211</v>
      </c>
      <c r="N63" s="457">
        <v>5</v>
      </c>
      <c r="O63" s="457"/>
      <c r="P63" s="458"/>
      <c r="Q63" s="458"/>
      <c r="R63" s="437" t="s">
        <v>256</v>
      </c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250</v>
      </c>
      <c r="D64" s="141"/>
      <c r="E64" s="143" t="s">
        <v>254</v>
      </c>
      <c r="F64" s="456" t="s">
        <v>255</v>
      </c>
      <c r="G64" s="457"/>
      <c r="H64" s="457"/>
      <c r="I64" s="457"/>
      <c r="J64" s="457"/>
      <c r="K64" s="457" t="s">
        <v>253</v>
      </c>
      <c r="L64" s="457"/>
      <c r="M64" s="54" t="s">
        <v>211</v>
      </c>
      <c r="N64" s="457">
        <v>5</v>
      </c>
      <c r="O64" s="457"/>
      <c r="P64" s="458">
        <v>100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 t="s">
        <v>118</v>
      </c>
      <c r="D65" s="141"/>
      <c r="E65" s="143" t="s">
        <v>216</v>
      </c>
      <c r="F65" s="456" t="s">
        <v>257</v>
      </c>
      <c r="G65" s="457"/>
      <c r="H65" s="457"/>
      <c r="I65" s="457"/>
      <c r="J65" s="457"/>
      <c r="K65" s="457" t="s">
        <v>128</v>
      </c>
      <c r="L65" s="457"/>
      <c r="M65" s="54" t="s">
        <v>258</v>
      </c>
      <c r="N65" s="457">
        <v>8</v>
      </c>
      <c r="O65" s="457"/>
      <c r="P65" s="458">
        <v>20</v>
      </c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 t="s">
        <v>259</v>
      </c>
      <c r="D66" s="141"/>
      <c r="E66" s="143" t="s">
        <v>219</v>
      </c>
      <c r="F66" s="456" t="s">
        <v>260</v>
      </c>
      <c r="G66" s="457"/>
      <c r="H66" s="457"/>
      <c r="I66" s="457"/>
      <c r="J66" s="457"/>
      <c r="K66" s="457" t="s">
        <v>261</v>
      </c>
      <c r="L66" s="457"/>
      <c r="M66" s="54" t="s">
        <v>262</v>
      </c>
      <c r="N66" s="457">
        <v>12</v>
      </c>
      <c r="O66" s="457"/>
      <c r="P66" s="458">
        <v>100</v>
      </c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 t="s">
        <v>118</v>
      </c>
      <c r="D67" s="141"/>
      <c r="E67" s="143" t="s">
        <v>263</v>
      </c>
      <c r="F67" s="456" t="s">
        <v>264</v>
      </c>
      <c r="G67" s="457"/>
      <c r="H67" s="457"/>
      <c r="I67" s="457"/>
      <c r="J67" s="457"/>
      <c r="K67" s="457" t="s">
        <v>265</v>
      </c>
      <c r="L67" s="457"/>
      <c r="M67" s="54" t="s">
        <v>262</v>
      </c>
      <c r="N67" s="457">
        <v>8</v>
      </c>
      <c r="O67" s="457"/>
      <c r="P67" s="458">
        <v>20</v>
      </c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 t="s">
        <v>118</v>
      </c>
      <c r="D68" s="141"/>
      <c r="E68" s="143" t="s">
        <v>266</v>
      </c>
      <c r="F68" s="456" t="s">
        <v>267</v>
      </c>
      <c r="G68" s="457"/>
      <c r="H68" s="457"/>
      <c r="I68" s="457"/>
      <c r="J68" s="457"/>
      <c r="K68" s="457" t="s">
        <v>268</v>
      </c>
      <c r="L68" s="457"/>
      <c r="M68" s="54" t="s">
        <v>262</v>
      </c>
      <c r="N68" s="457">
        <v>6</v>
      </c>
      <c r="O68" s="457"/>
      <c r="P68" s="458">
        <v>20</v>
      </c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141"/>
      <c r="E69" s="143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141"/>
      <c r="E70" s="143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269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144" t="s">
        <v>2</v>
      </c>
      <c r="D72" s="144" t="s">
        <v>38</v>
      </c>
      <c r="E72" s="144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142" t="s">
        <v>118</v>
      </c>
      <c r="D73" s="142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141" t="s">
        <v>118</v>
      </c>
      <c r="D74" s="141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2">A74+1</f>
        <v>3</v>
      </c>
      <c r="B75" s="468"/>
      <c r="C75" s="141" t="s">
        <v>163</v>
      </c>
      <c r="D75" s="141"/>
      <c r="E75" s="35" t="s">
        <v>167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2"/>
        <v>4</v>
      </c>
      <c r="B76" s="468"/>
      <c r="C76" s="141" t="s">
        <v>141</v>
      </c>
      <c r="D76" s="141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2"/>
        <v>5</v>
      </c>
      <c r="B77" s="468"/>
      <c r="C77" s="141"/>
      <c r="D77" s="141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2"/>
        <v>6</v>
      </c>
      <c r="B78" s="468"/>
      <c r="C78" s="141"/>
      <c r="D78" s="141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2"/>
        <v>7</v>
      </c>
      <c r="B79" s="468"/>
      <c r="C79" s="141"/>
      <c r="D79" s="141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2"/>
        <v>8</v>
      </c>
      <c r="B80" s="468"/>
      <c r="C80" s="141"/>
      <c r="D80" s="141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2"/>
        <v>9</v>
      </c>
      <c r="B81" s="468"/>
      <c r="C81" s="141"/>
      <c r="D81" s="141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270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87"/>
  <sheetViews>
    <sheetView topLeftCell="A16"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271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153" t="s">
        <v>17</v>
      </c>
      <c r="L5" s="153" t="s">
        <v>18</v>
      </c>
      <c r="M5" s="153" t="s">
        <v>19</v>
      </c>
      <c r="N5" s="15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0.36626798602044564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119</v>
      </c>
      <c r="D7" s="55" t="s">
        <v>216</v>
      </c>
      <c r="E7" s="56" t="s">
        <v>217</v>
      </c>
      <c r="F7" s="12" t="s">
        <v>218</v>
      </c>
      <c r="G7" s="36">
        <v>1</v>
      </c>
      <c r="H7" s="38">
        <v>25</v>
      </c>
      <c r="I7" s="7">
        <v>40000</v>
      </c>
      <c r="J7" s="14">
        <v>3630</v>
      </c>
      <c r="K7" s="15">
        <f>L7+562</f>
        <v>4186</v>
      </c>
      <c r="L7" s="15">
        <f>1013+2611</f>
        <v>3624</v>
      </c>
      <c r="M7" s="16">
        <f t="shared" si="0"/>
        <v>3624</v>
      </c>
      <c r="N7" s="16">
        <v>0</v>
      </c>
      <c r="O7" s="62">
        <f t="shared" si="1"/>
        <v>0</v>
      </c>
      <c r="P7" s="42">
        <f t="shared" si="2"/>
        <v>18</v>
      </c>
      <c r="Q7" s="43">
        <f t="shared" si="3"/>
        <v>6</v>
      </c>
      <c r="R7" s="7"/>
      <c r="S7" s="6">
        <v>6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0.99834710743801658</v>
      </c>
      <c r="AC7" s="9">
        <f t="shared" si="5"/>
        <v>0.75</v>
      </c>
      <c r="AD7" s="10">
        <f t="shared" si="6"/>
        <v>0.74876033057851243</v>
      </c>
      <c r="AE7" s="39">
        <f t="shared" si="7"/>
        <v>0.36626798602044564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119</v>
      </c>
      <c r="D8" s="55" t="s">
        <v>139</v>
      </c>
      <c r="E8" s="57" t="s">
        <v>272</v>
      </c>
      <c r="F8" s="12" t="s">
        <v>140</v>
      </c>
      <c r="G8" s="36">
        <v>1</v>
      </c>
      <c r="H8" s="38">
        <v>25</v>
      </c>
      <c r="I8" s="7">
        <v>30000</v>
      </c>
      <c r="J8" s="14">
        <v>3340</v>
      </c>
      <c r="K8" s="15">
        <f>L8</f>
        <v>3333</v>
      </c>
      <c r="L8" s="15">
        <f>465+2868</f>
        <v>3333</v>
      </c>
      <c r="M8" s="16">
        <f t="shared" si="0"/>
        <v>3333</v>
      </c>
      <c r="N8" s="16">
        <v>0</v>
      </c>
      <c r="O8" s="62">
        <f t="shared" si="1"/>
        <v>0</v>
      </c>
      <c r="P8" s="42">
        <f t="shared" si="2"/>
        <v>17</v>
      </c>
      <c r="Q8" s="43">
        <f t="shared" si="3"/>
        <v>7</v>
      </c>
      <c r="R8" s="7"/>
      <c r="S8" s="6">
        <v>7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0.99790419161676647</v>
      </c>
      <c r="AC8" s="9">
        <f t="shared" si="5"/>
        <v>0.70833333333333337</v>
      </c>
      <c r="AD8" s="10">
        <f t="shared" si="6"/>
        <v>0.70684880239520964</v>
      </c>
      <c r="AE8" s="39">
        <f t="shared" si="7"/>
        <v>0.36626798602044564</v>
      </c>
      <c r="AF8" s="94">
        <f t="shared" ref="AF8" si="9">A8</f>
        <v>3</v>
      </c>
    </row>
    <row r="9" spans="1:32" ht="27" customHeight="1">
      <c r="A9" s="110">
        <v>4</v>
      </c>
      <c r="B9" s="11" t="s">
        <v>59</v>
      </c>
      <c r="C9" s="37" t="s">
        <v>141</v>
      </c>
      <c r="D9" s="55" t="s">
        <v>219</v>
      </c>
      <c r="E9" s="57" t="s">
        <v>220</v>
      </c>
      <c r="F9" s="12" t="s">
        <v>221</v>
      </c>
      <c r="G9" s="12">
        <v>1</v>
      </c>
      <c r="H9" s="13">
        <v>25</v>
      </c>
      <c r="I9" s="34">
        <v>15000</v>
      </c>
      <c r="J9" s="5">
        <v>5200</v>
      </c>
      <c r="K9" s="15">
        <f>L9+4787</f>
        <v>9986</v>
      </c>
      <c r="L9" s="15">
        <f>2486+2713</f>
        <v>5199</v>
      </c>
      <c r="M9" s="16">
        <f t="shared" si="0"/>
        <v>5199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0.99980769230769229</v>
      </c>
      <c r="AC9" s="9">
        <f t="shared" si="5"/>
        <v>1</v>
      </c>
      <c r="AD9" s="10">
        <f t="shared" si="6"/>
        <v>0.99980769230769229</v>
      </c>
      <c r="AE9" s="39">
        <f t="shared" si="7"/>
        <v>0.36626798602044564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119</v>
      </c>
      <c r="D10" s="55" t="s">
        <v>222</v>
      </c>
      <c r="E10" s="57" t="s">
        <v>223</v>
      </c>
      <c r="F10" s="12" t="s">
        <v>224</v>
      </c>
      <c r="G10" s="12">
        <v>1</v>
      </c>
      <c r="H10" s="13">
        <v>25</v>
      </c>
      <c r="I10" s="34">
        <v>110</v>
      </c>
      <c r="J10" s="14">
        <v>430</v>
      </c>
      <c r="K10" s="15">
        <f>L10+422</f>
        <v>422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0.36626798602044564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118</v>
      </c>
      <c r="D11" s="55" t="s">
        <v>121</v>
      </c>
      <c r="E11" s="57" t="s">
        <v>169</v>
      </c>
      <c r="F11" s="12" t="s">
        <v>152</v>
      </c>
      <c r="G11" s="12">
        <v>1</v>
      </c>
      <c r="H11" s="13">
        <v>25</v>
      </c>
      <c r="I11" s="34">
        <v>6000</v>
      </c>
      <c r="J11" s="14">
        <v>4400</v>
      </c>
      <c r="K11" s="15">
        <f>L11+2308+4605+4724+4396</f>
        <v>16033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0.36626798602044564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3260</v>
      </c>
      <c r="K12" s="15">
        <f>L12+2679+3513+4059+4770+4877+2848+4589+780</f>
        <v>31373</v>
      </c>
      <c r="L12" s="15">
        <f>971+2287</f>
        <v>3258</v>
      </c>
      <c r="M12" s="16">
        <f t="shared" si="0"/>
        <v>3258</v>
      </c>
      <c r="N12" s="16">
        <v>0</v>
      </c>
      <c r="O12" s="62">
        <f t="shared" si="1"/>
        <v>0</v>
      </c>
      <c r="P12" s="42">
        <f t="shared" si="2"/>
        <v>19</v>
      </c>
      <c r="Q12" s="43">
        <f t="shared" si="3"/>
        <v>5</v>
      </c>
      <c r="R12" s="7"/>
      <c r="S12" s="6">
        <v>5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0.99938650306748467</v>
      </c>
      <c r="AC12" s="9">
        <f t="shared" si="5"/>
        <v>0.79166666666666663</v>
      </c>
      <c r="AD12" s="10">
        <f t="shared" si="6"/>
        <v>0.79118098159509198</v>
      </c>
      <c r="AE12" s="39">
        <f t="shared" si="7"/>
        <v>0.36626798602044564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273</v>
      </c>
      <c r="D13" s="55" t="s">
        <v>274</v>
      </c>
      <c r="E13" s="57" t="s">
        <v>275</v>
      </c>
      <c r="F13" s="12" t="s">
        <v>276</v>
      </c>
      <c r="G13" s="12">
        <v>1</v>
      </c>
      <c r="H13" s="13">
        <v>35</v>
      </c>
      <c r="I13" s="7">
        <v>850</v>
      </c>
      <c r="J13" s="14">
        <v>950</v>
      </c>
      <c r="K13" s="15">
        <f>L13</f>
        <v>950</v>
      </c>
      <c r="L13" s="15">
        <f>950</f>
        <v>950</v>
      </c>
      <c r="M13" s="16">
        <f t="shared" si="0"/>
        <v>950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9">
        <f t="shared" si="7"/>
        <v>0.36626798602044564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273</v>
      </c>
      <c r="D14" s="55" t="s">
        <v>277</v>
      </c>
      <c r="E14" s="57" t="s">
        <v>278</v>
      </c>
      <c r="F14" s="12" t="s">
        <v>276</v>
      </c>
      <c r="G14" s="12">
        <v>1</v>
      </c>
      <c r="H14" s="13">
        <v>35</v>
      </c>
      <c r="I14" s="7">
        <v>850</v>
      </c>
      <c r="J14" s="14">
        <v>980</v>
      </c>
      <c r="K14" s="15">
        <f>L14</f>
        <v>980</v>
      </c>
      <c r="L14" s="15">
        <v>980</v>
      </c>
      <c r="M14" s="16">
        <f t="shared" ref="M14" si="10">L14-N14</f>
        <v>980</v>
      </c>
      <c r="N14" s="16">
        <v>0</v>
      </c>
      <c r="O14" s="62">
        <f t="shared" ref="O14" si="11">IF(L14=0,"0",N14/L14)</f>
        <v>0</v>
      </c>
      <c r="P14" s="42">
        <f t="shared" ref="P14" si="12">IF(L14=0,"0",(24-Q14))</f>
        <v>6</v>
      </c>
      <c r="Q14" s="43">
        <f t="shared" ref="Q14" si="13">SUM(R14:AA14)</f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ref="AB14" si="14">IF(J14=0,"0",(L14/J14))</f>
        <v>1</v>
      </c>
      <c r="AC14" s="9">
        <f t="shared" ref="AC14" si="15">IF(P14=0,"0",(P14/24))</f>
        <v>0.25</v>
      </c>
      <c r="AD14" s="10">
        <f t="shared" ref="AD14" si="16">AC14*AB14*(1-O14)</f>
        <v>0.25</v>
      </c>
      <c r="AE14" s="39">
        <f t="shared" si="7"/>
        <v>0.36626798602044564</v>
      </c>
      <c r="AF14" s="94">
        <f t="shared" ref="AF14" si="17">A14</f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138</v>
      </c>
      <c r="E15" s="57" t="s">
        <v>281</v>
      </c>
      <c r="F15" s="33" t="s">
        <v>282</v>
      </c>
      <c r="G15" s="36">
        <v>1</v>
      </c>
      <c r="H15" s="38">
        <v>40</v>
      </c>
      <c r="I15" s="7">
        <v>200</v>
      </c>
      <c r="J15" s="5">
        <v>260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0.36626798602044564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161</v>
      </c>
      <c r="E16" s="57" t="s">
        <v>170</v>
      </c>
      <c r="F16" s="12" t="s">
        <v>162</v>
      </c>
      <c r="G16" s="12">
        <v>1</v>
      </c>
      <c r="H16" s="13">
        <v>25</v>
      </c>
      <c r="I16" s="34">
        <v>2000</v>
      </c>
      <c r="J16" s="14">
        <v>760</v>
      </c>
      <c r="K16" s="15">
        <f>L16+756</f>
        <v>756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0.36626798602044564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141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26000</v>
      </c>
      <c r="J17" s="14">
        <v>5710</v>
      </c>
      <c r="K17" s="15">
        <f>L17+3017+5739+3585+4577+4305+5680</f>
        <v>32606</v>
      </c>
      <c r="L17" s="15">
        <f>2737+2966</f>
        <v>5703</v>
      </c>
      <c r="M17" s="16">
        <f t="shared" si="0"/>
        <v>5703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0.99877408056042027</v>
      </c>
      <c r="AC17" s="9">
        <f t="shared" si="5"/>
        <v>1</v>
      </c>
      <c r="AD17" s="10">
        <f t="shared" si="6"/>
        <v>0.99877408056042027</v>
      </c>
      <c r="AE17" s="39">
        <f t="shared" si="7"/>
        <v>0.36626798602044564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273</v>
      </c>
      <c r="D18" s="55" t="s">
        <v>279</v>
      </c>
      <c r="E18" s="56" t="s">
        <v>280</v>
      </c>
      <c r="F18" s="12" t="s">
        <v>150</v>
      </c>
      <c r="G18" s="12">
        <v>1</v>
      </c>
      <c r="H18" s="13">
        <v>25</v>
      </c>
      <c r="I18" s="34">
        <v>10000</v>
      </c>
      <c r="J18" s="5">
        <v>572</v>
      </c>
      <c r="K18" s="15">
        <f>L18</f>
        <v>572</v>
      </c>
      <c r="L18" s="15">
        <v>572</v>
      </c>
      <c r="M18" s="16">
        <f t="shared" si="0"/>
        <v>572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>
        <v>20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0.36626798602044564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154</v>
      </c>
      <c r="D19" s="55" t="s">
        <v>185</v>
      </c>
      <c r="E19" s="57" t="s">
        <v>186</v>
      </c>
      <c r="F19" s="33" t="s">
        <v>187</v>
      </c>
      <c r="G19" s="12">
        <v>1</v>
      </c>
      <c r="H19" s="13">
        <v>25</v>
      </c>
      <c r="I19" s="34">
        <v>10000</v>
      </c>
      <c r="J19" s="5">
        <v>5720</v>
      </c>
      <c r="K19" s="15">
        <f>L19+5015+5713</f>
        <v>10728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0.36626798602044564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119</v>
      </c>
      <c r="D20" s="55" t="s">
        <v>58</v>
      </c>
      <c r="E20" s="57" t="s">
        <v>143</v>
      </c>
      <c r="F20" s="33" t="s">
        <v>147</v>
      </c>
      <c r="G20" s="36">
        <v>1</v>
      </c>
      <c r="H20" s="38">
        <v>25</v>
      </c>
      <c r="I20" s="7">
        <v>31000</v>
      </c>
      <c r="J20" s="5">
        <v>3020</v>
      </c>
      <c r="K20" s="15">
        <f>L20+4633+5456+3865+4711+1671+3007</f>
        <v>26356</v>
      </c>
      <c r="L20" s="15">
        <f>3013</f>
        <v>3013</v>
      </c>
      <c r="M20" s="16">
        <f t="shared" si="0"/>
        <v>3013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>
        <v>10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0.99768211920529803</v>
      </c>
      <c r="AC20" s="9">
        <f t="shared" si="5"/>
        <v>0.58333333333333337</v>
      </c>
      <c r="AD20" s="10">
        <f t="shared" si="6"/>
        <v>0.5819812362030905</v>
      </c>
      <c r="AE20" s="39">
        <f t="shared" si="7"/>
        <v>0.36626798602044564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164</v>
      </c>
      <c r="F21" s="12" t="s">
        <v>117</v>
      </c>
      <c r="G21" s="12">
        <v>4</v>
      </c>
      <c r="H21" s="38">
        <v>20</v>
      </c>
      <c r="I21" s="7">
        <v>200000</v>
      </c>
      <c r="J21" s="14">
        <v>9070</v>
      </c>
      <c r="K21" s="15">
        <f>L21+40652+62320+60260+9068</f>
        <v>172300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0.36626798602044564</v>
      </c>
      <c r="AF21" s="94">
        <f t="shared" si="8"/>
        <v>15</v>
      </c>
    </row>
    <row r="22" spans="1:36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5">
        <f t="shared" ref="I22:N22" si="18">SUM(I6:I21)</f>
        <v>404010</v>
      </c>
      <c r="J22" s="22">
        <f t="shared" si="18"/>
        <v>49272</v>
      </c>
      <c r="K22" s="23">
        <f t="shared" si="18"/>
        <v>312543</v>
      </c>
      <c r="L22" s="24">
        <f t="shared" si="18"/>
        <v>26632</v>
      </c>
      <c r="M22" s="23">
        <f t="shared" si="18"/>
        <v>26632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132</v>
      </c>
      <c r="Q22" s="46">
        <f t="shared" si="19"/>
        <v>252</v>
      </c>
      <c r="R22" s="26">
        <f t="shared" si="19"/>
        <v>24</v>
      </c>
      <c r="S22" s="27">
        <f t="shared" si="19"/>
        <v>120</v>
      </c>
      <c r="T22" s="27">
        <f t="shared" si="19"/>
        <v>0</v>
      </c>
      <c r="U22" s="27">
        <f t="shared" si="19"/>
        <v>0</v>
      </c>
      <c r="V22" s="28">
        <f t="shared" si="19"/>
        <v>0</v>
      </c>
      <c r="W22" s="29">
        <f t="shared" si="19"/>
        <v>108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0.59946011294637858</v>
      </c>
      <c r="AC22" s="4">
        <f>SUM(AC6:AC21)/15</f>
        <v>0.36666666666666664</v>
      </c>
      <c r="AD22" s="4">
        <f>SUM(AD6:AD21)/15</f>
        <v>0.36626798602044564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1" t="s">
        <v>46</v>
      </c>
      <c r="B49" s="411"/>
      <c r="C49" s="411"/>
      <c r="D49" s="411"/>
      <c r="E49" s="41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2" t="s">
        <v>283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295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154" t="s">
        <v>47</v>
      </c>
      <c r="D51" s="154" t="s">
        <v>48</v>
      </c>
      <c r="E51" s="154" t="s">
        <v>110</v>
      </c>
      <c r="F51" s="419" t="s">
        <v>109</v>
      </c>
      <c r="G51" s="419"/>
      <c r="H51" s="419"/>
      <c r="I51" s="419"/>
      <c r="J51" s="419"/>
      <c r="K51" s="419"/>
      <c r="L51" s="419"/>
      <c r="M51" s="420"/>
      <c r="N51" s="73" t="s">
        <v>114</v>
      </c>
      <c r="O51" s="154" t="s">
        <v>47</v>
      </c>
      <c r="P51" s="421" t="s">
        <v>48</v>
      </c>
      <c r="Q51" s="422"/>
      <c r="R51" s="421" t="s">
        <v>39</v>
      </c>
      <c r="S51" s="423"/>
      <c r="T51" s="423"/>
      <c r="U51" s="422"/>
      <c r="V51" s="421" t="s">
        <v>49</v>
      </c>
      <c r="W51" s="423"/>
      <c r="X51" s="423"/>
      <c r="Y51" s="423"/>
      <c r="Z51" s="423"/>
      <c r="AA51" s="423"/>
      <c r="AB51" s="423"/>
      <c r="AC51" s="423"/>
      <c r="AD51" s="424"/>
    </row>
    <row r="52" spans="1:32" ht="27" customHeight="1">
      <c r="A52" s="435" t="s">
        <v>180</v>
      </c>
      <c r="B52" s="436"/>
      <c r="C52" s="156" t="s">
        <v>226</v>
      </c>
      <c r="D52" s="156" t="s">
        <v>227</v>
      </c>
      <c r="E52" s="159" t="s">
        <v>217</v>
      </c>
      <c r="F52" s="437" t="s">
        <v>284</v>
      </c>
      <c r="G52" s="437"/>
      <c r="H52" s="437"/>
      <c r="I52" s="437"/>
      <c r="J52" s="437"/>
      <c r="K52" s="437"/>
      <c r="L52" s="437"/>
      <c r="M52" s="438"/>
      <c r="N52" s="155" t="s">
        <v>296</v>
      </c>
      <c r="O52" s="74" t="s">
        <v>297</v>
      </c>
      <c r="P52" s="436" t="s">
        <v>298</v>
      </c>
      <c r="Q52" s="436"/>
      <c r="R52" s="436" t="s">
        <v>299</v>
      </c>
      <c r="S52" s="436"/>
      <c r="T52" s="436"/>
      <c r="U52" s="436"/>
      <c r="V52" s="437" t="s">
        <v>300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35" t="s">
        <v>229</v>
      </c>
      <c r="B53" s="436"/>
      <c r="C53" s="156" t="s">
        <v>285</v>
      </c>
      <c r="D53" s="156" t="s">
        <v>286</v>
      </c>
      <c r="E53" s="159" t="s">
        <v>272</v>
      </c>
      <c r="F53" s="437" t="s">
        <v>232</v>
      </c>
      <c r="G53" s="437"/>
      <c r="H53" s="437"/>
      <c r="I53" s="437"/>
      <c r="J53" s="437"/>
      <c r="K53" s="437"/>
      <c r="L53" s="437"/>
      <c r="M53" s="438"/>
      <c r="N53" s="155" t="s">
        <v>302</v>
      </c>
      <c r="O53" s="74" t="s">
        <v>303</v>
      </c>
      <c r="P53" s="439" t="s">
        <v>304</v>
      </c>
      <c r="Q53" s="440"/>
      <c r="R53" s="436" t="s">
        <v>301</v>
      </c>
      <c r="S53" s="436"/>
      <c r="T53" s="436"/>
      <c r="U53" s="436"/>
      <c r="V53" s="437" t="s">
        <v>288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35" t="s">
        <v>233</v>
      </c>
      <c r="B54" s="436"/>
      <c r="C54" s="156" t="s">
        <v>234</v>
      </c>
      <c r="D54" s="156" t="s">
        <v>235</v>
      </c>
      <c r="E54" s="159" t="s">
        <v>236</v>
      </c>
      <c r="F54" s="437" t="s">
        <v>284</v>
      </c>
      <c r="G54" s="437"/>
      <c r="H54" s="437"/>
      <c r="I54" s="437"/>
      <c r="J54" s="437"/>
      <c r="K54" s="437"/>
      <c r="L54" s="437"/>
      <c r="M54" s="438"/>
      <c r="N54" s="155" t="s">
        <v>305</v>
      </c>
      <c r="O54" s="74" t="s">
        <v>306</v>
      </c>
      <c r="P54" s="439" t="s">
        <v>307</v>
      </c>
      <c r="Q54" s="440"/>
      <c r="R54" s="436" t="s">
        <v>308</v>
      </c>
      <c r="S54" s="436"/>
      <c r="T54" s="436"/>
      <c r="U54" s="436"/>
      <c r="V54" s="437" t="s">
        <v>309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119</v>
      </c>
      <c r="B55" s="436"/>
      <c r="C55" s="156" t="s">
        <v>238</v>
      </c>
      <c r="D55" s="156" t="s">
        <v>58</v>
      </c>
      <c r="E55" s="159" t="s">
        <v>239</v>
      </c>
      <c r="F55" s="437" t="s">
        <v>284</v>
      </c>
      <c r="G55" s="437"/>
      <c r="H55" s="437"/>
      <c r="I55" s="437"/>
      <c r="J55" s="437"/>
      <c r="K55" s="437"/>
      <c r="L55" s="437"/>
      <c r="M55" s="438"/>
      <c r="N55" s="155" t="s">
        <v>273</v>
      </c>
      <c r="O55" s="74" t="s">
        <v>292</v>
      </c>
      <c r="P55" s="439" t="s">
        <v>293</v>
      </c>
      <c r="Q55" s="440"/>
      <c r="R55" s="436" t="s">
        <v>280</v>
      </c>
      <c r="S55" s="436"/>
      <c r="T55" s="436"/>
      <c r="U55" s="436"/>
      <c r="V55" s="437" t="s">
        <v>310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273</v>
      </c>
      <c r="B56" s="436"/>
      <c r="C56" s="156" t="s">
        <v>287</v>
      </c>
      <c r="D56" s="156" t="s">
        <v>277</v>
      </c>
      <c r="E56" s="159" t="s">
        <v>278</v>
      </c>
      <c r="F56" s="437" t="s">
        <v>288</v>
      </c>
      <c r="G56" s="437"/>
      <c r="H56" s="437"/>
      <c r="I56" s="437"/>
      <c r="J56" s="437"/>
      <c r="K56" s="437"/>
      <c r="L56" s="437"/>
      <c r="M56" s="438"/>
      <c r="N56" s="155" t="s">
        <v>273</v>
      </c>
      <c r="O56" s="74" t="s">
        <v>311</v>
      </c>
      <c r="P56" s="439" t="s">
        <v>312</v>
      </c>
      <c r="Q56" s="440"/>
      <c r="R56" s="436" t="s">
        <v>313</v>
      </c>
      <c r="S56" s="436"/>
      <c r="T56" s="436"/>
      <c r="U56" s="436"/>
      <c r="V56" s="437" t="s">
        <v>314</v>
      </c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35" t="s">
        <v>273</v>
      </c>
      <c r="B57" s="436"/>
      <c r="C57" s="156" t="s">
        <v>287</v>
      </c>
      <c r="D57" s="156" t="s">
        <v>274</v>
      </c>
      <c r="E57" s="159" t="s">
        <v>275</v>
      </c>
      <c r="F57" s="437" t="s">
        <v>289</v>
      </c>
      <c r="G57" s="437"/>
      <c r="H57" s="437"/>
      <c r="I57" s="437"/>
      <c r="J57" s="437"/>
      <c r="K57" s="437"/>
      <c r="L57" s="437"/>
      <c r="M57" s="438"/>
      <c r="N57" s="155"/>
      <c r="O57" s="74"/>
      <c r="P57" s="436"/>
      <c r="Q57" s="436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 t="s">
        <v>273</v>
      </c>
      <c r="B58" s="446"/>
      <c r="C58" s="159" t="s">
        <v>290</v>
      </c>
      <c r="D58" s="156" t="s">
        <v>277</v>
      </c>
      <c r="E58" s="159" t="s">
        <v>281</v>
      </c>
      <c r="F58" s="437" t="s">
        <v>291</v>
      </c>
      <c r="G58" s="437"/>
      <c r="H58" s="437"/>
      <c r="I58" s="437"/>
      <c r="J58" s="437"/>
      <c r="K58" s="437"/>
      <c r="L58" s="437"/>
      <c r="M58" s="438"/>
      <c r="N58" s="155"/>
      <c r="O58" s="74"/>
      <c r="P58" s="439"/>
      <c r="Q58" s="440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 t="s">
        <v>273</v>
      </c>
      <c r="B59" s="446"/>
      <c r="C59" s="159" t="s">
        <v>292</v>
      </c>
      <c r="D59" s="156" t="s">
        <v>293</v>
      </c>
      <c r="E59" s="159" t="s">
        <v>280</v>
      </c>
      <c r="F59" s="437" t="s">
        <v>294</v>
      </c>
      <c r="G59" s="437"/>
      <c r="H59" s="437"/>
      <c r="I59" s="437"/>
      <c r="J59" s="437"/>
      <c r="K59" s="437"/>
      <c r="L59" s="437"/>
      <c r="M59" s="438"/>
      <c r="N59" s="155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35"/>
      <c r="B60" s="436"/>
      <c r="C60" s="156"/>
      <c r="D60" s="156"/>
      <c r="E60" s="156"/>
      <c r="F60" s="437"/>
      <c r="G60" s="437"/>
      <c r="H60" s="437"/>
      <c r="I60" s="437"/>
      <c r="J60" s="437"/>
      <c r="K60" s="437"/>
      <c r="L60" s="437"/>
      <c r="M60" s="438"/>
      <c r="N60" s="155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  <c r="AF60" s="94">
        <f>8*3000</f>
        <v>24000</v>
      </c>
    </row>
    <row r="61" spans="1:32" ht="27" customHeight="1" thickBot="1">
      <c r="A61" s="441"/>
      <c r="B61" s="442"/>
      <c r="C61" s="158"/>
      <c r="D61" s="158"/>
      <c r="E61" s="158"/>
      <c r="F61" s="443"/>
      <c r="G61" s="443"/>
      <c r="H61" s="443"/>
      <c r="I61" s="443"/>
      <c r="J61" s="443"/>
      <c r="K61" s="443"/>
      <c r="L61" s="443"/>
      <c r="M61" s="444"/>
      <c r="N61" s="157"/>
      <c r="O61" s="121"/>
      <c r="P61" s="442"/>
      <c r="Q61" s="442"/>
      <c r="R61" s="442"/>
      <c r="S61" s="442"/>
      <c r="T61" s="442"/>
      <c r="U61" s="442"/>
      <c r="V61" s="443"/>
      <c r="W61" s="443"/>
      <c r="X61" s="443"/>
      <c r="Y61" s="443"/>
      <c r="Z61" s="443"/>
      <c r="AA61" s="443"/>
      <c r="AB61" s="443"/>
      <c r="AC61" s="443"/>
      <c r="AD61" s="444"/>
      <c r="AF61" s="94">
        <f>16*3000</f>
        <v>48000</v>
      </c>
    </row>
    <row r="62" spans="1:32" ht="27.75" thickBot="1">
      <c r="A62" s="447" t="s">
        <v>315</v>
      </c>
      <c r="B62" s="447"/>
      <c r="C62" s="447"/>
      <c r="D62" s="447"/>
      <c r="E62" s="44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8" t="s">
        <v>115</v>
      </c>
      <c r="B63" s="449"/>
      <c r="C63" s="160" t="s">
        <v>2</v>
      </c>
      <c r="D63" s="160" t="s">
        <v>38</v>
      </c>
      <c r="E63" s="160" t="s">
        <v>3</v>
      </c>
      <c r="F63" s="449" t="s">
        <v>112</v>
      </c>
      <c r="G63" s="449"/>
      <c r="H63" s="449"/>
      <c r="I63" s="449"/>
      <c r="J63" s="449"/>
      <c r="K63" s="449" t="s">
        <v>40</v>
      </c>
      <c r="L63" s="449"/>
      <c r="M63" s="160" t="s">
        <v>41</v>
      </c>
      <c r="N63" s="449" t="s">
        <v>42</v>
      </c>
      <c r="O63" s="449"/>
      <c r="P63" s="450" t="s">
        <v>43</v>
      </c>
      <c r="Q63" s="451"/>
      <c r="R63" s="450" t="s">
        <v>44</v>
      </c>
      <c r="S63" s="452"/>
      <c r="T63" s="452"/>
      <c r="U63" s="452"/>
      <c r="V63" s="452"/>
      <c r="W63" s="452"/>
      <c r="X63" s="452"/>
      <c r="Y63" s="452"/>
      <c r="Z63" s="452"/>
      <c r="AA63" s="451"/>
      <c r="AB63" s="449" t="s">
        <v>45</v>
      </c>
      <c r="AC63" s="449"/>
      <c r="AD63" s="453"/>
      <c r="AF63" s="94">
        <f>SUM(AF60:AF62)</f>
        <v>96000</v>
      </c>
    </row>
    <row r="64" spans="1:32" ht="25.5" customHeight="1">
      <c r="A64" s="454">
        <v>1</v>
      </c>
      <c r="B64" s="455"/>
      <c r="C64" s="124" t="s">
        <v>316</v>
      </c>
      <c r="D64" s="163"/>
      <c r="E64" s="161" t="s">
        <v>317</v>
      </c>
      <c r="F64" s="456" t="s">
        <v>318</v>
      </c>
      <c r="G64" s="457"/>
      <c r="H64" s="457"/>
      <c r="I64" s="457"/>
      <c r="J64" s="457"/>
      <c r="K64" s="457" t="s">
        <v>319</v>
      </c>
      <c r="L64" s="457"/>
      <c r="M64" s="54" t="s">
        <v>320</v>
      </c>
      <c r="N64" s="457">
        <v>5</v>
      </c>
      <c r="O64" s="457"/>
      <c r="P64" s="458">
        <v>200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2</v>
      </c>
      <c r="B65" s="455"/>
      <c r="C65" s="124" t="s">
        <v>273</v>
      </c>
      <c r="D65" s="163"/>
      <c r="E65" s="161" t="s">
        <v>321</v>
      </c>
      <c r="F65" s="456" t="s">
        <v>301</v>
      </c>
      <c r="G65" s="457"/>
      <c r="H65" s="457"/>
      <c r="I65" s="457"/>
      <c r="J65" s="457"/>
      <c r="K65" s="457" t="s">
        <v>322</v>
      </c>
      <c r="L65" s="457"/>
      <c r="M65" s="54" t="s">
        <v>323</v>
      </c>
      <c r="N65" s="457">
        <v>6</v>
      </c>
      <c r="O65" s="457"/>
      <c r="P65" s="458">
        <v>50</v>
      </c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3</v>
      </c>
      <c r="B66" s="455"/>
      <c r="C66" s="124" t="s">
        <v>324</v>
      </c>
      <c r="D66" s="163"/>
      <c r="E66" s="161" t="s">
        <v>325</v>
      </c>
      <c r="F66" s="456" t="s">
        <v>326</v>
      </c>
      <c r="G66" s="457"/>
      <c r="H66" s="457"/>
      <c r="I66" s="457"/>
      <c r="J66" s="457"/>
      <c r="K66" s="457" t="s">
        <v>327</v>
      </c>
      <c r="L66" s="457"/>
      <c r="M66" s="54" t="s">
        <v>328</v>
      </c>
      <c r="N66" s="457">
        <v>10</v>
      </c>
      <c r="O66" s="457"/>
      <c r="P66" s="458">
        <v>100</v>
      </c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4</v>
      </c>
      <c r="B67" s="455"/>
      <c r="C67" s="124"/>
      <c r="D67" s="163"/>
      <c r="E67" s="161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5</v>
      </c>
      <c r="B68" s="455"/>
      <c r="C68" s="124"/>
      <c r="D68" s="163"/>
      <c r="E68" s="161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6</v>
      </c>
      <c r="B69" s="455"/>
      <c r="C69" s="124"/>
      <c r="D69" s="163"/>
      <c r="E69" s="161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7</v>
      </c>
      <c r="B70" s="455"/>
      <c r="C70" s="124"/>
      <c r="D70" s="163"/>
      <c r="E70" s="161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8</v>
      </c>
      <c r="B71" s="455"/>
      <c r="C71" s="124"/>
      <c r="D71" s="163"/>
      <c r="E71" s="161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6.25" customHeight="1" thickBot="1">
      <c r="A72" s="460" t="s">
        <v>329</v>
      </c>
      <c r="B72" s="460"/>
      <c r="C72" s="460"/>
      <c r="D72" s="460"/>
      <c r="E72" s="46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1" t="s">
        <v>115</v>
      </c>
      <c r="B73" s="462"/>
      <c r="C73" s="162" t="s">
        <v>2</v>
      </c>
      <c r="D73" s="162" t="s">
        <v>38</v>
      </c>
      <c r="E73" s="162" t="s">
        <v>3</v>
      </c>
      <c r="F73" s="462" t="s">
        <v>39</v>
      </c>
      <c r="G73" s="462"/>
      <c r="H73" s="462"/>
      <c r="I73" s="462"/>
      <c r="J73" s="462"/>
      <c r="K73" s="463" t="s">
        <v>60</v>
      </c>
      <c r="L73" s="464"/>
      <c r="M73" s="464"/>
      <c r="N73" s="464"/>
      <c r="O73" s="464"/>
      <c r="P73" s="464"/>
      <c r="Q73" s="464"/>
      <c r="R73" s="464"/>
      <c r="S73" s="465"/>
      <c r="T73" s="462" t="s">
        <v>50</v>
      </c>
      <c r="U73" s="462"/>
      <c r="V73" s="463" t="s">
        <v>51</v>
      </c>
      <c r="W73" s="465"/>
      <c r="X73" s="464" t="s">
        <v>52</v>
      </c>
      <c r="Y73" s="464"/>
      <c r="Z73" s="464"/>
      <c r="AA73" s="464"/>
      <c r="AB73" s="464"/>
      <c r="AC73" s="464"/>
      <c r="AD73" s="466"/>
      <c r="AF73" s="53"/>
    </row>
    <row r="74" spans="1:32" ht="33.75" customHeight="1">
      <c r="A74" s="475">
        <v>1</v>
      </c>
      <c r="B74" s="476"/>
      <c r="C74" s="164" t="s">
        <v>118</v>
      </c>
      <c r="D74" s="164"/>
      <c r="E74" s="71" t="s">
        <v>126</v>
      </c>
      <c r="F74" s="477" t="s">
        <v>127</v>
      </c>
      <c r="G74" s="478"/>
      <c r="H74" s="478"/>
      <c r="I74" s="478"/>
      <c r="J74" s="479"/>
      <c r="K74" s="480" t="s">
        <v>120</v>
      </c>
      <c r="L74" s="481"/>
      <c r="M74" s="481"/>
      <c r="N74" s="481"/>
      <c r="O74" s="481"/>
      <c r="P74" s="481"/>
      <c r="Q74" s="481"/>
      <c r="R74" s="481"/>
      <c r="S74" s="482"/>
      <c r="T74" s="483">
        <v>42901</v>
      </c>
      <c r="U74" s="484"/>
      <c r="V74" s="485"/>
      <c r="W74" s="485"/>
      <c r="X74" s="486"/>
      <c r="Y74" s="486"/>
      <c r="Z74" s="486"/>
      <c r="AA74" s="486"/>
      <c r="AB74" s="486"/>
      <c r="AC74" s="486"/>
      <c r="AD74" s="487"/>
      <c r="AF74" s="53"/>
    </row>
    <row r="75" spans="1:32" ht="30" customHeight="1">
      <c r="A75" s="467">
        <f>A74+1</f>
        <v>2</v>
      </c>
      <c r="B75" s="468"/>
      <c r="C75" s="163" t="s">
        <v>118</v>
      </c>
      <c r="D75" s="163"/>
      <c r="E75" s="35" t="s">
        <v>123</v>
      </c>
      <c r="F75" s="468" t="s">
        <v>124</v>
      </c>
      <c r="G75" s="468"/>
      <c r="H75" s="468"/>
      <c r="I75" s="468"/>
      <c r="J75" s="468"/>
      <c r="K75" s="469" t="s">
        <v>125</v>
      </c>
      <c r="L75" s="470"/>
      <c r="M75" s="470"/>
      <c r="N75" s="470"/>
      <c r="O75" s="470"/>
      <c r="P75" s="470"/>
      <c r="Q75" s="470"/>
      <c r="R75" s="470"/>
      <c r="S75" s="471"/>
      <c r="T75" s="472">
        <v>42867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ref="A76:A82" si="20">A75+1</f>
        <v>3</v>
      </c>
      <c r="B76" s="468"/>
      <c r="C76" s="163" t="s">
        <v>163</v>
      </c>
      <c r="D76" s="163"/>
      <c r="E76" s="35" t="s">
        <v>167</v>
      </c>
      <c r="F76" s="468" t="s">
        <v>168</v>
      </c>
      <c r="G76" s="468"/>
      <c r="H76" s="468"/>
      <c r="I76" s="468"/>
      <c r="J76" s="468"/>
      <c r="K76" s="469" t="s">
        <v>120</v>
      </c>
      <c r="L76" s="470"/>
      <c r="M76" s="470"/>
      <c r="N76" s="470"/>
      <c r="O76" s="470"/>
      <c r="P76" s="470"/>
      <c r="Q76" s="470"/>
      <c r="R76" s="470"/>
      <c r="S76" s="471"/>
      <c r="T76" s="472">
        <v>42937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20"/>
        <v>4</v>
      </c>
      <c r="B77" s="468"/>
      <c r="C77" s="163" t="s">
        <v>141</v>
      </c>
      <c r="D77" s="163"/>
      <c r="E77" s="35" t="s">
        <v>148</v>
      </c>
      <c r="F77" s="468" t="s">
        <v>149</v>
      </c>
      <c r="G77" s="468"/>
      <c r="H77" s="468"/>
      <c r="I77" s="468"/>
      <c r="J77" s="468"/>
      <c r="K77" s="469" t="s">
        <v>153</v>
      </c>
      <c r="L77" s="470"/>
      <c r="M77" s="470"/>
      <c r="N77" s="470"/>
      <c r="O77" s="470"/>
      <c r="P77" s="470"/>
      <c r="Q77" s="470"/>
      <c r="R77" s="470"/>
      <c r="S77" s="471"/>
      <c r="T77" s="472">
        <v>42920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20"/>
        <v>5</v>
      </c>
      <c r="B78" s="468"/>
      <c r="C78" s="163" t="s">
        <v>273</v>
      </c>
      <c r="D78" s="163"/>
      <c r="E78" s="35" t="s">
        <v>293</v>
      </c>
      <c r="F78" s="468" t="s">
        <v>280</v>
      </c>
      <c r="G78" s="468"/>
      <c r="H78" s="468"/>
      <c r="I78" s="468"/>
      <c r="J78" s="468"/>
      <c r="K78" s="469" t="s">
        <v>330</v>
      </c>
      <c r="L78" s="470"/>
      <c r="M78" s="470"/>
      <c r="N78" s="470"/>
      <c r="O78" s="470"/>
      <c r="P78" s="470"/>
      <c r="Q78" s="470"/>
      <c r="R78" s="470"/>
      <c r="S78" s="471"/>
      <c r="T78" s="472">
        <v>42951</v>
      </c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20"/>
        <v>6</v>
      </c>
      <c r="B79" s="468"/>
      <c r="C79" s="163"/>
      <c r="D79" s="163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20"/>
        <v>7</v>
      </c>
      <c r="B80" s="468"/>
      <c r="C80" s="163"/>
      <c r="D80" s="163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20"/>
        <v>8</v>
      </c>
      <c r="B81" s="468"/>
      <c r="C81" s="163"/>
      <c r="D81" s="163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20"/>
        <v>9</v>
      </c>
      <c r="B82" s="468"/>
      <c r="C82" s="163"/>
      <c r="D82" s="163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6" thickBot="1">
      <c r="A83" s="460" t="s">
        <v>331</v>
      </c>
      <c r="B83" s="460"/>
      <c r="C83" s="460"/>
      <c r="D83" s="460"/>
      <c r="E83" s="46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88" t="s">
        <v>37</v>
      </c>
      <c r="B84" s="489"/>
      <c r="C84" s="489" t="s">
        <v>53</v>
      </c>
      <c r="D84" s="489"/>
      <c r="E84" s="489" t="s">
        <v>54</v>
      </c>
      <c r="F84" s="489"/>
      <c r="G84" s="489"/>
      <c r="H84" s="489"/>
      <c r="I84" s="489"/>
      <c r="J84" s="489"/>
      <c r="K84" s="489" t="s">
        <v>55</v>
      </c>
      <c r="L84" s="489"/>
      <c r="M84" s="489"/>
      <c r="N84" s="489"/>
      <c r="O84" s="489"/>
      <c r="P84" s="489"/>
      <c r="Q84" s="489"/>
      <c r="R84" s="489"/>
      <c r="S84" s="489"/>
      <c r="T84" s="489" t="s">
        <v>56</v>
      </c>
      <c r="U84" s="489"/>
      <c r="V84" s="489" t="s">
        <v>57</v>
      </c>
      <c r="W84" s="489"/>
      <c r="X84" s="489"/>
      <c r="Y84" s="489" t="s">
        <v>52</v>
      </c>
      <c r="Z84" s="489"/>
      <c r="AA84" s="489"/>
      <c r="AB84" s="489"/>
      <c r="AC84" s="489"/>
      <c r="AD84" s="490"/>
      <c r="AF84" s="53"/>
    </row>
    <row r="85" spans="1:32" ht="30.75" customHeight="1">
      <c r="A85" s="475">
        <v>1</v>
      </c>
      <c r="B85" s="476"/>
      <c r="C85" s="491">
        <v>1</v>
      </c>
      <c r="D85" s="491"/>
      <c r="E85" s="491" t="s">
        <v>133</v>
      </c>
      <c r="F85" s="491"/>
      <c r="G85" s="491"/>
      <c r="H85" s="491"/>
      <c r="I85" s="491"/>
      <c r="J85" s="491"/>
      <c r="K85" s="491" t="s">
        <v>134</v>
      </c>
      <c r="L85" s="491"/>
      <c r="M85" s="491"/>
      <c r="N85" s="491"/>
      <c r="O85" s="491"/>
      <c r="P85" s="491"/>
      <c r="Q85" s="491"/>
      <c r="R85" s="491"/>
      <c r="S85" s="491"/>
      <c r="T85" s="491" t="s">
        <v>135</v>
      </c>
      <c r="U85" s="491"/>
      <c r="V85" s="492">
        <v>1500000</v>
      </c>
      <c r="W85" s="492"/>
      <c r="X85" s="492"/>
      <c r="Y85" s="493" t="s">
        <v>136</v>
      </c>
      <c r="Z85" s="493"/>
      <c r="AA85" s="493"/>
      <c r="AB85" s="493"/>
      <c r="AC85" s="493"/>
      <c r="AD85" s="494"/>
      <c r="AF85" s="53"/>
    </row>
    <row r="86" spans="1:32" ht="30.75" customHeight="1">
      <c r="A86" s="467">
        <v>2</v>
      </c>
      <c r="B86" s="468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502"/>
      <c r="Q86" s="502"/>
      <c r="R86" s="502"/>
      <c r="S86" s="502"/>
      <c r="T86" s="503"/>
      <c r="U86" s="503"/>
      <c r="V86" s="504"/>
      <c r="W86" s="504"/>
      <c r="X86" s="504"/>
      <c r="Y86" s="495"/>
      <c r="Z86" s="495"/>
      <c r="AA86" s="495"/>
      <c r="AB86" s="495"/>
      <c r="AC86" s="495"/>
      <c r="AD86" s="496"/>
      <c r="AF86" s="53"/>
    </row>
    <row r="87" spans="1:32" ht="30.75" customHeight="1" thickBot="1">
      <c r="A87" s="497">
        <v>3</v>
      </c>
      <c r="B87" s="498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500"/>
      <c r="Z87" s="500"/>
      <c r="AA87" s="500"/>
      <c r="AB87" s="500"/>
      <c r="AC87" s="500"/>
      <c r="AD87" s="50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J86"/>
  <sheetViews>
    <sheetView topLeftCell="A16" zoomScale="72" zoomScaleNormal="72" zoomScaleSheetLayoutView="70" workbookViewId="0">
      <selection activeCell="T13" sqref="T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332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153" t="s">
        <v>17</v>
      </c>
      <c r="L5" s="153" t="s">
        <v>18</v>
      </c>
      <c r="M5" s="153" t="s">
        <v>19</v>
      </c>
      <c r="N5" s="15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0.38299272754057662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216</v>
      </c>
      <c r="E7" s="56" t="s">
        <v>217</v>
      </c>
      <c r="F7" s="12" t="s">
        <v>218</v>
      </c>
      <c r="G7" s="36">
        <v>1</v>
      </c>
      <c r="H7" s="38">
        <v>25</v>
      </c>
      <c r="I7" s="7">
        <v>40000</v>
      </c>
      <c r="J7" s="14">
        <v>3000</v>
      </c>
      <c r="K7" s="15">
        <f>L7+562+3624</f>
        <v>7186</v>
      </c>
      <c r="L7" s="15">
        <f>2121+879</f>
        <v>3000</v>
      </c>
      <c r="M7" s="16">
        <f t="shared" si="0"/>
        <v>3000</v>
      </c>
      <c r="N7" s="16">
        <v>0</v>
      </c>
      <c r="O7" s="62">
        <f t="shared" si="1"/>
        <v>0</v>
      </c>
      <c r="P7" s="42">
        <f t="shared" si="2"/>
        <v>17</v>
      </c>
      <c r="Q7" s="43">
        <f t="shared" si="3"/>
        <v>7</v>
      </c>
      <c r="R7" s="7"/>
      <c r="S7" s="6">
        <v>7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0.70833333333333337</v>
      </c>
      <c r="AD7" s="10">
        <f t="shared" si="6"/>
        <v>0.70833333333333337</v>
      </c>
      <c r="AE7" s="39">
        <f t="shared" si="7"/>
        <v>0.38299272754057662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139</v>
      </c>
      <c r="E8" s="57" t="s">
        <v>272</v>
      </c>
      <c r="F8" s="12" t="s">
        <v>140</v>
      </c>
      <c r="G8" s="36">
        <v>1</v>
      </c>
      <c r="H8" s="38">
        <v>25</v>
      </c>
      <c r="I8" s="7">
        <v>30000</v>
      </c>
      <c r="J8" s="14">
        <v>5510</v>
      </c>
      <c r="K8" s="15">
        <f>L8+3333</f>
        <v>8834</v>
      </c>
      <c r="L8" s="15">
        <f>2634+2867</f>
        <v>5501</v>
      </c>
      <c r="M8" s="16">
        <f t="shared" si="0"/>
        <v>5501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0.99836660617059891</v>
      </c>
      <c r="AC8" s="9">
        <f t="shared" si="5"/>
        <v>1</v>
      </c>
      <c r="AD8" s="10">
        <f t="shared" si="6"/>
        <v>0.99836660617059891</v>
      </c>
      <c r="AE8" s="39">
        <f t="shared" si="7"/>
        <v>0.38299272754057662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219</v>
      </c>
      <c r="E9" s="57" t="s">
        <v>220</v>
      </c>
      <c r="F9" s="12" t="s">
        <v>221</v>
      </c>
      <c r="G9" s="12">
        <v>1</v>
      </c>
      <c r="H9" s="13">
        <v>25</v>
      </c>
      <c r="I9" s="34">
        <v>15000</v>
      </c>
      <c r="J9" s="5">
        <v>5200</v>
      </c>
      <c r="K9" s="15">
        <f>L9+4787+5199</f>
        <v>9986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0.38299272754057662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222</v>
      </c>
      <c r="E10" s="57" t="s">
        <v>223</v>
      </c>
      <c r="F10" s="12" t="s">
        <v>224</v>
      </c>
      <c r="G10" s="12">
        <v>1</v>
      </c>
      <c r="H10" s="13">
        <v>25</v>
      </c>
      <c r="I10" s="34">
        <v>110</v>
      </c>
      <c r="J10" s="14">
        <v>430</v>
      </c>
      <c r="K10" s="15">
        <f>L10+422</f>
        <v>422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0.38299272754057662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321</v>
      </c>
      <c r="E11" s="57" t="s">
        <v>301</v>
      </c>
      <c r="F11" s="12" t="s">
        <v>333</v>
      </c>
      <c r="G11" s="12">
        <v>1</v>
      </c>
      <c r="H11" s="13">
        <v>25</v>
      </c>
      <c r="I11" s="34">
        <v>850</v>
      </c>
      <c r="J11" s="14">
        <v>960</v>
      </c>
      <c r="K11" s="15">
        <f>L11</f>
        <v>954</v>
      </c>
      <c r="L11" s="15">
        <f>954</f>
        <v>954</v>
      </c>
      <c r="M11" s="16">
        <f t="shared" si="0"/>
        <v>954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0.99375000000000002</v>
      </c>
      <c r="AC11" s="9">
        <f t="shared" si="5"/>
        <v>0.25</v>
      </c>
      <c r="AD11" s="10">
        <f t="shared" si="6"/>
        <v>0.24843750000000001</v>
      </c>
      <c r="AE11" s="39">
        <f t="shared" si="7"/>
        <v>0.38299272754057662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4730</v>
      </c>
      <c r="K12" s="15">
        <f>L12+2679+3513+4059+4770+4877+2848+4589+780+3258</f>
        <v>36097</v>
      </c>
      <c r="L12" s="15">
        <f>2476+2248</f>
        <v>4724</v>
      </c>
      <c r="M12" s="16">
        <f t="shared" si="0"/>
        <v>4724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0.99873150105708242</v>
      </c>
      <c r="AC12" s="9">
        <f t="shared" si="5"/>
        <v>1</v>
      </c>
      <c r="AD12" s="10">
        <f t="shared" si="6"/>
        <v>0.99873150105708242</v>
      </c>
      <c r="AE12" s="39">
        <f t="shared" si="7"/>
        <v>0.38299272754057662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273</v>
      </c>
      <c r="D13" s="55" t="s">
        <v>274</v>
      </c>
      <c r="E13" s="57" t="s">
        <v>275</v>
      </c>
      <c r="F13" s="12" t="s">
        <v>276</v>
      </c>
      <c r="G13" s="12">
        <v>1</v>
      </c>
      <c r="H13" s="13">
        <v>35</v>
      </c>
      <c r="I13" s="7">
        <v>850</v>
      </c>
      <c r="J13" s="14">
        <v>950</v>
      </c>
      <c r="K13" s="15">
        <f>L13+950</f>
        <v>950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0.38299272754057662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138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0.38299272754057662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0.38299272754057662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3440</v>
      </c>
      <c r="K16" s="15">
        <f>L16+3017+5739+3585+4577+4305+5680+5703</f>
        <v>36046</v>
      </c>
      <c r="L16" s="15">
        <f>511+2929</f>
        <v>3440</v>
      </c>
      <c r="M16" s="16">
        <f t="shared" si="0"/>
        <v>3440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9">
        <f t="shared" si="7"/>
        <v>0.38299272754057662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273</v>
      </c>
      <c r="D17" s="55" t="s">
        <v>279</v>
      </c>
      <c r="E17" s="56" t="s">
        <v>280</v>
      </c>
      <c r="F17" s="12" t="s">
        <v>150</v>
      </c>
      <c r="G17" s="12">
        <v>1</v>
      </c>
      <c r="H17" s="13">
        <v>25</v>
      </c>
      <c r="I17" s="34">
        <v>10000</v>
      </c>
      <c r="J17" s="5">
        <v>3770</v>
      </c>
      <c r="K17" s="15">
        <f>L17+572</f>
        <v>4340</v>
      </c>
      <c r="L17" s="15">
        <f>1229+2539</f>
        <v>3768</v>
      </c>
      <c r="M17" s="16">
        <f t="shared" si="0"/>
        <v>3768</v>
      </c>
      <c r="N17" s="16">
        <v>0</v>
      </c>
      <c r="O17" s="62">
        <f t="shared" si="1"/>
        <v>0</v>
      </c>
      <c r="P17" s="42">
        <f t="shared" si="2"/>
        <v>20</v>
      </c>
      <c r="Q17" s="43">
        <f t="shared" si="3"/>
        <v>4</v>
      </c>
      <c r="R17" s="7"/>
      <c r="S17" s="6">
        <v>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0.99946949602122015</v>
      </c>
      <c r="AC17" s="9">
        <f t="shared" si="5"/>
        <v>0.83333333333333337</v>
      </c>
      <c r="AD17" s="10">
        <f t="shared" si="6"/>
        <v>0.83289124668435011</v>
      </c>
      <c r="AE17" s="39">
        <f t="shared" si="7"/>
        <v>0.38299272754057662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154</v>
      </c>
      <c r="D18" s="55" t="s">
        <v>185</v>
      </c>
      <c r="E18" s="57" t="s">
        <v>334</v>
      </c>
      <c r="F18" s="33" t="s">
        <v>187</v>
      </c>
      <c r="G18" s="12">
        <v>1</v>
      </c>
      <c r="H18" s="13">
        <v>25</v>
      </c>
      <c r="I18" s="34">
        <v>850</v>
      </c>
      <c r="J18" s="5">
        <v>952</v>
      </c>
      <c r="K18" s="15">
        <f>L18</f>
        <v>952</v>
      </c>
      <c r="L18" s="15">
        <v>952</v>
      </c>
      <c r="M18" s="16">
        <f t="shared" si="0"/>
        <v>952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/>
      <c r="T18" s="17"/>
      <c r="U18" s="17"/>
      <c r="V18" s="18"/>
      <c r="W18" s="19">
        <v>18</v>
      </c>
      <c r="X18" s="17"/>
      <c r="Y18" s="20"/>
      <c r="Z18" s="20"/>
      <c r="AA18" s="21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9">
        <f t="shared" si="7"/>
        <v>0.38299272754057662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4730</v>
      </c>
      <c r="K19" s="15">
        <f>L19+4633+5456+3865+4711+1671+3007+3013</f>
        <v>31085</v>
      </c>
      <c r="L19" s="15">
        <f>2411+2318</f>
        <v>4729</v>
      </c>
      <c r="M19" s="16">
        <f t="shared" si="0"/>
        <v>4729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>
        <v>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0.99978858350951372</v>
      </c>
      <c r="AC19" s="9">
        <f t="shared" si="5"/>
        <v>0.95833333333333337</v>
      </c>
      <c r="AD19" s="10">
        <f t="shared" si="6"/>
        <v>0.95813072586328407</v>
      </c>
      <c r="AE19" s="39">
        <f t="shared" si="7"/>
        <v>0.38299272754057662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164</v>
      </c>
      <c r="F20" s="12" t="s">
        <v>117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0.38299272754057662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10">SUM(I6:I20)</f>
        <v>388860</v>
      </c>
      <c r="J21" s="22">
        <f t="shared" si="10"/>
        <v>45732</v>
      </c>
      <c r="K21" s="23">
        <f t="shared" si="10"/>
        <v>311870</v>
      </c>
      <c r="L21" s="24">
        <f t="shared" si="10"/>
        <v>27068</v>
      </c>
      <c r="M21" s="23">
        <f t="shared" si="10"/>
        <v>27068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138</v>
      </c>
      <c r="Q21" s="46">
        <f t="shared" si="11"/>
        <v>222</v>
      </c>
      <c r="R21" s="26">
        <f t="shared" si="11"/>
        <v>24</v>
      </c>
      <c r="S21" s="27">
        <f t="shared" si="11"/>
        <v>90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108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0.53267374578389426</v>
      </c>
      <c r="AC21" s="4">
        <f>SUM(AC6:AC20)/15</f>
        <v>0.38333333333333336</v>
      </c>
      <c r="AD21" s="4">
        <f>SUM(AD6:AD20)/15</f>
        <v>0.38299272754057662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335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344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154" t="s">
        <v>47</v>
      </c>
      <c r="D50" s="154" t="s">
        <v>48</v>
      </c>
      <c r="E50" s="154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154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156" t="s">
        <v>226</v>
      </c>
      <c r="D51" s="156" t="s">
        <v>227</v>
      </c>
      <c r="E51" s="159" t="s">
        <v>217</v>
      </c>
      <c r="F51" s="437" t="s">
        <v>336</v>
      </c>
      <c r="G51" s="437"/>
      <c r="H51" s="437"/>
      <c r="I51" s="437"/>
      <c r="J51" s="437"/>
      <c r="K51" s="437"/>
      <c r="L51" s="437"/>
      <c r="M51" s="438"/>
      <c r="N51" s="155" t="s">
        <v>296</v>
      </c>
      <c r="O51" s="74" t="s">
        <v>297</v>
      </c>
      <c r="P51" s="436" t="s">
        <v>298</v>
      </c>
      <c r="Q51" s="436"/>
      <c r="R51" s="436" t="s">
        <v>345</v>
      </c>
      <c r="S51" s="436"/>
      <c r="T51" s="436"/>
      <c r="U51" s="436"/>
      <c r="V51" s="437" t="s">
        <v>346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229</v>
      </c>
      <c r="B52" s="436"/>
      <c r="C52" s="156" t="s">
        <v>297</v>
      </c>
      <c r="D52" s="156" t="s">
        <v>337</v>
      </c>
      <c r="E52" s="159" t="s">
        <v>299</v>
      </c>
      <c r="F52" s="437" t="s">
        <v>338</v>
      </c>
      <c r="G52" s="437"/>
      <c r="H52" s="437"/>
      <c r="I52" s="437"/>
      <c r="J52" s="437"/>
      <c r="K52" s="437"/>
      <c r="L52" s="437"/>
      <c r="M52" s="438"/>
      <c r="N52" s="155" t="s">
        <v>273</v>
      </c>
      <c r="O52" s="74" t="s">
        <v>292</v>
      </c>
      <c r="P52" s="439" t="s">
        <v>293</v>
      </c>
      <c r="Q52" s="440"/>
      <c r="R52" s="436" t="s">
        <v>280</v>
      </c>
      <c r="S52" s="436"/>
      <c r="T52" s="436"/>
      <c r="U52" s="436"/>
      <c r="V52" s="437" t="s">
        <v>343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35" t="s">
        <v>119</v>
      </c>
      <c r="B53" s="436"/>
      <c r="C53" s="156" t="s">
        <v>238</v>
      </c>
      <c r="D53" s="156" t="s">
        <v>58</v>
      </c>
      <c r="E53" s="159" t="s">
        <v>239</v>
      </c>
      <c r="F53" s="437" t="s">
        <v>339</v>
      </c>
      <c r="G53" s="437"/>
      <c r="H53" s="437"/>
      <c r="I53" s="437"/>
      <c r="J53" s="437"/>
      <c r="K53" s="437"/>
      <c r="L53" s="437"/>
      <c r="M53" s="438"/>
      <c r="N53" s="155" t="s">
        <v>273</v>
      </c>
      <c r="O53" s="74" t="s">
        <v>311</v>
      </c>
      <c r="P53" s="439" t="s">
        <v>312</v>
      </c>
      <c r="Q53" s="440"/>
      <c r="R53" s="436" t="s">
        <v>313</v>
      </c>
      <c r="S53" s="436"/>
      <c r="T53" s="436"/>
      <c r="U53" s="436"/>
      <c r="V53" s="437" t="s">
        <v>314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35" t="s">
        <v>273</v>
      </c>
      <c r="B54" s="436"/>
      <c r="C54" s="156" t="s">
        <v>303</v>
      </c>
      <c r="D54" s="156" t="s">
        <v>304</v>
      </c>
      <c r="E54" s="159" t="s">
        <v>301</v>
      </c>
      <c r="F54" s="437" t="s">
        <v>289</v>
      </c>
      <c r="G54" s="437"/>
      <c r="H54" s="437"/>
      <c r="I54" s="437"/>
      <c r="J54" s="437"/>
      <c r="K54" s="437"/>
      <c r="L54" s="437"/>
      <c r="M54" s="438"/>
      <c r="N54" s="155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273</v>
      </c>
      <c r="B55" s="436"/>
      <c r="C55" s="156" t="s">
        <v>340</v>
      </c>
      <c r="D55" s="156" t="s">
        <v>312</v>
      </c>
      <c r="E55" s="159" t="s">
        <v>334</v>
      </c>
      <c r="F55" s="437" t="s">
        <v>288</v>
      </c>
      <c r="G55" s="437"/>
      <c r="H55" s="437"/>
      <c r="I55" s="437"/>
      <c r="J55" s="437"/>
      <c r="K55" s="437"/>
      <c r="L55" s="437"/>
      <c r="M55" s="438"/>
      <c r="N55" s="155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273</v>
      </c>
      <c r="B56" s="436"/>
      <c r="C56" s="156" t="s">
        <v>340</v>
      </c>
      <c r="D56" s="156" t="s">
        <v>341</v>
      </c>
      <c r="E56" s="159" t="s">
        <v>313</v>
      </c>
      <c r="F56" s="437" t="s">
        <v>342</v>
      </c>
      <c r="G56" s="437"/>
      <c r="H56" s="437"/>
      <c r="I56" s="437"/>
      <c r="J56" s="437"/>
      <c r="K56" s="437"/>
      <c r="L56" s="437"/>
      <c r="M56" s="438"/>
      <c r="N56" s="155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 t="s">
        <v>273</v>
      </c>
      <c r="B57" s="446"/>
      <c r="C57" s="159" t="s">
        <v>290</v>
      </c>
      <c r="D57" s="156" t="s">
        <v>277</v>
      </c>
      <c r="E57" s="159" t="s">
        <v>281</v>
      </c>
      <c r="F57" s="437" t="s">
        <v>291</v>
      </c>
      <c r="G57" s="437"/>
      <c r="H57" s="437"/>
      <c r="I57" s="437"/>
      <c r="J57" s="437"/>
      <c r="K57" s="437"/>
      <c r="L57" s="437"/>
      <c r="M57" s="438"/>
      <c r="N57" s="155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 t="s">
        <v>273</v>
      </c>
      <c r="B58" s="446"/>
      <c r="C58" s="159" t="s">
        <v>292</v>
      </c>
      <c r="D58" s="156" t="s">
        <v>293</v>
      </c>
      <c r="E58" s="159" t="s">
        <v>280</v>
      </c>
      <c r="F58" s="437" t="s">
        <v>343</v>
      </c>
      <c r="G58" s="437"/>
      <c r="H58" s="437"/>
      <c r="I58" s="437"/>
      <c r="J58" s="437"/>
      <c r="K58" s="437"/>
      <c r="L58" s="437"/>
      <c r="M58" s="438"/>
      <c r="N58" s="155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156"/>
      <c r="D59" s="156"/>
      <c r="E59" s="156"/>
      <c r="F59" s="437"/>
      <c r="G59" s="437"/>
      <c r="H59" s="437"/>
      <c r="I59" s="437"/>
      <c r="J59" s="437"/>
      <c r="K59" s="437"/>
      <c r="L59" s="437"/>
      <c r="M59" s="438"/>
      <c r="N59" s="155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158"/>
      <c r="D60" s="158"/>
      <c r="E60" s="158"/>
      <c r="F60" s="443"/>
      <c r="G60" s="443"/>
      <c r="H60" s="443"/>
      <c r="I60" s="443"/>
      <c r="J60" s="443"/>
      <c r="K60" s="443"/>
      <c r="L60" s="443"/>
      <c r="M60" s="444"/>
      <c r="N60" s="157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347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160" t="s">
        <v>2</v>
      </c>
      <c r="D62" s="160" t="s">
        <v>38</v>
      </c>
      <c r="E62" s="160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160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316</v>
      </c>
      <c r="D63" s="163"/>
      <c r="E63" s="161" t="s">
        <v>348</v>
      </c>
      <c r="F63" s="456" t="s">
        <v>349</v>
      </c>
      <c r="G63" s="457"/>
      <c r="H63" s="457"/>
      <c r="I63" s="457"/>
      <c r="J63" s="457"/>
      <c r="K63" s="457" t="s">
        <v>319</v>
      </c>
      <c r="L63" s="457"/>
      <c r="M63" s="54" t="s">
        <v>320</v>
      </c>
      <c r="N63" s="457">
        <v>5</v>
      </c>
      <c r="O63" s="457"/>
      <c r="P63" s="458">
        <v>200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273</v>
      </c>
      <c r="D64" s="163"/>
      <c r="E64" s="161" t="s">
        <v>312</v>
      </c>
      <c r="F64" s="456" t="s">
        <v>350</v>
      </c>
      <c r="G64" s="457"/>
      <c r="H64" s="457"/>
      <c r="I64" s="457"/>
      <c r="J64" s="457"/>
      <c r="K64" s="457" t="s">
        <v>351</v>
      </c>
      <c r="L64" s="457"/>
      <c r="M64" s="54" t="s">
        <v>323</v>
      </c>
      <c r="N64" s="457">
        <v>13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 t="s">
        <v>305</v>
      </c>
      <c r="D65" s="163"/>
      <c r="E65" s="161" t="s">
        <v>277</v>
      </c>
      <c r="F65" s="456" t="s">
        <v>352</v>
      </c>
      <c r="G65" s="457"/>
      <c r="H65" s="457"/>
      <c r="I65" s="457"/>
      <c r="J65" s="457"/>
      <c r="K65" s="457" t="s">
        <v>353</v>
      </c>
      <c r="L65" s="457"/>
      <c r="M65" s="54" t="s">
        <v>320</v>
      </c>
      <c r="N65" s="457">
        <v>5</v>
      </c>
      <c r="O65" s="457"/>
      <c r="P65" s="458"/>
      <c r="Q65" s="458"/>
      <c r="R65" s="437" t="s">
        <v>354</v>
      </c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 t="s">
        <v>355</v>
      </c>
      <c r="D66" s="163"/>
      <c r="E66" s="161" t="s">
        <v>321</v>
      </c>
      <c r="F66" s="456" t="s">
        <v>356</v>
      </c>
      <c r="G66" s="457"/>
      <c r="H66" s="457"/>
      <c r="I66" s="457"/>
      <c r="J66" s="457"/>
      <c r="K66" s="457" t="s">
        <v>357</v>
      </c>
      <c r="L66" s="457"/>
      <c r="M66" s="54" t="s">
        <v>328</v>
      </c>
      <c r="N66" s="457">
        <v>10</v>
      </c>
      <c r="O66" s="457"/>
      <c r="P66" s="458">
        <v>200</v>
      </c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163"/>
      <c r="E67" s="161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163"/>
      <c r="E68" s="161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163"/>
      <c r="E69" s="161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163"/>
      <c r="E70" s="161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358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162" t="s">
        <v>2</v>
      </c>
      <c r="D72" s="162" t="s">
        <v>38</v>
      </c>
      <c r="E72" s="162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164" t="s">
        <v>118</v>
      </c>
      <c r="D73" s="164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163" t="s">
        <v>118</v>
      </c>
      <c r="D74" s="163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2">A74+1</f>
        <v>3</v>
      </c>
      <c r="B75" s="468"/>
      <c r="C75" s="163" t="s">
        <v>163</v>
      </c>
      <c r="D75" s="163"/>
      <c r="E75" s="35" t="s">
        <v>167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2"/>
        <v>4</v>
      </c>
      <c r="B76" s="468"/>
      <c r="C76" s="163" t="s">
        <v>141</v>
      </c>
      <c r="D76" s="163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2"/>
        <v>5</v>
      </c>
      <c r="B77" s="468"/>
      <c r="C77" s="163" t="s">
        <v>305</v>
      </c>
      <c r="D77" s="163"/>
      <c r="E77" s="35" t="s">
        <v>325</v>
      </c>
      <c r="F77" s="468" t="s">
        <v>359</v>
      </c>
      <c r="G77" s="468"/>
      <c r="H77" s="468"/>
      <c r="I77" s="468"/>
      <c r="J77" s="468"/>
      <c r="K77" s="469" t="s">
        <v>360</v>
      </c>
      <c r="L77" s="470"/>
      <c r="M77" s="470"/>
      <c r="N77" s="470"/>
      <c r="O77" s="470"/>
      <c r="P77" s="470"/>
      <c r="Q77" s="470"/>
      <c r="R77" s="470"/>
      <c r="S77" s="471"/>
      <c r="T77" s="472">
        <v>42951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2"/>
        <v>6</v>
      </c>
      <c r="B78" s="468"/>
      <c r="C78" s="163"/>
      <c r="D78" s="163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2"/>
        <v>7</v>
      </c>
      <c r="B79" s="468"/>
      <c r="C79" s="163"/>
      <c r="D79" s="163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2"/>
        <v>8</v>
      </c>
      <c r="B80" s="468"/>
      <c r="C80" s="163"/>
      <c r="D80" s="163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2"/>
        <v>9</v>
      </c>
      <c r="B81" s="468"/>
      <c r="C81" s="163"/>
      <c r="D81" s="163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361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86"/>
  <sheetViews>
    <sheetView topLeftCell="A13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362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176" t="s">
        <v>17</v>
      </c>
      <c r="L5" s="176" t="s">
        <v>18</v>
      </c>
      <c r="M5" s="176" t="s">
        <v>19</v>
      </c>
      <c r="N5" s="17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0.40466400096233807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216</v>
      </c>
      <c r="E7" s="56" t="s">
        <v>217</v>
      </c>
      <c r="F7" s="12" t="s">
        <v>128</v>
      </c>
      <c r="G7" s="36">
        <v>1</v>
      </c>
      <c r="H7" s="38">
        <v>25</v>
      </c>
      <c r="I7" s="7">
        <v>40000</v>
      </c>
      <c r="J7" s="14">
        <v>2280</v>
      </c>
      <c r="K7" s="15">
        <f>L7+562+3624+3000</f>
        <v>9465</v>
      </c>
      <c r="L7" s="15">
        <f>705+1574</f>
        <v>2279</v>
      </c>
      <c r="M7" s="16">
        <f t="shared" si="0"/>
        <v>2279</v>
      </c>
      <c r="N7" s="16">
        <v>0</v>
      </c>
      <c r="O7" s="62">
        <f t="shared" si="1"/>
        <v>0</v>
      </c>
      <c r="P7" s="42">
        <f t="shared" si="2"/>
        <v>11</v>
      </c>
      <c r="Q7" s="43">
        <f t="shared" si="3"/>
        <v>13</v>
      </c>
      <c r="R7" s="7"/>
      <c r="S7" s="6">
        <v>13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0.99956140350877198</v>
      </c>
      <c r="AC7" s="9">
        <f t="shared" si="5"/>
        <v>0.45833333333333331</v>
      </c>
      <c r="AD7" s="10">
        <f t="shared" si="6"/>
        <v>0.45813230994152049</v>
      </c>
      <c r="AE7" s="39">
        <f t="shared" si="7"/>
        <v>0.40466400096233807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139</v>
      </c>
      <c r="E8" s="57" t="s">
        <v>272</v>
      </c>
      <c r="F8" s="12" t="s">
        <v>140</v>
      </c>
      <c r="G8" s="36">
        <v>1</v>
      </c>
      <c r="H8" s="38">
        <v>25</v>
      </c>
      <c r="I8" s="7">
        <v>30000</v>
      </c>
      <c r="J8" s="14">
        <v>6020</v>
      </c>
      <c r="K8" s="15">
        <f>L8+3333+5501</f>
        <v>14851</v>
      </c>
      <c r="L8" s="15">
        <f>2313+3704</f>
        <v>6017</v>
      </c>
      <c r="M8" s="16">
        <f t="shared" si="0"/>
        <v>6017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0.99950166112956806</v>
      </c>
      <c r="AC8" s="9">
        <f t="shared" si="5"/>
        <v>1</v>
      </c>
      <c r="AD8" s="10">
        <f t="shared" si="6"/>
        <v>0.99950166112956806</v>
      </c>
      <c r="AE8" s="39">
        <f t="shared" si="7"/>
        <v>0.40466400096233807</v>
      </c>
      <c r="AF8" s="94">
        <f t="shared" ref="AF8" si="9"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151</v>
      </c>
      <c r="E9" s="57" t="s">
        <v>363</v>
      </c>
      <c r="F9" s="12" t="s">
        <v>221</v>
      </c>
      <c r="G9" s="12">
        <v>1</v>
      </c>
      <c r="H9" s="13">
        <v>25</v>
      </c>
      <c r="I9" s="34">
        <v>1000</v>
      </c>
      <c r="J9" s="5">
        <v>3300</v>
      </c>
      <c r="K9" s="15">
        <f>L9</f>
        <v>3263</v>
      </c>
      <c r="L9" s="15">
        <f>1775+1488</f>
        <v>3263</v>
      </c>
      <c r="M9" s="16">
        <f t="shared" si="0"/>
        <v>3263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0.98878787878787877</v>
      </c>
      <c r="AC9" s="9">
        <f t="shared" si="5"/>
        <v>0.79166666666666663</v>
      </c>
      <c r="AD9" s="10">
        <f t="shared" si="6"/>
        <v>0.78279040404040401</v>
      </c>
      <c r="AE9" s="39">
        <f t="shared" si="7"/>
        <v>0.40466400096233807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58</v>
      </c>
      <c r="E10" s="57" t="s">
        <v>174</v>
      </c>
      <c r="F10" s="12" t="s">
        <v>224</v>
      </c>
      <c r="G10" s="12">
        <v>1</v>
      </c>
      <c r="H10" s="13">
        <v>25</v>
      </c>
      <c r="I10" s="34">
        <v>110</v>
      </c>
      <c r="J10" s="14">
        <v>430</v>
      </c>
      <c r="K10" s="15">
        <f>L10+422</f>
        <v>422</v>
      </c>
      <c r="L10" s="15">
        <v>0</v>
      </c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0.40466400096233807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800</v>
      </c>
      <c r="K11" s="15">
        <f>L11</f>
        <v>800</v>
      </c>
      <c r="L11" s="15">
        <v>800</v>
      </c>
      <c r="M11" s="16">
        <f t="shared" si="0"/>
        <v>800</v>
      </c>
      <c r="N11" s="16">
        <v>0</v>
      </c>
      <c r="O11" s="62">
        <f t="shared" si="1"/>
        <v>0</v>
      </c>
      <c r="P11" s="42">
        <f t="shared" si="2"/>
        <v>5</v>
      </c>
      <c r="Q11" s="43">
        <f t="shared" si="3"/>
        <v>19</v>
      </c>
      <c r="R11" s="7"/>
      <c r="S11" s="6">
        <v>19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9">
        <f t="shared" si="7"/>
        <v>0.40466400096233807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2080</v>
      </c>
      <c r="K12" s="15">
        <f>L12+2679+3513+4059+4770+4877+2848+4589+780+3258+4724</f>
        <v>38172</v>
      </c>
      <c r="L12" s="15">
        <f>1960+115</f>
        <v>2075</v>
      </c>
      <c r="M12" s="16">
        <f t="shared" si="0"/>
        <v>2075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>
        <v>12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0.99759615384615385</v>
      </c>
      <c r="AC12" s="9">
        <f t="shared" si="5"/>
        <v>0.5</v>
      </c>
      <c r="AD12" s="10">
        <f t="shared" si="6"/>
        <v>0.49879807692307693</v>
      </c>
      <c r="AE12" s="39">
        <f t="shared" si="7"/>
        <v>0.40466400096233807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273</v>
      </c>
      <c r="D13" s="55" t="s">
        <v>274</v>
      </c>
      <c r="E13" s="57" t="s">
        <v>275</v>
      </c>
      <c r="F13" s="12" t="s">
        <v>128</v>
      </c>
      <c r="G13" s="12">
        <v>1</v>
      </c>
      <c r="H13" s="13">
        <v>35</v>
      </c>
      <c r="I13" s="7">
        <v>850</v>
      </c>
      <c r="J13" s="14">
        <v>950</v>
      </c>
      <c r="K13" s="15">
        <f>L13+950</f>
        <v>950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0.40466400096233807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138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0.40466400096233807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0.40466400096233807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5890</v>
      </c>
      <c r="K16" s="15">
        <f>L16+3017+5739+3585+4577+4305+5680+5703+3440</f>
        <v>41928</v>
      </c>
      <c r="L16" s="15">
        <f>2267+3615</f>
        <v>5882</v>
      </c>
      <c r="M16" s="16">
        <f t="shared" si="0"/>
        <v>5882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0.99864176570458407</v>
      </c>
      <c r="AC16" s="9">
        <f t="shared" si="5"/>
        <v>1</v>
      </c>
      <c r="AD16" s="10">
        <f t="shared" si="6"/>
        <v>0.99864176570458407</v>
      </c>
      <c r="AE16" s="39">
        <f t="shared" si="7"/>
        <v>0.40466400096233807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273</v>
      </c>
      <c r="D17" s="55" t="s">
        <v>279</v>
      </c>
      <c r="E17" s="56" t="s">
        <v>280</v>
      </c>
      <c r="F17" s="12" t="s">
        <v>150</v>
      </c>
      <c r="G17" s="12">
        <v>1</v>
      </c>
      <c r="H17" s="13">
        <v>25</v>
      </c>
      <c r="I17" s="34">
        <v>10000</v>
      </c>
      <c r="J17" s="5">
        <v>680</v>
      </c>
      <c r="K17" s="15">
        <f>L17+572+3768</f>
        <v>5020</v>
      </c>
      <c r="L17" s="15">
        <f>680</f>
        <v>680</v>
      </c>
      <c r="M17" s="16">
        <f t="shared" si="0"/>
        <v>680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>
        <v>16</v>
      </c>
      <c r="S17" s="6">
        <v>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9">
        <f t="shared" si="7"/>
        <v>0.40466400096233807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185</v>
      </c>
      <c r="E18" s="57" t="s">
        <v>364</v>
      </c>
      <c r="F18" s="33" t="s">
        <v>177</v>
      </c>
      <c r="G18" s="12">
        <v>1</v>
      </c>
      <c r="H18" s="13">
        <v>25</v>
      </c>
      <c r="I18" s="34">
        <v>8000</v>
      </c>
      <c r="J18" s="5">
        <v>4420</v>
      </c>
      <c r="K18" s="15">
        <f>L18</f>
        <v>4417</v>
      </c>
      <c r="L18" s="15">
        <f>3309+1108</f>
        <v>4417</v>
      </c>
      <c r="M18" s="16">
        <f t="shared" si="0"/>
        <v>4417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0.99932126696832579</v>
      </c>
      <c r="AC18" s="9">
        <f t="shared" si="5"/>
        <v>0.95833333333333337</v>
      </c>
      <c r="AD18" s="10">
        <f t="shared" si="6"/>
        <v>0.95768288084464559</v>
      </c>
      <c r="AE18" s="39">
        <f t="shared" si="7"/>
        <v>0.40466400096233807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5110</v>
      </c>
      <c r="K19" s="15">
        <f>L19+4633+5456+3865+4711+1671+3007+3013+4729</f>
        <v>36192</v>
      </c>
      <c r="L19" s="15">
        <f>2090+3017</f>
        <v>5107</v>
      </c>
      <c r="M19" s="16">
        <f t="shared" si="0"/>
        <v>5107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0.99941291585127201</v>
      </c>
      <c r="AC19" s="9">
        <f t="shared" si="5"/>
        <v>1</v>
      </c>
      <c r="AD19" s="10">
        <f t="shared" si="6"/>
        <v>0.99941291585127201</v>
      </c>
      <c r="AE19" s="39">
        <f t="shared" si="7"/>
        <v>0.40466400096233807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164</v>
      </c>
      <c r="F20" s="12" t="s">
        <v>117</v>
      </c>
      <c r="G20" s="12">
        <v>4</v>
      </c>
      <c r="H20" s="38">
        <v>20</v>
      </c>
      <c r="I20" s="7">
        <v>200000</v>
      </c>
      <c r="J20" s="14">
        <v>9070</v>
      </c>
      <c r="K20" s="15">
        <f>L20+40652+62320+60260+9068</f>
        <v>172300</v>
      </c>
      <c r="L20" s="15"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0.40466400096233807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10">SUM(I6:I20)</f>
        <v>386160</v>
      </c>
      <c r="J21" s="22">
        <f t="shared" si="10"/>
        <v>44020</v>
      </c>
      <c r="K21" s="23">
        <f t="shared" si="10"/>
        <v>330498</v>
      </c>
      <c r="L21" s="24">
        <f t="shared" si="10"/>
        <v>30520</v>
      </c>
      <c r="M21" s="23">
        <f t="shared" si="10"/>
        <v>30520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146</v>
      </c>
      <c r="Q21" s="46">
        <f t="shared" si="11"/>
        <v>214</v>
      </c>
      <c r="R21" s="26">
        <f t="shared" si="11"/>
        <v>40</v>
      </c>
      <c r="S21" s="27">
        <f t="shared" si="11"/>
        <v>101</v>
      </c>
      <c r="T21" s="27">
        <f t="shared" si="11"/>
        <v>1</v>
      </c>
      <c r="U21" s="27">
        <f t="shared" si="11"/>
        <v>0</v>
      </c>
      <c r="V21" s="28">
        <f t="shared" si="11"/>
        <v>0</v>
      </c>
      <c r="W21" s="29">
        <f t="shared" si="11"/>
        <v>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0.59885486971977042</v>
      </c>
      <c r="AC21" s="4">
        <f>SUM(AC6:AC20)/15</f>
        <v>0.40555555555555556</v>
      </c>
      <c r="AD21" s="4">
        <f>SUM(AD6:AD20)/15</f>
        <v>0.40466400096233807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365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371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175" t="s">
        <v>47</v>
      </c>
      <c r="D50" s="175" t="s">
        <v>48</v>
      </c>
      <c r="E50" s="175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175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171" t="s">
        <v>226</v>
      </c>
      <c r="D51" s="171" t="s">
        <v>216</v>
      </c>
      <c r="E51" s="174" t="s">
        <v>217</v>
      </c>
      <c r="F51" s="437" t="s">
        <v>366</v>
      </c>
      <c r="G51" s="437"/>
      <c r="H51" s="437"/>
      <c r="I51" s="437"/>
      <c r="J51" s="437"/>
      <c r="K51" s="437"/>
      <c r="L51" s="437"/>
      <c r="M51" s="438"/>
      <c r="N51" s="170" t="s">
        <v>296</v>
      </c>
      <c r="O51" s="74" t="s">
        <v>297</v>
      </c>
      <c r="P51" s="436" t="s">
        <v>202</v>
      </c>
      <c r="Q51" s="436"/>
      <c r="R51" s="436" t="s">
        <v>372</v>
      </c>
      <c r="S51" s="436"/>
      <c r="T51" s="436"/>
      <c r="U51" s="436"/>
      <c r="V51" s="437" t="s">
        <v>369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229</v>
      </c>
      <c r="B52" s="436"/>
      <c r="C52" s="171" t="s">
        <v>297</v>
      </c>
      <c r="D52" s="171" t="s">
        <v>151</v>
      </c>
      <c r="E52" s="174" t="s">
        <v>367</v>
      </c>
      <c r="F52" s="437" t="s">
        <v>368</v>
      </c>
      <c r="G52" s="437"/>
      <c r="H52" s="437"/>
      <c r="I52" s="437"/>
      <c r="J52" s="437"/>
      <c r="K52" s="437"/>
      <c r="L52" s="437"/>
      <c r="M52" s="438"/>
      <c r="N52" s="170" t="s">
        <v>273</v>
      </c>
      <c r="O52" s="74" t="s">
        <v>373</v>
      </c>
      <c r="P52" s="439" t="s">
        <v>279</v>
      </c>
      <c r="Q52" s="440"/>
      <c r="R52" s="436" t="s">
        <v>280</v>
      </c>
      <c r="S52" s="436"/>
      <c r="T52" s="436"/>
      <c r="U52" s="436"/>
      <c r="V52" s="437" t="s">
        <v>369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35" t="s">
        <v>273</v>
      </c>
      <c r="B53" s="436"/>
      <c r="C53" s="171" t="s">
        <v>340</v>
      </c>
      <c r="D53" s="171" t="s">
        <v>121</v>
      </c>
      <c r="E53" s="174" t="s">
        <v>313</v>
      </c>
      <c r="F53" s="437" t="s">
        <v>369</v>
      </c>
      <c r="G53" s="437"/>
      <c r="H53" s="437"/>
      <c r="I53" s="437"/>
      <c r="J53" s="437"/>
      <c r="K53" s="437"/>
      <c r="L53" s="437"/>
      <c r="M53" s="438"/>
      <c r="N53" s="170" t="s">
        <v>374</v>
      </c>
      <c r="O53" s="74" t="s">
        <v>375</v>
      </c>
      <c r="P53" s="439" t="s">
        <v>376</v>
      </c>
      <c r="Q53" s="440"/>
      <c r="R53" s="436"/>
      <c r="S53" s="436"/>
      <c r="T53" s="436"/>
      <c r="U53" s="436"/>
      <c r="V53" s="437" t="s">
        <v>314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273</v>
      </c>
      <c r="B54" s="446"/>
      <c r="C54" s="174" t="s">
        <v>292</v>
      </c>
      <c r="D54" s="171" t="s">
        <v>279</v>
      </c>
      <c r="E54" s="174" t="s">
        <v>280</v>
      </c>
      <c r="F54" s="437" t="s">
        <v>370</v>
      </c>
      <c r="G54" s="437"/>
      <c r="H54" s="437"/>
      <c r="I54" s="437"/>
      <c r="J54" s="437"/>
      <c r="K54" s="437"/>
      <c r="L54" s="437"/>
      <c r="M54" s="438"/>
      <c r="N54" s="170" t="s">
        <v>377</v>
      </c>
      <c r="O54" s="74" t="s">
        <v>226</v>
      </c>
      <c r="P54" s="439" t="s">
        <v>378</v>
      </c>
      <c r="Q54" s="440"/>
      <c r="R54" s="436" t="s">
        <v>379</v>
      </c>
      <c r="S54" s="436"/>
      <c r="T54" s="436"/>
      <c r="U54" s="436"/>
      <c r="V54" s="437" t="s">
        <v>284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171"/>
      <c r="D55" s="171"/>
      <c r="E55" s="174"/>
      <c r="F55" s="437"/>
      <c r="G55" s="437"/>
      <c r="H55" s="437"/>
      <c r="I55" s="437"/>
      <c r="J55" s="437"/>
      <c r="K55" s="437"/>
      <c r="L55" s="437"/>
      <c r="M55" s="438"/>
      <c r="N55" s="170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171"/>
      <c r="D56" s="171"/>
      <c r="E56" s="174"/>
      <c r="F56" s="437"/>
      <c r="G56" s="437"/>
      <c r="H56" s="437"/>
      <c r="I56" s="437"/>
      <c r="J56" s="437"/>
      <c r="K56" s="437"/>
      <c r="L56" s="437"/>
      <c r="M56" s="438"/>
      <c r="N56" s="170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174"/>
      <c r="D57" s="171"/>
      <c r="E57" s="174"/>
      <c r="F57" s="437"/>
      <c r="G57" s="437"/>
      <c r="H57" s="437"/>
      <c r="I57" s="437"/>
      <c r="J57" s="437"/>
      <c r="K57" s="437"/>
      <c r="L57" s="437"/>
      <c r="M57" s="438"/>
      <c r="N57" s="170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174"/>
      <c r="D58" s="171"/>
      <c r="E58" s="174"/>
      <c r="F58" s="437"/>
      <c r="G58" s="437"/>
      <c r="H58" s="437"/>
      <c r="I58" s="437"/>
      <c r="J58" s="437"/>
      <c r="K58" s="437"/>
      <c r="L58" s="437"/>
      <c r="M58" s="438"/>
      <c r="N58" s="170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171"/>
      <c r="D59" s="171"/>
      <c r="E59" s="171"/>
      <c r="F59" s="437"/>
      <c r="G59" s="437"/>
      <c r="H59" s="437"/>
      <c r="I59" s="437"/>
      <c r="J59" s="437"/>
      <c r="K59" s="437"/>
      <c r="L59" s="437"/>
      <c r="M59" s="438"/>
      <c r="N59" s="170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173"/>
      <c r="D60" s="173"/>
      <c r="E60" s="173"/>
      <c r="F60" s="443"/>
      <c r="G60" s="443"/>
      <c r="H60" s="443"/>
      <c r="I60" s="443"/>
      <c r="J60" s="443"/>
      <c r="K60" s="443"/>
      <c r="L60" s="443"/>
      <c r="M60" s="444"/>
      <c r="N60" s="172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380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169" t="s">
        <v>2</v>
      </c>
      <c r="D62" s="169" t="s">
        <v>38</v>
      </c>
      <c r="E62" s="169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169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381</v>
      </c>
      <c r="D63" s="165"/>
      <c r="E63" s="167" t="s">
        <v>382</v>
      </c>
      <c r="F63" s="456" t="s">
        <v>383</v>
      </c>
      <c r="G63" s="457"/>
      <c r="H63" s="457"/>
      <c r="I63" s="457"/>
      <c r="J63" s="457"/>
      <c r="K63" s="457" t="s">
        <v>385</v>
      </c>
      <c r="L63" s="457"/>
      <c r="M63" s="54" t="s">
        <v>387</v>
      </c>
      <c r="N63" s="457">
        <v>5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377</v>
      </c>
      <c r="D64" s="165"/>
      <c r="E64" s="167" t="s">
        <v>378</v>
      </c>
      <c r="F64" s="456" t="s">
        <v>384</v>
      </c>
      <c r="G64" s="457"/>
      <c r="H64" s="457"/>
      <c r="I64" s="457"/>
      <c r="J64" s="457"/>
      <c r="K64" s="457" t="s">
        <v>386</v>
      </c>
      <c r="L64" s="457"/>
      <c r="M64" s="54" t="s">
        <v>387</v>
      </c>
      <c r="N64" s="457">
        <v>8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165"/>
      <c r="E65" s="167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165"/>
      <c r="E66" s="167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165"/>
      <c r="E67" s="167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165"/>
      <c r="E68" s="167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165"/>
      <c r="E69" s="167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165"/>
      <c r="E70" s="167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388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168" t="s">
        <v>2</v>
      </c>
      <c r="D72" s="168" t="s">
        <v>38</v>
      </c>
      <c r="E72" s="168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166" t="s">
        <v>118</v>
      </c>
      <c r="D73" s="166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165" t="s">
        <v>118</v>
      </c>
      <c r="D74" s="165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2">A74+1</f>
        <v>3</v>
      </c>
      <c r="B75" s="468"/>
      <c r="C75" s="165" t="s">
        <v>163</v>
      </c>
      <c r="D75" s="165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2"/>
        <v>4</v>
      </c>
      <c r="B76" s="468"/>
      <c r="C76" s="165" t="s">
        <v>141</v>
      </c>
      <c r="D76" s="165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2"/>
        <v>5</v>
      </c>
      <c r="B77" s="468"/>
      <c r="C77" s="165" t="s">
        <v>305</v>
      </c>
      <c r="D77" s="165"/>
      <c r="E77" s="35" t="s">
        <v>325</v>
      </c>
      <c r="F77" s="468" t="s">
        <v>359</v>
      </c>
      <c r="G77" s="468"/>
      <c r="H77" s="468"/>
      <c r="I77" s="468"/>
      <c r="J77" s="468"/>
      <c r="K77" s="469" t="s">
        <v>120</v>
      </c>
      <c r="L77" s="470"/>
      <c r="M77" s="470"/>
      <c r="N77" s="470"/>
      <c r="O77" s="470"/>
      <c r="P77" s="470"/>
      <c r="Q77" s="470"/>
      <c r="R77" s="470"/>
      <c r="S77" s="471"/>
      <c r="T77" s="472">
        <v>42951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2"/>
        <v>6</v>
      </c>
      <c r="B78" s="468"/>
      <c r="C78" s="165"/>
      <c r="D78" s="165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2"/>
        <v>7</v>
      </c>
      <c r="B79" s="468"/>
      <c r="C79" s="165"/>
      <c r="D79" s="165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2"/>
        <v>8</v>
      </c>
      <c r="B80" s="468"/>
      <c r="C80" s="165"/>
      <c r="D80" s="165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2"/>
        <v>9</v>
      </c>
      <c r="B81" s="468"/>
      <c r="C81" s="165"/>
      <c r="D81" s="165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389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86"/>
  <sheetViews>
    <sheetView topLeftCell="A25" zoomScale="72" zoomScaleNormal="72" zoomScaleSheetLayoutView="70" workbookViewId="0">
      <selection activeCell="R65" sqref="R65:AA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390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177" t="s">
        <v>17</v>
      </c>
      <c r="L5" s="177" t="s">
        <v>18</v>
      </c>
      <c r="M5" s="177" t="s">
        <v>19</v>
      </c>
      <c r="N5" s="17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0.37437089472861629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216</v>
      </c>
      <c r="E7" s="56" t="s">
        <v>217</v>
      </c>
      <c r="F7" s="12" t="s">
        <v>128</v>
      </c>
      <c r="G7" s="36">
        <v>1</v>
      </c>
      <c r="H7" s="38">
        <v>25</v>
      </c>
      <c r="I7" s="7">
        <v>40000</v>
      </c>
      <c r="J7" s="14">
        <v>2280</v>
      </c>
      <c r="K7" s="15">
        <f>L7+562+3624+3000+2279</f>
        <v>9465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>
        <v>24</v>
      </c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0.37437089472861629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2730</v>
      </c>
      <c r="K8" s="15">
        <f>L8+562+3624+3000+2279</f>
        <v>12188</v>
      </c>
      <c r="L8" s="15">
        <f>1554+1169</f>
        <v>2723</v>
      </c>
      <c r="M8" s="16">
        <f t="shared" ref="M8" si="9">L8-N8</f>
        <v>2723</v>
      </c>
      <c r="N8" s="16">
        <v>0</v>
      </c>
      <c r="O8" s="62">
        <f t="shared" ref="O8" si="10">IF(L8=0,"0",N8/L8)</f>
        <v>0</v>
      </c>
      <c r="P8" s="42">
        <f t="shared" ref="P8" si="11">IF(L8=0,"0",(24-Q8))</f>
        <v>14</v>
      </c>
      <c r="Q8" s="43">
        <f t="shared" ref="Q8" si="12">SUM(R8:AA8)</f>
        <v>10</v>
      </c>
      <c r="R8" s="7"/>
      <c r="S8" s="6">
        <v>10</v>
      </c>
      <c r="T8" s="17"/>
      <c r="U8" s="17"/>
      <c r="V8" s="18"/>
      <c r="W8" s="19"/>
      <c r="X8" s="17"/>
      <c r="Y8" s="20"/>
      <c r="Z8" s="20"/>
      <c r="AA8" s="21"/>
      <c r="AB8" s="8">
        <f t="shared" ref="AB8" si="13">IF(J8=0,"0",(L8/J8))</f>
        <v>0.99743589743589745</v>
      </c>
      <c r="AC8" s="9">
        <f t="shared" ref="AC8" si="14">IF(P8=0,"0",(P8/24))</f>
        <v>0.58333333333333337</v>
      </c>
      <c r="AD8" s="10">
        <f t="shared" ref="AD8" si="15">AC8*AB8*(1-O8)</f>
        <v>0.58183760683760688</v>
      </c>
      <c r="AE8" s="39">
        <f t="shared" si="7"/>
        <v>0.37437089472861629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151</v>
      </c>
      <c r="E9" s="57" t="s">
        <v>393</v>
      </c>
      <c r="F9" s="12" t="s">
        <v>221</v>
      </c>
      <c r="G9" s="12">
        <v>1</v>
      </c>
      <c r="H9" s="13">
        <v>25</v>
      </c>
      <c r="I9" s="34">
        <v>3000</v>
      </c>
      <c r="J9" s="5">
        <v>3300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0.37437089472861629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391</v>
      </c>
      <c r="E10" s="57">
        <v>352001</v>
      </c>
      <c r="F10" s="12" t="s">
        <v>392</v>
      </c>
      <c r="G10" s="12">
        <v>1</v>
      </c>
      <c r="H10" s="13">
        <v>25</v>
      </c>
      <c r="I10" s="34">
        <v>600</v>
      </c>
      <c r="J10" s="14">
        <v>2040</v>
      </c>
      <c r="K10" s="15">
        <f>L10</f>
        <v>2031</v>
      </c>
      <c r="L10" s="15">
        <f>914+1117</f>
        <v>2031</v>
      </c>
      <c r="M10" s="16">
        <f t="shared" si="0"/>
        <v>2031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/>
      <c r="T10" s="17"/>
      <c r="U10" s="17"/>
      <c r="V10" s="18"/>
      <c r="W10" s="19">
        <v>12</v>
      </c>
      <c r="X10" s="17"/>
      <c r="Y10" s="20"/>
      <c r="Z10" s="20"/>
      <c r="AA10" s="21"/>
      <c r="AB10" s="8">
        <f t="shared" si="4"/>
        <v>0.99558823529411766</v>
      </c>
      <c r="AC10" s="9">
        <f t="shared" si="5"/>
        <v>0.5</v>
      </c>
      <c r="AD10" s="10">
        <f t="shared" si="6"/>
        <v>0.49779411764705883</v>
      </c>
      <c r="AE10" s="39">
        <f t="shared" si="7"/>
        <v>0.37437089472861629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800</v>
      </c>
      <c r="K11" s="15">
        <f>L11+800</f>
        <v>800</v>
      </c>
      <c r="L11" s="15">
        <v>0</v>
      </c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0.37437089472861629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2520</v>
      </c>
      <c r="K12" s="15">
        <f>L12+2679+3513+4059+4770+4877+2848+4589+780+3258+4724+2075</f>
        <v>40686</v>
      </c>
      <c r="L12" s="15">
        <f>2514</f>
        <v>2514</v>
      </c>
      <c r="M12" s="16">
        <f t="shared" si="0"/>
        <v>2514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>
        <v>10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0.99761904761904763</v>
      </c>
      <c r="AC12" s="9">
        <f t="shared" si="5"/>
        <v>0.58333333333333337</v>
      </c>
      <c r="AD12" s="10">
        <f t="shared" si="6"/>
        <v>0.58194444444444449</v>
      </c>
      <c r="AE12" s="39">
        <f t="shared" si="7"/>
        <v>0.37437089472861629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273</v>
      </c>
      <c r="D13" s="55" t="s">
        <v>274</v>
      </c>
      <c r="E13" s="57" t="s">
        <v>275</v>
      </c>
      <c r="F13" s="12" t="s">
        <v>128</v>
      </c>
      <c r="G13" s="12">
        <v>1</v>
      </c>
      <c r="H13" s="13">
        <v>35</v>
      </c>
      <c r="I13" s="7">
        <v>850</v>
      </c>
      <c r="J13" s="14">
        <v>950</v>
      </c>
      <c r="K13" s="15">
        <f>L13+950</f>
        <v>950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0.37437089472861629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0.37437089472861629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0.37437089472861629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5100</v>
      </c>
      <c r="K16" s="15">
        <f>L16+3017+5739+3585+4577+4305+5680+5703+3440+5882</f>
        <v>47019</v>
      </c>
      <c r="L16" s="15">
        <f>2965+2126</f>
        <v>5091</v>
      </c>
      <c r="M16" s="16">
        <f t="shared" si="0"/>
        <v>5091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0.99823529411764711</v>
      </c>
      <c r="AC16" s="9">
        <f t="shared" si="5"/>
        <v>1</v>
      </c>
      <c r="AD16" s="10">
        <f t="shared" si="6"/>
        <v>0.99823529411764711</v>
      </c>
      <c r="AE16" s="39">
        <f t="shared" si="7"/>
        <v>0.37437089472861629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273</v>
      </c>
      <c r="D17" s="55" t="s">
        <v>279</v>
      </c>
      <c r="E17" s="56" t="s">
        <v>280</v>
      </c>
      <c r="F17" s="12" t="s">
        <v>150</v>
      </c>
      <c r="G17" s="12">
        <v>1</v>
      </c>
      <c r="H17" s="13">
        <v>25</v>
      </c>
      <c r="I17" s="34">
        <v>10000</v>
      </c>
      <c r="J17" s="5">
        <v>680</v>
      </c>
      <c r="K17" s="15">
        <f>L17+572+3768+680</f>
        <v>5020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>
        <v>24</v>
      </c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0.37437089472861629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185</v>
      </c>
      <c r="E18" s="57" t="s">
        <v>364</v>
      </c>
      <c r="F18" s="33" t="s">
        <v>177</v>
      </c>
      <c r="G18" s="12">
        <v>1</v>
      </c>
      <c r="H18" s="13">
        <v>25</v>
      </c>
      <c r="I18" s="34">
        <v>8000</v>
      </c>
      <c r="J18" s="5">
        <v>5150</v>
      </c>
      <c r="K18" s="15">
        <f>L18+4417</f>
        <v>9564</v>
      </c>
      <c r="L18" s="15">
        <f>2929+2218</f>
        <v>5147</v>
      </c>
      <c r="M18" s="16">
        <f t="shared" si="0"/>
        <v>5147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0.99941747572815531</v>
      </c>
      <c r="AC18" s="9">
        <f t="shared" si="5"/>
        <v>1</v>
      </c>
      <c r="AD18" s="10">
        <f t="shared" si="6"/>
        <v>0.99941747572815531</v>
      </c>
      <c r="AE18" s="39">
        <f t="shared" si="7"/>
        <v>0.37437089472861629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4590</v>
      </c>
      <c r="K19" s="15">
        <f>L19+4633+5456+3865+4711+1671+3007+3013+4729+5107</f>
        <v>40773</v>
      </c>
      <c r="L19" s="15">
        <f>2611+1970</f>
        <v>4581</v>
      </c>
      <c r="M19" s="16">
        <f t="shared" si="0"/>
        <v>4581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0.99803921568627452</v>
      </c>
      <c r="AC19" s="9">
        <f t="shared" si="5"/>
        <v>1</v>
      </c>
      <c r="AD19" s="10">
        <f t="shared" si="6"/>
        <v>0.99803921568627452</v>
      </c>
      <c r="AE19" s="39">
        <f t="shared" si="7"/>
        <v>0.37437089472861629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500000</v>
      </c>
      <c r="J20" s="14">
        <v>50350</v>
      </c>
      <c r="K20" s="15">
        <f>L20</f>
        <v>50348</v>
      </c>
      <c r="L20" s="15">
        <f>7561*4+5026*4</f>
        <v>50348</v>
      </c>
      <c r="M20" s="16">
        <f t="shared" si="0"/>
        <v>50348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>
        <v>1</v>
      </c>
      <c r="U20" s="17"/>
      <c r="V20" s="18"/>
      <c r="W20" s="19"/>
      <c r="X20" s="17"/>
      <c r="Y20" s="20"/>
      <c r="Z20" s="20"/>
      <c r="AA20" s="21"/>
      <c r="AB20" s="8">
        <f t="shared" si="4"/>
        <v>0.99996027805362464</v>
      </c>
      <c r="AC20" s="9">
        <f t="shared" si="5"/>
        <v>0.95833333333333337</v>
      </c>
      <c r="AD20" s="10">
        <f t="shared" si="6"/>
        <v>0.95829526646805696</v>
      </c>
      <c r="AE20" s="39">
        <f t="shared" si="7"/>
        <v>0.37437089472861629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16">SUM(I6:I20)</f>
        <v>698650</v>
      </c>
      <c r="J21" s="22">
        <f t="shared" si="16"/>
        <v>83480</v>
      </c>
      <c r="K21" s="23">
        <f t="shared" si="16"/>
        <v>221562</v>
      </c>
      <c r="L21" s="24">
        <f t="shared" si="16"/>
        <v>72435</v>
      </c>
      <c r="M21" s="23">
        <f t="shared" si="16"/>
        <v>72435</v>
      </c>
      <c r="N21" s="24">
        <f t="shared" si="16"/>
        <v>0</v>
      </c>
      <c r="O21" s="44">
        <f t="shared" si="1"/>
        <v>0</v>
      </c>
      <c r="P21" s="45">
        <f t="shared" ref="P21:AA21" si="17">SUM(P6:P20)</f>
        <v>135</v>
      </c>
      <c r="Q21" s="46">
        <f t="shared" si="17"/>
        <v>225</v>
      </c>
      <c r="R21" s="26">
        <f t="shared" si="17"/>
        <v>24</v>
      </c>
      <c r="S21" s="27">
        <f t="shared" si="17"/>
        <v>116</v>
      </c>
      <c r="T21" s="27">
        <f t="shared" si="17"/>
        <v>1</v>
      </c>
      <c r="U21" s="27">
        <f t="shared" si="17"/>
        <v>0</v>
      </c>
      <c r="V21" s="28">
        <f t="shared" si="17"/>
        <v>48</v>
      </c>
      <c r="W21" s="29">
        <f t="shared" si="17"/>
        <v>36</v>
      </c>
      <c r="X21" s="30">
        <f t="shared" si="17"/>
        <v>0</v>
      </c>
      <c r="Y21" s="30">
        <f t="shared" si="17"/>
        <v>0</v>
      </c>
      <c r="Z21" s="30">
        <f t="shared" si="17"/>
        <v>0</v>
      </c>
      <c r="AA21" s="30">
        <f t="shared" si="17"/>
        <v>0</v>
      </c>
      <c r="AB21" s="31">
        <f>SUM(AB6:AB20)/15</f>
        <v>0.46575302959565096</v>
      </c>
      <c r="AC21" s="4">
        <f>SUM(AC6:AC20)/15</f>
        <v>0.375</v>
      </c>
      <c r="AD21" s="4">
        <f>SUM(AD6:AD20)/15</f>
        <v>0.37437089472861629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395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406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178" t="s">
        <v>47</v>
      </c>
      <c r="D50" s="178" t="s">
        <v>48</v>
      </c>
      <c r="E50" s="178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178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180" t="s">
        <v>396</v>
      </c>
      <c r="D51" s="180" t="s">
        <v>216</v>
      </c>
      <c r="E51" s="183" t="s">
        <v>217</v>
      </c>
      <c r="F51" s="437" t="s">
        <v>397</v>
      </c>
      <c r="G51" s="437"/>
      <c r="H51" s="437"/>
      <c r="I51" s="437"/>
      <c r="J51" s="437"/>
      <c r="K51" s="437"/>
      <c r="L51" s="437"/>
      <c r="M51" s="438"/>
      <c r="N51" s="179" t="s">
        <v>119</v>
      </c>
      <c r="O51" s="74" t="s">
        <v>297</v>
      </c>
      <c r="P51" s="436" t="s">
        <v>202</v>
      </c>
      <c r="Q51" s="436"/>
      <c r="R51" s="436" t="s">
        <v>372</v>
      </c>
      <c r="S51" s="436"/>
      <c r="T51" s="436"/>
      <c r="U51" s="436"/>
      <c r="V51" s="437" t="s">
        <v>369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118</v>
      </c>
      <c r="B52" s="436"/>
      <c r="C52" s="180" t="s">
        <v>398</v>
      </c>
      <c r="D52" s="180" t="s">
        <v>399</v>
      </c>
      <c r="E52" s="183" t="s">
        <v>400</v>
      </c>
      <c r="F52" s="437" t="s">
        <v>369</v>
      </c>
      <c r="G52" s="437"/>
      <c r="H52" s="437"/>
      <c r="I52" s="437"/>
      <c r="J52" s="437"/>
      <c r="K52" s="437"/>
      <c r="L52" s="437"/>
      <c r="M52" s="438"/>
      <c r="N52" s="179" t="s">
        <v>273</v>
      </c>
      <c r="O52" s="74" t="s">
        <v>373</v>
      </c>
      <c r="P52" s="439" t="s">
        <v>279</v>
      </c>
      <c r="Q52" s="440"/>
      <c r="R52" s="436" t="s">
        <v>280</v>
      </c>
      <c r="S52" s="436"/>
      <c r="T52" s="436"/>
      <c r="U52" s="436"/>
      <c r="V52" s="437" t="s">
        <v>369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273</v>
      </c>
      <c r="B53" s="446"/>
      <c r="C53" s="183" t="s">
        <v>401</v>
      </c>
      <c r="D53" s="180" t="s">
        <v>279</v>
      </c>
      <c r="E53" s="183" t="s">
        <v>280</v>
      </c>
      <c r="F53" s="437" t="s">
        <v>402</v>
      </c>
      <c r="G53" s="437"/>
      <c r="H53" s="437"/>
      <c r="I53" s="437"/>
      <c r="J53" s="437"/>
      <c r="K53" s="437"/>
      <c r="L53" s="437"/>
      <c r="M53" s="438"/>
      <c r="N53" s="179" t="s">
        <v>377</v>
      </c>
      <c r="O53" s="74" t="s">
        <v>396</v>
      </c>
      <c r="P53" s="439" t="s">
        <v>378</v>
      </c>
      <c r="Q53" s="440"/>
      <c r="R53" s="436" t="s">
        <v>379</v>
      </c>
      <c r="S53" s="436"/>
      <c r="T53" s="436"/>
      <c r="U53" s="436"/>
      <c r="V53" s="437" t="s">
        <v>284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183" t="s">
        <v>403</v>
      </c>
      <c r="D54" s="180" t="s">
        <v>391</v>
      </c>
      <c r="E54" s="183" t="s">
        <v>404</v>
      </c>
      <c r="F54" s="437" t="s">
        <v>405</v>
      </c>
      <c r="G54" s="437"/>
      <c r="H54" s="437"/>
      <c r="I54" s="437"/>
      <c r="J54" s="437"/>
      <c r="K54" s="437"/>
      <c r="L54" s="437"/>
      <c r="M54" s="438"/>
      <c r="N54" s="179" t="s">
        <v>407</v>
      </c>
      <c r="O54" s="74" t="s">
        <v>408</v>
      </c>
      <c r="P54" s="439" t="s">
        <v>409</v>
      </c>
      <c r="Q54" s="440"/>
      <c r="R54" s="436" t="s">
        <v>410</v>
      </c>
      <c r="S54" s="436"/>
      <c r="T54" s="436"/>
      <c r="U54" s="436"/>
      <c r="V54" s="437" t="s">
        <v>405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411</v>
      </c>
      <c r="B55" s="436"/>
      <c r="C55" s="180" t="s">
        <v>412</v>
      </c>
      <c r="D55" s="180" t="s">
        <v>413</v>
      </c>
      <c r="E55" s="183"/>
      <c r="F55" s="437" t="s">
        <v>405</v>
      </c>
      <c r="G55" s="437"/>
      <c r="H55" s="437"/>
      <c r="I55" s="437"/>
      <c r="J55" s="437"/>
      <c r="K55" s="437"/>
      <c r="L55" s="437"/>
      <c r="M55" s="438"/>
      <c r="N55" s="179" t="s">
        <v>119</v>
      </c>
      <c r="O55" s="74" t="s">
        <v>245</v>
      </c>
      <c r="P55" s="439" t="s">
        <v>419</v>
      </c>
      <c r="Q55" s="440"/>
      <c r="R55" s="436" t="s">
        <v>420</v>
      </c>
      <c r="S55" s="436"/>
      <c r="T55" s="436"/>
      <c r="U55" s="436"/>
      <c r="V55" s="437" t="s">
        <v>421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180"/>
      <c r="D56" s="180"/>
      <c r="E56" s="183"/>
      <c r="F56" s="437"/>
      <c r="G56" s="437"/>
      <c r="H56" s="437"/>
      <c r="I56" s="437"/>
      <c r="J56" s="437"/>
      <c r="K56" s="437"/>
      <c r="L56" s="437"/>
      <c r="M56" s="438"/>
      <c r="N56" s="179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183"/>
      <c r="D57" s="180"/>
      <c r="E57" s="183"/>
      <c r="F57" s="437"/>
      <c r="G57" s="437"/>
      <c r="H57" s="437"/>
      <c r="I57" s="437"/>
      <c r="J57" s="437"/>
      <c r="K57" s="437"/>
      <c r="L57" s="437"/>
      <c r="M57" s="438"/>
      <c r="N57" s="179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183"/>
      <c r="D58" s="180"/>
      <c r="E58" s="183"/>
      <c r="F58" s="437"/>
      <c r="G58" s="437"/>
      <c r="H58" s="437"/>
      <c r="I58" s="437"/>
      <c r="J58" s="437"/>
      <c r="K58" s="437"/>
      <c r="L58" s="437"/>
      <c r="M58" s="438"/>
      <c r="N58" s="179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180"/>
      <c r="D59" s="180"/>
      <c r="E59" s="180"/>
      <c r="F59" s="437"/>
      <c r="G59" s="437"/>
      <c r="H59" s="437"/>
      <c r="I59" s="437"/>
      <c r="J59" s="437"/>
      <c r="K59" s="437"/>
      <c r="L59" s="437"/>
      <c r="M59" s="438"/>
      <c r="N59" s="179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182"/>
      <c r="D60" s="182"/>
      <c r="E60" s="182"/>
      <c r="F60" s="443"/>
      <c r="G60" s="443"/>
      <c r="H60" s="443"/>
      <c r="I60" s="443"/>
      <c r="J60" s="443"/>
      <c r="K60" s="443"/>
      <c r="L60" s="443"/>
      <c r="M60" s="444"/>
      <c r="N60" s="181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414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184" t="s">
        <v>2</v>
      </c>
      <c r="D62" s="184" t="s">
        <v>38</v>
      </c>
      <c r="E62" s="184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184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118</v>
      </c>
      <c r="D63" s="187"/>
      <c r="E63" s="185" t="s">
        <v>122</v>
      </c>
      <c r="F63" s="456" t="s">
        <v>415</v>
      </c>
      <c r="G63" s="457"/>
      <c r="H63" s="457"/>
      <c r="I63" s="457"/>
      <c r="J63" s="457"/>
      <c r="K63" s="457">
        <v>7301</v>
      </c>
      <c r="L63" s="457"/>
      <c r="M63" s="54" t="s">
        <v>416</v>
      </c>
      <c r="N63" s="457">
        <v>8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/>
      <c r="D64" s="187"/>
      <c r="E64" s="185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187"/>
      <c r="E65" s="185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187"/>
      <c r="E66" s="185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187"/>
      <c r="E67" s="185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187"/>
      <c r="E68" s="185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187"/>
      <c r="E69" s="185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187"/>
      <c r="E70" s="185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417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186" t="s">
        <v>2</v>
      </c>
      <c r="D72" s="186" t="s">
        <v>38</v>
      </c>
      <c r="E72" s="186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188" t="s">
        <v>118</v>
      </c>
      <c r="D73" s="188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187" t="s">
        <v>118</v>
      </c>
      <c r="D74" s="187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8">A74+1</f>
        <v>3</v>
      </c>
      <c r="B75" s="468"/>
      <c r="C75" s="187" t="s">
        <v>163</v>
      </c>
      <c r="D75" s="187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8"/>
        <v>4</v>
      </c>
      <c r="B76" s="468"/>
      <c r="C76" s="187" t="s">
        <v>141</v>
      </c>
      <c r="D76" s="187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8"/>
        <v>5</v>
      </c>
      <c r="B77" s="468"/>
      <c r="C77" s="187" t="s">
        <v>305</v>
      </c>
      <c r="D77" s="187"/>
      <c r="E77" s="35" t="s">
        <v>325</v>
      </c>
      <c r="F77" s="468" t="s">
        <v>359</v>
      </c>
      <c r="G77" s="468"/>
      <c r="H77" s="468"/>
      <c r="I77" s="468"/>
      <c r="J77" s="468"/>
      <c r="K77" s="469" t="s">
        <v>120</v>
      </c>
      <c r="L77" s="470"/>
      <c r="M77" s="470"/>
      <c r="N77" s="470"/>
      <c r="O77" s="470"/>
      <c r="P77" s="470"/>
      <c r="Q77" s="470"/>
      <c r="R77" s="470"/>
      <c r="S77" s="471"/>
      <c r="T77" s="472">
        <v>42951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8"/>
        <v>6</v>
      </c>
      <c r="B78" s="468"/>
      <c r="C78" s="187"/>
      <c r="D78" s="187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8"/>
        <v>7</v>
      </c>
      <c r="B79" s="468"/>
      <c r="C79" s="187"/>
      <c r="D79" s="187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8"/>
        <v>8</v>
      </c>
      <c r="B80" s="468"/>
      <c r="C80" s="187"/>
      <c r="D80" s="187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8"/>
        <v>9</v>
      </c>
      <c r="B81" s="468"/>
      <c r="C81" s="187"/>
      <c r="D81" s="187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418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86"/>
  <sheetViews>
    <sheetView topLeftCell="A13" zoomScale="72" zoomScaleNormal="72" zoomScaleSheetLayoutView="70" workbookViewId="0">
      <selection activeCell="F57" sqref="F57:M5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422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00" t="s">
        <v>17</v>
      </c>
      <c r="L5" s="200" t="s">
        <v>18</v>
      </c>
      <c r="M5" s="200" t="s">
        <v>19</v>
      </c>
      <c r="N5" s="20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0.54129359391718035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4430</v>
      </c>
      <c r="K7" s="15">
        <f>L7</f>
        <v>4430</v>
      </c>
      <c r="L7" s="15">
        <f>3032+1398</f>
        <v>4430</v>
      </c>
      <c r="M7" s="16">
        <f t="shared" si="0"/>
        <v>4430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/>
      <c r="T7" s="17">
        <v>2</v>
      </c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9">
        <f t="shared" si="7"/>
        <v>0.54129359391718035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3020</v>
      </c>
      <c r="K8" s="15">
        <f>L8+562+3624+3000+2279+2723</f>
        <v>15204</v>
      </c>
      <c r="L8" s="15">
        <v>3016</v>
      </c>
      <c r="M8" s="16">
        <f t="shared" si="0"/>
        <v>3016</v>
      </c>
      <c r="N8" s="16">
        <v>0</v>
      </c>
      <c r="O8" s="62">
        <f t="shared" si="1"/>
        <v>0</v>
      </c>
      <c r="P8" s="42">
        <f t="shared" si="2"/>
        <v>18</v>
      </c>
      <c r="Q8" s="43">
        <f t="shared" si="3"/>
        <v>6</v>
      </c>
      <c r="R8" s="7"/>
      <c r="S8" s="6">
        <v>6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0.99867549668874167</v>
      </c>
      <c r="AC8" s="9">
        <f t="shared" si="5"/>
        <v>0.75</v>
      </c>
      <c r="AD8" s="10">
        <f t="shared" si="6"/>
        <v>0.74900662251655625</v>
      </c>
      <c r="AE8" s="39">
        <f t="shared" si="7"/>
        <v>0.54129359391718035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151</v>
      </c>
      <c r="E9" s="57" t="s">
        <v>393</v>
      </c>
      <c r="F9" s="12" t="s">
        <v>221</v>
      </c>
      <c r="G9" s="12">
        <v>1</v>
      </c>
      <c r="H9" s="13">
        <v>25</v>
      </c>
      <c r="I9" s="34">
        <v>3000</v>
      </c>
      <c r="J9" s="5">
        <v>3190</v>
      </c>
      <c r="K9" s="15">
        <f>L9</f>
        <v>3181</v>
      </c>
      <c r="L9" s="15">
        <f>3181</f>
        <v>3181</v>
      </c>
      <c r="M9" s="16">
        <f t="shared" si="0"/>
        <v>3181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>
        <v>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0.99717868338557991</v>
      </c>
      <c r="AC9" s="9">
        <f t="shared" si="5"/>
        <v>0.66666666666666663</v>
      </c>
      <c r="AD9" s="10">
        <f t="shared" si="6"/>
        <v>0.66478578892371987</v>
      </c>
      <c r="AE9" s="39">
        <f t="shared" si="7"/>
        <v>0.54129359391718035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426</v>
      </c>
      <c r="E10" s="57">
        <v>351001</v>
      </c>
      <c r="F10" s="12" t="s">
        <v>392</v>
      </c>
      <c r="G10" s="12">
        <v>1</v>
      </c>
      <c r="H10" s="13">
        <v>25</v>
      </c>
      <c r="I10" s="34">
        <v>600</v>
      </c>
      <c r="J10" s="14">
        <v>1002</v>
      </c>
      <c r="K10" s="15">
        <f>L10</f>
        <v>1002</v>
      </c>
      <c r="L10" s="15">
        <f>1002</f>
        <v>1002</v>
      </c>
      <c r="M10" s="16">
        <f t="shared" si="0"/>
        <v>1002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si="4"/>
        <v>1</v>
      </c>
      <c r="AC10" s="9">
        <f t="shared" si="5"/>
        <v>0.25</v>
      </c>
      <c r="AD10" s="10">
        <f t="shared" si="6"/>
        <v>0.25</v>
      </c>
      <c r="AE10" s="39">
        <f t="shared" si="7"/>
        <v>0.54129359391718035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2740</v>
      </c>
      <c r="K11" s="15">
        <f>L11+800</f>
        <v>3535</v>
      </c>
      <c r="L11" s="15">
        <f>2735</f>
        <v>2735</v>
      </c>
      <c r="M11" s="16">
        <f t="shared" si="0"/>
        <v>2735</v>
      </c>
      <c r="N11" s="16">
        <v>0</v>
      </c>
      <c r="O11" s="62">
        <f t="shared" si="1"/>
        <v>0</v>
      </c>
      <c r="P11" s="42">
        <f t="shared" si="2"/>
        <v>15</v>
      </c>
      <c r="Q11" s="43">
        <f t="shared" si="3"/>
        <v>9</v>
      </c>
      <c r="R11" s="7"/>
      <c r="S11" s="6">
        <v>9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0.99817518248175185</v>
      </c>
      <c r="AC11" s="9">
        <f t="shared" si="5"/>
        <v>0.625</v>
      </c>
      <c r="AD11" s="10">
        <f t="shared" si="6"/>
        <v>0.6238594890510949</v>
      </c>
      <c r="AE11" s="39">
        <f t="shared" si="7"/>
        <v>0.54129359391718035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4550</v>
      </c>
      <c r="K12" s="15">
        <f>L12+2679+3513+4059+4770+4877+2848+4589+780+3258+4724+2075+2514</f>
        <v>45235</v>
      </c>
      <c r="L12" s="15">
        <f>2280+2269</f>
        <v>4549</v>
      </c>
      <c r="M12" s="16">
        <f t="shared" si="0"/>
        <v>4549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0.9997802197802198</v>
      </c>
      <c r="AC12" s="9">
        <f t="shared" si="5"/>
        <v>1</v>
      </c>
      <c r="AD12" s="10">
        <f t="shared" si="6"/>
        <v>0.9997802197802198</v>
      </c>
      <c r="AE12" s="39">
        <f t="shared" si="7"/>
        <v>0.54129359391718035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273</v>
      </c>
      <c r="D13" s="55" t="s">
        <v>274</v>
      </c>
      <c r="E13" s="57" t="s">
        <v>275</v>
      </c>
      <c r="F13" s="12" t="s">
        <v>128</v>
      </c>
      <c r="G13" s="12">
        <v>1</v>
      </c>
      <c r="H13" s="13">
        <v>35</v>
      </c>
      <c r="I13" s="7">
        <v>850</v>
      </c>
      <c r="J13" s="14">
        <v>950</v>
      </c>
      <c r="K13" s="15">
        <f>L13+950</f>
        <v>950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0.54129359391718035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0.54129359391718035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0.54129359391718035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5540</v>
      </c>
      <c r="K16" s="15">
        <f>L16+3017+5739+3585+4577+4305+5680+5703+3440+5882+5091</f>
        <v>52554</v>
      </c>
      <c r="L16" s="15">
        <f>2821+2714</f>
        <v>5535</v>
      </c>
      <c r="M16" s="16">
        <f t="shared" si="0"/>
        <v>5535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0.99909747292418771</v>
      </c>
      <c r="AC16" s="9">
        <f t="shared" si="5"/>
        <v>1</v>
      </c>
      <c r="AD16" s="10">
        <f t="shared" si="6"/>
        <v>0.99909747292418771</v>
      </c>
      <c r="AE16" s="39">
        <f t="shared" si="7"/>
        <v>0.54129359391718035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273</v>
      </c>
      <c r="D17" s="55" t="s">
        <v>279</v>
      </c>
      <c r="E17" s="56" t="s">
        <v>280</v>
      </c>
      <c r="F17" s="12" t="s">
        <v>150</v>
      </c>
      <c r="G17" s="12">
        <v>1</v>
      </c>
      <c r="H17" s="13">
        <v>25</v>
      </c>
      <c r="I17" s="34">
        <v>10000</v>
      </c>
      <c r="J17" s="5">
        <v>680</v>
      </c>
      <c r="K17" s="15">
        <f>L17+572+3768+680</f>
        <v>5020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>
        <v>24</v>
      </c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0.54129359391718035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118</v>
      </c>
      <c r="D18" s="55" t="s">
        <v>185</v>
      </c>
      <c r="E18" s="57" t="s">
        <v>364</v>
      </c>
      <c r="F18" s="33" t="s">
        <v>177</v>
      </c>
      <c r="G18" s="12">
        <v>1</v>
      </c>
      <c r="H18" s="13">
        <v>25</v>
      </c>
      <c r="I18" s="34">
        <v>8000</v>
      </c>
      <c r="J18" s="5">
        <v>5610</v>
      </c>
      <c r="K18" s="15">
        <f>L18+4417+5147</f>
        <v>15172</v>
      </c>
      <c r="L18" s="15">
        <f>2914+2694</f>
        <v>5608</v>
      </c>
      <c r="M18" s="16">
        <f t="shared" si="0"/>
        <v>5608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0.99964349376114081</v>
      </c>
      <c r="AC18" s="9">
        <f t="shared" si="5"/>
        <v>1</v>
      </c>
      <c r="AD18" s="10">
        <f t="shared" si="6"/>
        <v>0.99964349376114081</v>
      </c>
      <c r="AE18" s="39">
        <f t="shared" si="7"/>
        <v>0.54129359391718035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4090</v>
      </c>
      <c r="K19" s="15">
        <f>L19+4633+5456+3865+4711+1671+3007+3013+4729+5107+4581</f>
        <v>44863</v>
      </c>
      <c r="L19" s="15">
        <f>2458+1632</f>
        <v>4090</v>
      </c>
      <c r="M19" s="16">
        <f t="shared" si="0"/>
        <v>4090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9">
        <f t="shared" si="7"/>
        <v>0.54129359391718035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500000</v>
      </c>
      <c r="J20" s="14">
        <v>58530</v>
      </c>
      <c r="K20" s="15">
        <f>L20+50348</f>
        <v>108872</v>
      </c>
      <c r="L20" s="15">
        <f>7677*4+6954*4</f>
        <v>58524</v>
      </c>
      <c r="M20" s="16">
        <f t="shared" si="0"/>
        <v>58524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0.99989748846745263</v>
      </c>
      <c r="AC20" s="9">
        <f t="shared" si="5"/>
        <v>1</v>
      </c>
      <c r="AD20" s="10">
        <f t="shared" si="6"/>
        <v>0.99989748846745263</v>
      </c>
      <c r="AE20" s="39">
        <f t="shared" si="7"/>
        <v>0.54129359391718035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678650</v>
      </c>
      <c r="J21" s="22">
        <f t="shared" si="9"/>
        <v>97322</v>
      </c>
      <c r="K21" s="23">
        <f t="shared" si="9"/>
        <v>302736</v>
      </c>
      <c r="L21" s="24">
        <f t="shared" si="9"/>
        <v>92670</v>
      </c>
      <c r="M21" s="23">
        <f t="shared" si="9"/>
        <v>92670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195</v>
      </c>
      <c r="Q21" s="46">
        <f t="shared" si="10"/>
        <v>165</v>
      </c>
      <c r="R21" s="26">
        <f t="shared" si="10"/>
        <v>24</v>
      </c>
      <c r="S21" s="27">
        <f t="shared" si="10"/>
        <v>73</v>
      </c>
      <c r="T21" s="27">
        <f t="shared" si="10"/>
        <v>2</v>
      </c>
      <c r="U21" s="27">
        <f t="shared" si="10"/>
        <v>0</v>
      </c>
      <c r="V21" s="28">
        <f t="shared" si="10"/>
        <v>24</v>
      </c>
      <c r="W21" s="29">
        <f t="shared" si="10"/>
        <v>42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0.66616320249927163</v>
      </c>
      <c r="AC21" s="4">
        <f>SUM(AC6:AC20)/15</f>
        <v>0.54166666666666663</v>
      </c>
      <c r="AD21" s="4">
        <f>SUM(AD6:AD20)/15</f>
        <v>0.54129359391718035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427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441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199" t="s">
        <v>47</v>
      </c>
      <c r="D50" s="199" t="s">
        <v>48</v>
      </c>
      <c r="E50" s="199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199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195" t="s">
        <v>396</v>
      </c>
      <c r="D51" s="195" t="s">
        <v>216</v>
      </c>
      <c r="E51" s="198" t="s">
        <v>217</v>
      </c>
      <c r="F51" s="437" t="s">
        <v>428</v>
      </c>
      <c r="G51" s="437"/>
      <c r="H51" s="437"/>
      <c r="I51" s="437"/>
      <c r="J51" s="437"/>
      <c r="K51" s="437"/>
      <c r="L51" s="437"/>
      <c r="M51" s="438"/>
      <c r="N51" s="194" t="s">
        <v>442</v>
      </c>
      <c r="O51" s="74" t="s">
        <v>443</v>
      </c>
      <c r="P51" s="436" t="s">
        <v>444</v>
      </c>
      <c r="Q51" s="436"/>
      <c r="R51" s="436" t="s">
        <v>445</v>
      </c>
      <c r="S51" s="436"/>
      <c r="T51" s="436"/>
      <c r="U51" s="436"/>
      <c r="V51" s="437" t="s">
        <v>431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118</v>
      </c>
      <c r="B52" s="436"/>
      <c r="C52" s="195" t="s">
        <v>429</v>
      </c>
      <c r="D52" s="195" t="s">
        <v>430</v>
      </c>
      <c r="E52" s="198" t="s">
        <v>425</v>
      </c>
      <c r="F52" s="437" t="s">
        <v>431</v>
      </c>
      <c r="G52" s="437"/>
      <c r="H52" s="437"/>
      <c r="I52" s="437"/>
      <c r="J52" s="437"/>
      <c r="K52" s="437"/>
      <c r="L52" s="437"/>
      <c r="M52" s="438"/>
      <c r="N52" s="194" t="s">
        <v>119</v>
      </c>
      <c r="O52" s="74" t="s">
        <v>446</v>
      </c>
      <c r="P52" s="439" t="s">
        <v>447</v>
      </c>
      <c r="Q52" s="440"/>
      <c r="R52" s="436" t="s">
        <v>448</v>
      </c>
      <c r="S52" s="436"/>
      <c r="T52" s="436"/>
      <c r="U52" s="436"/>
      <c r="V52" s="437" t="s">
        <v>431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273</v>
      </c>
      <c r="B53" s="446"/>
      <c r="C53" s="198" t="s">
        <v>401</v>
      </c>
      <c r="D53" s="195" t="s">
        <v>279</v>
      </c>
      <c r="E53" s="198" t="s">
        <v>280</v>
      </c>
      <c r="F53" s="437" t="s">
        <v>432</v>
      </c>
      <c r="G53" s="437"/>
      <c r="H53" s="437"/>
      <c r="I53" s="437"/>
      <c r="J53" s="437"/>
      <c r="K53" s="437"/>
      <c r="L53" s="437"/>
      <c r="M53" s="438"/>
      <c r="N53" s="194" t="s">
        <v>423</v>
      </c>
      <c r="O53" s="74" t="s">
        <v>449</v>
      </c>
      <c r="P53" s="439" t="s">
        <v>450</v>
      </c>
      <c r="Q53" s="440"/>
      <c r="R53" s="436" t="s">
        <v>451</v>
      </c>
      <c r="S53" s="436"/>
      <c r="T53" s="436"/>
      <c r="U53" s="436"/>
      <c r="V53" s="437" t="s">
        <v>431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198" t="s">
        <v>403</v>
      </c>
      <c r="D54" s="195" t="s">
        <v>426</v>
      </c>
      <c r="E54" s="198" t="s">
        <v>433</v>
      </c>
      <c r="F54" s="437" t="s">
        <v>405</v>
      </c>
      <c r="G54" s="437"/>
      <c r="H54" s="437"/>
      <c r="I54" s="437"/>
      <c r="J54" s="437"/>
      <c r="K54" s="437"/>
      <c r="L54" s="437"/>
      <c r="M54" s="438"/>
      <c r="N54" s="194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119</v>
      </c>
      <c r="B55" s="436"/>
      <c r="C55" s="195" t="s">
        <v>434</v>
      </c>
      <c r="D55" s="195" t="s">
        <v>435</v>
      </c>
      <c r="E55" s="198" t="s">
        <v>436</v>
      </c>
      <c r="F55" s="437" t="s">
        <v>437</v>
      </c>
      <c r="G55" s="437"/>
      <c r="H55" s="437"/>
      <c r="I55" s="437"/>
      <c r="J55" s="437"/>
      <c r="K55" s="437"/>
      <c r="L55" s="437"/>
      <c r="M55" s="438"/>
      <c r="N55" s="194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119</v>
      </c>
      <c r="B56" s="436"/>
      <c r="C56" s="195" t="s">
        <v>438</v>
      </c>
      <c r="D56" s="195" t="s">
        <v>426</v>
      </c>
      <c r="E56" s="198" t="s">
        <v>439</v>
      </c>
      <c r="F56" s="437" t="s">
        <v>440</v>
      </c>
      <c r="G56" s="437"/>
      <c r="H56" s="437"/>
      <c r="I56" s="437"/>
      <c r="J56" s="437"/>
      <c r="K56" s="437"/>
      <c r="L56" s="437"/>
      <c r="M56" s="438"/>
      <c r="N56" s="194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198"/>
      <c r="D57" s="195"/>
      <c r="E57" s="198"/>
      <c r="F57" s="437"/>
      <c r="G57" s="437"/>
      <c r="H57" s="437"/>
      <c r="I57" s="437"/>
      <c r="J57" s="437"/>
      <c r="K57" s="437"/>
      <c r="L57" s="437"/>
      <c r="M57" s="438"/>
      <c r="N57" s="194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198"/>
      <c r="D58" s="195"/>
      <c r="E58" s="198"/>
      <c r="F58" s="437"/>
      <c r="G58" s="437"/>
      <c r="H58" s="437"/>
      <c r="I58" s="437"/>
      <c r="J58" s="437"/>
      <c r="K58" s="437"/>
      <c r="L58" s="437"/>
      <c r="M58" s="438"/>
      <c r="N58" s="194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195"/>
      <c r="D59" s="195"/>
      <c r="E59" s="195"/>
      <c r="F59" s="437"/>
      <c r="G59" s="437"/>
      <c r="H59" s="437"/>
      <c r="I59" s="437"/>
      <c r="J59" s="437"/>
      <c r="K59" s="437"/>
      <c r="L59" s="437"/>
      <c r="M59" s="438"/>
      <c r="N59" s="194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197"/>
      <c r="D60" s="197"/>
      <c r="E60" s="197"/>
      <c r="F60" s="443"/>
      <c r="G60" s="443"/>
      <c r="H60" s="443"/>
      <c r="I60" s="443"/>
      <c r="J60" s="443"/>
      <c r="K60" s="443"/>
      <c r="L60" s="443"/>
      <c r="M60" s="444"/>
      <c r="N60" s="196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452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193" t="s">
        <v>2</v>
      </c>
      <c r="D62" s="193" t="s">
        <v>38</v>
      </c>
      <c r="E62" s="193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193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/>
      <c r="D63" s="189"/>
      <c r="E63" s="191"/>
      <c r="F63" s="456"/>
      <c r="G63" s="457"/>
      <c r="H63" s="457"/>
      <c r="I63" s="457"/>
      <c r="J63" s="457"/>
      <c r="K63" s="457"/>
      <c r="L63" s="457"/>
      <c r="M63" s="54"/>
      <c r="N63" s="457"/>
      <c r="O63" s="457"/>
      <c r="P63" s="458"/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/>
      <c r="D64" s="189"/>
      <c r="E64" s="191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189"/>
      <c r="E65" s="191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189"/>
      <c r="E66" s="191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189"/>
      <c r="E67" s="191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189"/>
      <c r="E68" s="191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189"/>
      <c r="E69" s="191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189"/>
      <c r="E70" s="191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453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192" t="s">
        <v>2</v>
      </c>
      <c r="D72" s="192" t="s">
        <v>38</v>
      </c>
      <c r="E72" s="192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190" t="s">
        <v>118</v>
      </c>
      <c r="D73" s="190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189" t="s">
        <v>118</v>
      </c>
      <c r="D74" s="189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189" t="s">
        <v>163</v>
      </c>
      <c r="D75" s="189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189" t="s">
        <v>141</v>
      </c>
      <c r="D76" s="189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189"/>
      <c r="D77" s="189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189"/>
      <c r="D78" s="189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189"/>
      <c r="D79" s="189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189"/>
      <c r="D80" s="189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189"/>
      <c r="D81" s="189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454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25" zoomScale="72" zoomScaleNormal="72" zoomScaleSheetLayoutView="70" workbookViewId="0">
      <selection activeCell="F59" sqref="F59:M5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455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01" t="s">
        <v>17</v>
      </c>
      <c r="L5" s="201" t="s">
        <v>18</v>
      </c>
      <c r="M5" s="201" t="s">
        <v>19</v>
      </c>
      <c r="N5" s="20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0.58008258368321697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6000</v>
      </c>
      <c r="K7" s="15">
        <f>L7+4430</f>
        <v>10424</v>
      </c>
      <c r="L7" s="15">
        <f>3187+2807</f>
        <v>5994</v>
      </c>
      <c r="M7" s="16">
        <f t="shared" si="0"/>
        <v>5994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</v>
      </c>
      <c r="AC7" s="9">
        <f t="shared" si="5"/>
        <v>1</v>
      </c>
      <c r="AD7" s="10">
        <f t="shared" si="6"/>
        <v>0.999</v>
      </c>
      <c r="AE7" s="39">
        <f t="shared" si="7"/>
        <v>0.58008258368321697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4670</v>
      </c>
      <c r="K8" s="15">
        <f>L8+562+3624+3000+2279+2723+3016</f>
        <v>19874</v>
      </c>
      <c r="L8" s="15">
        <f>3130+1540</f>
        <v>4670</v>
      </c>
      <c r="M8" s="16">
        <f t="shared" si="0"/>
        <v>4670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>
        <v>2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9">
        <f t="shared" si="7"/>
        <v>0.58008258368321697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151</v>
      </c>
      <c r="E9" s="57" t="s">
        <v>393</v>
      </c>
      <c r="F9" s="12" t="s">
        <v>221</v>
      </c>
      <c r="G9" s="12">
        <v>1</v>
      </c>
      <c r="H9" s="13">
        <v>25</v>
      </c>
      <c r="I9" s="34">
        <v>3000</v>
      </c>
      <c r="J9" s="5">
        <v>3350</v>
      </c>
      <c r="K9" s="15">
        <f>L9+3181</f>
        <v>6524</v>
      </c>
      <c r="L9" s="15">
        <f>824+2519</f>
        <v>3343</v>
      </c>
      <c r="M9" s="16">
        <f t="shared" si="0"/>
        <v>3343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/>
      <c r="T9" s="17"/>
      <c r="U9" s="17"/>
      <c r="V9" s="18"/>
      <c r="W9" s="19">
        <v>6</v>
      </c>
      <c r="X9" s="17"/>
      <c r="Y9" s="20"/>
      <c r="Z9" s="20"/>
      <c r="AA9" s="21"/>
      <c r="AB9" s="8">
        <f t="shared" si="4"/>
        <v>0.99791044776119397</v>
      </c>
      <c r="AC9" s="9">
        <f t="shared" si="5"/>
        <v>0.75</v>
      </c>
      <c r="AD9" s="10">
        <f t="shared" si="6"/>
        <v>0.74843283582089548</v>
      </c>
      <c r="AE9" s="39">
        <f t="shared" si="7"/>
        <v>0.58008258368321697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456</v>
      </c>
      <c r="E10" s="57" t="s">
        <v>457</v>
      </c>
      <c r="F10" s="12" t="s">
        <v>458</v>
      </c>
      <c r="G10" s="12">
        <v>32</v>
      </c>
      <c r="H10" s="13">
        <v>25</v>
      </c>
      <c r="I10" s="34">
        <v>100000</v>
      </c>
      <c r="J10" s="14">
        <v>195650</v>
      </c>
      <c r="K10" s="15">
        <f>L10</f>
        <v>195648</v>
      </c>
      <c r="L10" s="15">
        <f>3548*32+2566*32</f>
        <v>195648</v>
      </c>
      <c r="M10" s="16">
        <f t="shared" si="0"/>
        <v>195648</v>
      </c>
      <c r="N10" s="16">
        <v>0</v>
      </c>
      <c r="O10" s="62">
        <f t="shared" si="1"/>
        <v>0</v>
      </c>
      <c r="P10" s="42">
        <f t="shared" si="2"/>
        <v>23</v>
      </c>
      <c r="Q10" s="43">
        <f t="shared" si="3"/>
        <v>1</v>
      </c>
      <c r="R10" s="7"/>
      <c r="S10" s="6"/>
      <c r="T10" s="17">
        <v>1</v>
      </c>
      <c r="U10" s="17"/>
      <c r="V10" s="18"/>
      <c r="W10" s="19"/>
      <c r="X10" s="17"/>
      <c r="Y10" s="20"/>
      <c r="Z10" s="20"/>
      <c r="AA10" s="21"/>
      <c r="AB10" s="8">
        <f t="shared" si="4"/>
        <v>0.99998977766419628</v>
      </c>
      <c r="AC10" s="9">
        <f t="shared" si="5"/>
        <v>0.95833333333333337</v>
      </c>
      <c r="AD10" s="10">
        <f t="shared" si="6"/>
        <v>0.95832353692818817</v>
      </c>
      <c r="AE10" s="39">
        <f t="shared" si="7"/>
        <v>0.58008258368321697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</f>
        <v>4858</v>
      </c>
      <c r="L11" s="15">
        <v>1323</v>
      </c>
      <c r="M11" s="16">
        <f t="shared" si="0"/>
        <v>1323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0.99473684210526314</v>
      </c>
      <c r="AC11" s="9">
        <f t="shared" si="5"/>
        <v>0.25</v>
      </c>
      <c r="AD11" s="10">
        <f t="shared" si="6"/>
        <v>0.24868421052631579</v>
      </c>
      <c r="AE11" s="39">
        <f t="shared" si="7"/>
        <v>0.58008258368321697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4550</v>
      </c>
      <c r="K12" s="15">
        <f>L12+2679+3513+4059+4770+4877+2848+4589+780+3258+4724+2075+2514+4549</f>
        <v>45235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0.58008258368321697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459</v>
      </c>
      <c r="D13" s="55" t="s">
        <v>460</v>
      </c>
      <c r="E13" s="57" t="s">
        <v>461</v>
      </c>
      <c r="F13" s="12" t="s">
        <v>462</v>
      </c>
      <c r="G13" s="12">
        <v>2</v>
      </c>
      <c r="H13" s="13">
        <v>35</v>
      </c>
      <c r="I13" s="7">
        <v>3000</v>
      </c>
      <c r="J13" s="14">
        <v>6080</v>
      </c>
      <c r="K13" s="15">
        <f>L13</f>
        <v>6074</v>
      </c>
      <c r="L13" s="15">
        <f>2230*2+807*2</f>
        <v>6074</v>
      </c>
      <c r="M13" s="16">
        <f t="shared" si="0"/>
        <v>6074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/>
      <c r="T13" s="17"/>
      <c r="U13" s="17"/>
      <c r="V13" s="18"/>
      <c r="W13" s="19">
        <v>6</v>
      </c>
      <c r="X13" s="17"/>
      <c r="Y13" s="20"/>
      <c r="Z13" s="20"/>
      <c r="AA13" s="21"/>
      <c r="AB13" s="8">
        <f t="shared" si="4"/>
        <v>0.99901315789473688</v>
      </c>
      <c r="AC13" s="9">
        <f t="shared" si="5"/>
        <v>0.75</v>
      </c>
      <c r="AD13" s="10">
        <f t="shared" si="6"/>
        <v>0.74925986842105263</v>
      </c>
      <c r="AE13" s="39">
        <f t="shared" si="7"/>
        <v>0.58008258368321697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0.58008258368321697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0.58008258368321697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26000</v>
      </c>
      <c r="J16" s="14">
        <v>4050</v>
      </c>
      <c r="K16" s="15">
        <f>L16+3017+5739+3585+4577+4305+5680+5703+3440+5882+5091+5535</f>
        <v>56597</v>
      </c>
      <c r="L16" s="15">
        <f>1453+2590</f>
        <v>4043</v>
      </c>
      <c r="M16" s="16">
        <f t="shared" si="0"/>
        <v>4043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0.99827160493827161</v>
      </c>
      <c r="AC16" s="9">
        <f t="shared" si="5"/>
        <v>1</v>
      </c>
      <c r="AD16" s="10">
        <f t="shared" si="6"/>
        <v>0.99827160493827161</v>
      </c>
      <c r="AE16" s="39">
        <f t="shared" si="7"/>
        <v>0.58008258368321697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233</v>
      </c>
      <c r="D17" s="55" t="s">
        <v>279</v>
      </c>
      <c r="E17" s="56" t="s">
        <v>463</v>
      </c>
      <c r="F17" s="12">
        <v>8301</v>
      </c>
      <c r="G17" s="12">
        <v>1</v>
      </c>
      <c r="H17" s="13">
        <v>25</v>
      </c>
      <c r="I17" s="34">
        <v>1000</v>
      </c>
      <c r="J17" s="5">
        <v>1250</v>
      </c>
      <c r="K17" s="15">
        <f>L17</f>
        <v>1250</v>
      </c>
      <c r="L17" s="15">
        <f>1250</f>
        <v>1250</v>
      </c>
      <c r="M17" s="16">
        <f t="shared" si="0"/>
        <v>1250</v>
      </c>
      <c r="N17" s="16">
        <v>0</v>
      </c>
      <c r="O17" s="62">
        <f t="shared" si="1"/>
        <v>0</v>
      </c>
      <c r="P17" s="42">
        <f t="shared" si="2"/>
        <v>12</v>
      </c>
      <c r="Q17" s="43">
        <f t="shared" si="3"/>
        <v>12</v>
      </c>
      <c r="R17" s="7"/>
      <c r="S17" s="6"/>
      <c r="T17" s="17"/>
      <c r="U17" s="17"/>
      <c r="V17" s="18"/>
      <c r="W17" s="19">
        <v>12</v>
      </c>
      <c r="X17" s="17"/>
      <c r="Y17" s="20"/>
      <c r="Z17" s="20"/>
      <c r="AA17" s="21"/>
      <c r="AB17" s="8">
        <f t="shared" si="4"/>
        <v>1</v>
      </c>
      <c r="AC17" s="9">
        <f t="shared" si="5"/>
        <v>0.5</v>
      </c>
      <c r="AD17" s="10">
        <f t="shared" si="6"/>
        <v>0.5</v>
      </c>
      <c r="AE17" s="39">
        <f t="shared" si="7"/>
        <v>0.58008258368321697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459</v>
      </c>
      <c r="D18" s="55" t="s">
        <v>464</v>
      </c>
      <c r="E18" s="57" t="s">
        <v>465</v>
      </c>
      <c r="F18" s="33" t="s">
        <v>466</v>
      </c>
      <c r="G18" s="12">
        <v>1</v>
      </c>
      <c r="H18" s="13">
        <v>25</v>
      </c>
      <c r="I18" s="34">
        <v>1000</v>
      </c>
      <c r="J18" s="5">
        <v>1950</v>
      </c>
      <c r="K18" s="15">
        <f>L18</f>
        <v>1950</v>
      </c>
      <c r="L18" s="15">
        <f>1950</f>
        <v>1950</v>
      </c>
      <c r="M18" s="16">
        <f t="shared" si="0"/>
        <v>1950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/>
      <c r="U18" s="17"/>
      <c r="V18" s="18"/>
      <c r="W18" s="19">
        <v>10</v>
      </c>
      <c r="X18" s="17"/>
      <c r="Y18" s="20"/>
      <c r="Z18" s="20"/>
      <c r="AA18" s="21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9">
        <f t="shared" si="7"/>
        <v>0.58008258368321697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5010</v>
      </c>
      <c r="K19" s="15">
        <f>L19+4633+5456+3865+4711+1671+3007+3013+4729+5107+4581+4090</f>
        <v>49870</v>
      </c>
      <c r="L19" s="15">
        <f>2640+2367</f>
        <v>5007</v>
      </c>
      <c r="M19" s="16">
        <f t="shared" si="0"/>
        <v>5007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0.9994011976047904</v>
      </c>
      <c r="AC19" s="9">
        <f t="shared" si="5"/>
        <v>1</v>
      </c>
      <c r="AD19" s="10">
        <f t="shared" si="6"/>
        <v>0.9994011976047904</v>
      </c>
      <c r="AE19" s="39">
        <f t="shared" si="7"/>
        <v>0.58008258368321697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500000</v>
      </c>
      <c r="J20" s="14">
        <v>59480</v>
      </c>
      <c r="K20" s="15">
        <f>L20+50348+58524</f>
        <v>168344</v>
      </c>
      <c r="L20" s="15">
        <f>7772*4+7096*4</f>
        <v>59472</v>
      </c>
      <c r="M20" s="16">
        <f t="shared" si="0"/>
        <v>59472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0.99986550100874239</v>
      </c>
      <c r="AC20" s="9">
        <f t="shared" si="5"/>
        <v>1</v>
      </c>
      <c r="AD20" s="10">
        <f t="shared" si="6"/>
        <v>0.99986550100874239</v>
      </c>
      <c r="AE20" s="39">
        <f t="shared" si="7"/>
        <v>0.58008258368321697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764200</v>
      </c>
      <c r="J21" s="22">
        <f t="shared" si="9"/>
        <v>296360</v>
      </c>
      <c r="K21" s="23">
        <f t="shared" si="9"/>
        <v>569366</v>
      </c>
      <c r="L21" s="24">
        <f t="shared" si="9"/>
        <v>288774</v>
      </c>
      <c r="M21" s="23">
        <f t="shared" si="9"/>
        <v>288774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209</v>
      </c>
      <c r="Q21" s="46">
        <f t="shared" si="10"/>
        <v>151</v>
      </c>
      <c r="R21" s="26">
        <f t="shared" si="10"/>
        <v>24</v>
      </c>
      <c r="S21" s="27">
        <f t="shared" si="10"/>
        <v>50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76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0.7325459019318129</v>
      </c>
      <c r="AC21" s="4">
        <f>SUM(AC6:AC20)/15</f>
        <v>0.58055555555555549</v>
      </c>
      <c r="AD21" s="4">
        <f>SUM(AD6:AD20)/15</f>
        <v>0.58008258368321697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469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476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02" t="s">
        <v>47</v>
      </c>
      <c r="D50" s="202" t="s">
        <v>48</v>
      </c>
      <c r="E50" s="202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02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204" t="s">
        <v>396</v>
      </c>
      <c r="D51" s="204" t="s">
        <v>216</v>
      </c>
      <c r="E51" s="207" t="s">
        <v>217</v>
      </c>
      <c r="F51" s="437" t="s">
        <v>470</v>
      </c>
      <c r="G51" s="437"/>
      <c r="H51" s="437"/>
      <c r="I51" s="437"/>
      <c r="J51" s="437"/>
      <c r="K51" s="437"/>
      <c r="L51" s="437"/>
      <c r="M51" s="438"/>
      <c r="N51" s="203" t="s">
        <v>477</v>
      </c>
      <c r="O51" s="74" t="s">
        <v>478</v>
      </c>
      <c r="P51" s="436" t="s">
        <v>479</v>
      </c>
      <c r="Q51" s="436"/>
      <c r="R51" s="436"/>
      <c r="S51" s="436"/>
      <c r="T51" s="436"/>
      <c r="U51" s="436"/>
      <c r="V51" s="437" t="s">
        <v>480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471</v>
      </c>
      <c r="B52" s="446"/>
      <c r="C52" s="207" t="s">
        <v>472</v>
      </c>
      <c r="D52" s="204" t="s">
        <v>473</v>
      </c>
      <c r="E52" s="207" t="s">
        <v>474</v>
      </c>
      <c r="F52" s="437" t="s">
        <v>475</v>
      </c>
      <c r="G52" s="437"/>
      <c r="H52" s="437"/>
      <c r="I52" s="437"/>
      <c r="J52" s="437"/>
      <c r="K52" s="437"/>
      <c r="L52" s="437"/>
      <c r="M52" s="438"/>
      <c r="N52" s="203" t="s">
        <v>481</v>
      </c>
      <c r="O52" s="74" t="s">
        <v>482</v>
      </c>
      <c r="P52" s="439" t="s">
        <v>483</v>
      </c>
      <c r="Q52" s="440"/>
      <c r="R52" s="436" t="s">
        <v>484</v>
      </c>
      <c r="S52" s="436"/>
      <c r="T52" s="436"/>
      <c r="U52" s="436"/>
      <c r="V52" s="437" t="s">
        <v>485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/>
      <c r="B53" s="446"/>
      <c r="C53" s="207"/>
      <c r="D53" s="204"/>
      <c r="E53" s="207"/>
      <c r="F53" s="437"/>
      <c r="G53" s="437"/>
      <c r="H53" s="437"/>
      <c r="I53" s="437"/>
      <c r="J53" s="437"/>
      <c r="K53" s="437"/>
      <c r="L53" s="437"/>
      <c r="M53" s="438"/>
      <c r="N53" s="203"/>
      <c r="O53" s="74"/>
      <c r="P53" s="439"/>
      <c r="Q53" s="440"/>
      <c r="R53" s="436"/>
      <c r="S53" s="436"/>
      <c r="T53" s="436"/>
      <c r="U53" s="436"/>
      <c r="V53" s="437"/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/>
      <c r="B54" s="446"/>
      <c r="C54" s="207"/>
      <c r="D54" s="204"/>
      <c r="E54" s="207"/>
      <c r="F54" s="437"/>
      <c r="G54" s="437"/>
      <c r="H54" s="437"/>
      <c r="I54" s="437"/>
      <c r="J54" s="437"/>
      <c r="K54" s="437"/>
      <c r="L54" s="437"/>
      <c r="M54" s="438"/>
      <c r="N54" s="203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204"/>
      <c r="D55" s="204"/>
      <c r="E55" s="207"/>
      <c r="F55" s="437"/>
      <c r="G55" s="437"/>
      <c r="H55" s="437"/>
      <c r="I55" s="437"/>
      <c r="J55" s="437"/>
      <c r="K55" s="437"/>
      <c r="L55" s="437"/>
      <c r="M55" s="438"/>
      <c r="N55" s="203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204"/>
      <c r="D56" s="204"/>
      <c r="E56" s="207"/>
      <c r="F56" s="437"/>
      <c r="G56" s="437"/>
      <c r="H56" s="437"/>
      <c r="I56" s="437"/>
      <c r="J56" s="437"/>
      <c r="K56" s="437"/>
      <c r="L56" s="437"/>
      <c r="M56" s="438"/>
      <c r="N56" s="203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07"/>
      <c r="D57" s="204"/>
      <c r="E57" s="207"/>
      <c r="F57" s="437"/>
      <c r="G57" s="437"/>
      <c r="H57" s="437"/>
      <c r="I57" s="437"/>
      <c r="J57" s="437"/>
      <c r="K57" s="437"/>
      <c r="L57" s="437"/>
      <c r="M57" s="438"/>
      <c r="N57" s="203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07"/>
      <c r="D58" s="204"/>
      <c r="E58" s="207"/>
      <c r="F58" s="437"/>
      <c r="G58" s="437"/>
      <c r="H58" s="437"/>
      <c r="I58" s="437"/>
      <c r="J58" s="437"/>
      <c r="K58" s="437"/>
      <c r="L58" s="437"/>
      <c r="M58" s="438"/>
      <c r="N58" s="203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04"/>
      <c r="D59" s="204"/>
      <c r="E59" s="204"/>
      <c r="F59" s="437"/>
      <c r="G59" s="437"/>
      <c r="H59" s="437"/>
      <c r="I59" s="437"/>
      <c r="J59" s="437"/>
      <c r="K59" s="437"/>
      <c r="L59" s="437"/>
      <c r="M59" s="438"/>
      <c r="N59" s="203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06"/>
      <c r="D60" s="206"/>
      <c r="E60" s="206"/>
      <c r="F60" s="443"/>
      <c r="G60" s="443"/>
      <c r="H60" s="443"/>
      <c r="I60" s="443"/>
      <c r="J60" s="443"/>
      <c r="K60" s="443"/>
      <c r="L60" s="443"/>
      <c r="M60" s="444"/>
      <c r="N60" s="205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486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08" t="s">
        <v>2</v>
      </c>
      <c r="D62" s="208" t="s">
        <v>38</v>
      </c>
      <c r="E62" s="208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08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467</v>
      </c>
      <c r="D63" s="211"/>
      <c r="E63" s="209" t="s">
        <v>487</v>
      </c>
      <c r="F63" s="456" t="s">
        <v>488</v>
      </c>
      <c r="G63" s="457"/>
      <c r="H63" s="457"/>
      <c r="I63" s="457"/>
      <c r="J63" s="457"/>
      <c r="K63" s="457">
        <v>8301</v>
      </c>
      <c r="L63" s="457"/>
      <c r="M63" s="54" t="s">
        <v>489</v>
      </c>
      <c r="N63" s="457">
        <v>12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118</v>
      </c>
      <c r="D64" s="211"/>
      <c r="E64" s="209" t="s">
        <v>490</v>
      </c>
      <c r="F64" s="456" t="s">
        <v>491</v>
      </c>
      <c r="G64" s="457"/>
      <c r="H64" s="457"/>
      <c r="I64" s="457"/>
      <c r="J64" s="457"/>
      <c r="K64" s="457" t="s">
        <v>492</v>
      </c>
      <c r="L64" s="457"/>
      <c r="M64" s="54" t="s">
        <v>468</v>
      </c>
      <c r="N64" s="457">
        <v>8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 t="s">
        <v>118</v>
      </c>
      <c r="D65" s="211"/>
      <c r="E65" s="209" t="s">
        <v>493</v>
      </c>
      <c r="F65" s="456" t="s">
        <v>494</v>
      </c>
      <c r="G65" s="457"/>
      <c r="H65" s="457"/>
      <c r="I65" s="457"/>
      <c r="J65" s="457"/>
      <c r="K65" s="457">
        <v>7301</v>
      </c>
      <c r="L65" s="457"/>
      <c r="M65" s="54" t="s">
        <v>495</v>
      </c>
      <c r="N65" s="457">
        <v>13</v>
      </c>
      <c r="O65" s="457"/>
      <c r="P65" s="458">
        <v>50</v>
      </c>
      <c r="Q65" s="458"/>
      <c r="R65" s="437" t="s">
        <v>496</v>
      </c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 t="s">
        <v>118</v>
      </c>
      <c r="D66" s="211"/>
      <c r="E66" s="209" t="s">
        <v>138</v>
      </c>
      <c r="F66" s="456" t="s">
        <v>497</v>
      </c>
      <c r="G66" s="457"/>
      <c r="H66" s="457"/>
      <c r="I66" s="457"/>
      <c r="J66" s="457"/>
      <c r="K66" s="457" t="s">
        <v>498</v>
      </c>
      <c r="L66" s="457"/>
      <c r="M66" s="54" t="s">
        <v>495</v>
      </c>
      <c r="N66" s="457">
        <v>7</v>
      </c>
      <c r="O66" s="457"/>
      <c r="P66" s="458">
        <v>50</v>
      </c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11"/>
      <c r="E67" s="209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11"/>
      <c r="E68" s="209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11"/>
      <c r="E69" s="209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11"/>
      <c r="E70" s="209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499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10" t="s">
        <v>2</v>
      </c>
      <c r="D72" s="210" t="s">
        <v>38</v>
      </c>
      <c r="E72" s="210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12" t="s">
        <v>118</v>
      </c>
      <c r="D73" s="212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11" t="s">
        <v>118</v>
      </c>
      <c r="D74" s="211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11" t="s">
        <v>163</v>
      </c>
      <c r="D75" s="211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11" t="s">
        <v>141</v>
      </c>
      <c r="D76" s="211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11"/>
      <c r="D77" s="211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11"/>
      <c r="D78" s="211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11"/>
      <c r="D79" s="211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11"/>
      <c r="D80" s="211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11"/>
      <c r="D81" s="211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500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28" zoomScale="72" zoomScaleNormal="72" zoomScaleSheetLayoutView="70" workbookViewId="0">
      <selection activeCell="F54" sqref="F54:M5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501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24" t="s">
        <v>17</v>
      </c>
      <c r="L5" s="224" t="s">
        <v>18</v>
      </c>
      <c r="M5" s="224" t="s">
        <v>19</v>
      </c>
      <c r="N5" s="22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0.33878798800720555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5900</v>
      </c>
      <c r="K7" s="15">
        <f>L7+4430+5994</f>
        <v>16322</v>
      </c>
      <c r="L7" s="15">
        <f>3096+2802</f>
        <v>5898</v>
      </c>
      <c r="M7" s="16">
        <f t="shared" si="0"/>
        <v>5898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0.99966101694915255</v>
      </c>
      <c r="AC7" s="9">
        <f t="shared" si="5"/>
        <v>1</v>
      </c>
      <c r="AD7" s="10">
        <f t="shared" si="6"/>
        <v>0.99966101694915255</v>
      </c>
      <c r="AE7" s="39">
        <f t="shared" si="7"/>
        <v>0.33878798800720555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4950</v>
      </c>
      <c r="K8" s="15">
        <f>L8+562+3624+3000+2279+2723+3016+4670</f>
        <v>24824</v>
      </c>
      <c r="L8" s="15">
        <f>3098+1852</f>
        <v>4950</v>
      </c>
      <c r="M8" s="16">
        <f t="shared" si="0"/>
        <v>4950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>
        <v>1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9">
        <f t="shared" si="7"/>
        <v>0.33878798800720555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141</v>
      </c>
      <c r="D9" s="55" t="s">
        <v>151</v>
      </c>
      <c r="E9" s="57" t="s">
        <v>393</v>
      </c>
      <c r="F9" s="12" t="s">
        <v>221</v>
      </c>
      <c r="G9" s="12">
        <v>1</v>
      </c>
      <c r="H9" s="13">
        <v>25</v>
      </c>
      <c r="I9" s="34">
        <v>3000</v>
      </c>
      <c r="J9" s="5">
        <v>3350</v>
      </c>
      <c r="K9" s="15">
        <f>L9+3181+3343</f>
        <v>6524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0.33878798800720555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119</v>
      </c>
      <c r="D10" s="55" t="s">
        <v>456</v>
      </c>
      <c r="E10" s="57" t="s">
        <v>457</v>
      </c>
      <c r="F10" s="12" t="s">
        <v>458</v>
      </c>
      <c r="G10" s="12">
        <v>32</v>
      </c>
      <c r="H10" s="13">
        <v>25</v>
      </c>
      <c r="I10" s="34">
        <v>100000</v>
      </c>
      <c r="J10" s="14">
        <v>117400</v>
      </c>
      <c r="K10" s="15">
        <f>L10+195648</f>
        <v>312992</v>
      </c>
      <c r="L10" s="15">
        <f>3667*32</f>
        <v>117344</v>
      </c>
      <c r="M10" s="16">
        <f t="shared" si="0"/>
        <v>117344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/>
      <c r="T10" s="17"/>
      <c r="U10" s="17"/>
      <c r="V10" s="18"/>
      <c r="W10" s="19">
        <v>10</v>
      </c>
      <c r="X10" s="17"/>
      <c r="Y10" s="20"/>
      <c r="Z10" s="20"/>
      <c r="AA10" s="21"/>
      <c r="AB10" s="8">
        <f t="shared" si="4"/>
        <v>0.99952299829642244</v>
      </c>
      <c r="AC10" s="9">
        <f t="shared" si="5"/>
        <v>0.58333333333333337</v>
      </c>
      <c r="AD10" s="10">
        <f t="shared" si="6"/>
        <v>0.58305508233957981</v>
      </c>
      <c r="AE10" s="39">
        <f t="shared" si="7"/>
        <v>0.33878798800720555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0.33878798800720555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4550</v>
      </c>
      <c r="K12" s="15">
        <f>L12+2679+3513+4059+4770+4877+2848+4589+780+3258+4724+2075+2514+4549</f>
        <v>45235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0.33878798800720555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459</v>
      </c>
      <c r="D13" s="55" t="s">
        <v>460</v>
      </c>
      <c r="E13" s="57" t="s">
        <v>461</v>
      </c>
      <c r="F13" s="12" t="s">
        <v>462</v>
      </c>
      <c r="G13" s="12">
        <v>2</v>
      </c>
      <c r="H13" s="13">
        <v>35</v>
      </c>
      <c r="I13" s="7">
        <v>3000</v>
      </c>
      <c r="J13" s="14">
        <v>6080</v>
      </c>
      <c r="K13" s="15">
        <f>L13+6074</f>
        <v>6074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0.33878798800720555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0.33878798800720555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0.33878798800720555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25000</v>
      </c>
      <c r="J16" s="14">
        <v>2190</v>
      </c>
      <c r="K16" s="15">
        <f>L16</f>
        <v>2188</v>
      </c>
      <c r="L16" s="15">
        <f>2188</f>
        <v>2188</v>
      </c>
      <c r="M16" s="16">
        <f t="shared" si="0"/>
        <v>2188</v>
      </c>
      <c r="N16" s="16">
        <v>0</v>
      </c>
      <c r="O16" s="62">
        <f t="shared" si="1"/>
        <v>0</v>
      </c>
      <c r="P16" s="42">
        <f t="shared" si="2"/>
        <v>13</v>
      </c>
      <c r="Q16" s="43">
        <f t="shared" si="3"/>
        <v>11</v>
      </c>
      <c r="R16" s="7"/>
      <c r="S16" s="6">
        <v>11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0.99908675799086755</v>
      </c>
      <c r="AC16" s="9">
        <f t="shared" si="5"/>
        <v>0.54166666666666663</v>
      </c>
      <c r="AD16" s="10">
        <f t="shared" si="6"/>
        <v>0.54117199391171988</v>
      </c>
      <c r="AE16" s="39">
        <f t="shared" si="7"/>
        <v>0.33878798800720555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233</v>
      </c>
      <c r="D17" s="55" t="s">
        <v>279</v>
      </c>
      <c r="E17" s="56" t="s">
        <v>463</v>
      </c>
      <c r="F17" s="12">
        <v>8301</v>
      </c>
      <c r="G17" s="12">
        <v>1</v>
      </c>
      <c r="H17" s="13">
        <v>25</v>
      </c>
      <c r="I17" s="34">
        <v>1000</v>
      </c>
      <c r="J17" s="5">
        <v>1250</v>
      </c>
      <c r="K17" s="15">
        <f>L17+1250</f>
        <v>1250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0.33878798800720555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459</v>
      </c>
      <c r="D18" s="55" t="s">
        <v>464</v>
      </c>
      <c r="E18" s="57" t="s">
        <v>465</v>
      </c>
      <c r="F18" s="33" t="s">
        <v>466</v>
      </c>
      <c r="G18" s="12">
        <v>1</v>
      </c>
      <c r="H18" s="13">
        <v>25</v>
      </c>
      <c r="I18" s="34">
        <v>1000</v>
      </c>
      <c r="J18" s="5">
        <v>1950</v>
      </c>
      <c r="K18" s="15">
        <f>L18+1950</f>
        <v>1950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0.33878798800720555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4980</v>
      </c>
      <c r="K19" s="15">
        <f>L19+4633+5456+3865+4711+1671+3007+3013+4729+5107+4581+4090+5007</f>
        <v>54848</v>
      </c>
      <c r="L19" s="15">
        <f>2371+2607</f>
        <v>4978</v>
      </c>
      <c r="M19" s="16">
        <f t="shared" si="0"/>
        <v>4978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0.99959839357429714</v>
      </c>
      <c r="AC19" s="9">
        <f t="shared" si="5"/>
        <v>1</v>
      </c>
      <c r="AD19" s="10">
        <f t="shared" si="6"/>
        <v>0.99959839357429714</v>
      </c>
      <c r="AE19" s="39">
        <f t="shared" si="7"/>
        <v>0.33878798800720555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500000</v>
      </c>
      <c r="J20" s="14">
        <v>57720</v>
      </c>
      <c r="K20" s="15">
        <f>L20+50348+58524+59472</f>
        <v>226064</v>
      </c>
      <c r="L20" s="15">
        <f>7431*4+6999*4</f>
        <v>57720</v>
      </c>
      <c r="M20" s="16">
        <f t="shared" si="0"/>
        <v>57720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0.33878798800720555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763200</v>
      </c>
      <c r="J21" s="22">
        <f t="shared" si="9"/>
        <v>214640</v>
      </c>
      <c r="K21" s="23">
        <f t="shared" si="9"/>
        <v>705847</v>
      </c>
      <c r="L21" s="24">
        <f t="shared" si="9"/>
        <v>193078</v>
      </c>
      <c r="M21" s="23">
        <f t="shared" si="9"/>
        <v>193078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122</v>
      </c>
      <c r="Q21" s="46">
        <f t="shared" si="10"/>
        <v>232</v>
      </c>
      <c r="R21" s="26">
        <f t="shared" si="10"/>
        <v>24</v>
      </c>
      <c r="S21" s="27">
        <f t="shared" si="10"/>
        <v>60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148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0.39985794445404932</v>
      </c>
      <c r="AC21" s="4">
        <f>SUM(AC6:AC20)/15</f>
        <v>0.33888888888888891</v>
      </c>
      <c r="AD21" s="4">
        <f>SUM(AD6:AD20)/15</f>
        <v>0.33878798800720555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469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476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23" t="s">
        <v>47</v>
      </c>
      <c r="D50" s="223" t="s">
        <v>48</v>
      </c>
      <c r="E50" s="223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23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180</v>
      </c>
      <c r="B51" s="436"/>
      <c r="C51" s="219" t="s">
        <v>396</v>
      </c>
      <c r="D51" s="219" t="s">
        <v>216</v>
      </c>
      <c r="E51" s="222" t="s">
        <v>217</v>
      </c>
      <c r="F51" s="437" t="s">
        <v>470</v>
      </c>
      <c r="G51" s="437"/>
      <c r="H51" s="437"/>
      <c r="I51" s="437"/>
      <c r="J51" s="437"/>
      <c r="K51" s="437"/>
      <c r="L51" s="437"/>
      <c r="M51" s="438"/>
      <c r="N51" s="218" t="s">
        <v>477</v>
      </c>
      <c r="O51" s="74" t="s">
        <v>478</v>
      </c>
      <c r="P51" s="436" t="s">
        <v>479</v>
      </c>
      <c r="Q51" s="436"/>
      <c r="R51" s="436"/>
      <c r="S51" s="436"/>
      <c r="T51" s="436"/>
      <c r="U51" s="436"/>
      <c r="V51" s="437" t="s">
        <v>480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471</v>
      </c>
      <c r="B52" s="446"/>
      <c r="C52" s="222" t="s">
        <v>472</v>
      </c>
      <c r="D52" s="219" t="s">
        <v>473</v>
      </c>
      <c r="E52" s="222" t="s">
        <v>474</v>
      </c>
      <c r="F52" s="437" t="s">
        <v>475</v>
      </c>
      <c r="G52" s="437"/>
      <c r="H52" s="437"/>
      <c r="I52" s="437"/>
      <c r="J52" s="437"/>
      <c r="K52" s="437"/>
      <c r="L52" s="437"/>
      <c r="M52" s="438"/>
      <c r="N52" s="218" t="s">
        <v>481</v>
      </c>
      <c r="O52" s="74" t="s">
        <v>482</v>
      </c>
      <c r="P52" s="439" t="s">
        <v>483</v>
      </c>
      <c r="Q52" s="440"/>
      <c r="R52" s="436" t="s">
        <v>484</v>
      </c>
      <c r="S52" s="436"/>
      <c r="T52" s="436"/>
      <c r="U52" s="436"/>
      <c r="V52" s="437" t="s">
        <v>485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/>
      <c r="B53" s="446"/>
      <c r="C53" s="222"/>
      <c r="D53" s="219"/>
      <c r="E53" s="222"/>
      <c r="F53" s="437"/>
      <c r="G53" s="437"/>
      <c r="H53" s="437"/>
      <c r="I53" s="437"/>
      <c r="J53" s="437"/>
      <c r="K53" s="437"/>
      <c r="L53" s="437"/>
      <c r="M53" s="438"/>
      <c r="N53" s="218"/>
      <c r="O53" s="74"/>
      <c r="P53" s="439"/>
      <c r="Q53" s="440"/>
      <c r="R53" s="436"/>
      <c r="S53" s="436"/>
      <c r="T53" s="436"/>
      <c r="U53" s="436"/>
      <c r="V53" s="437"/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/>
      <c r="B54" s="446"/>
      <c r="C54" s="222"/>
      <c r="D54" s="219"/>
      <c r="E54" s="222"/>
      <c r="F54" s="437"/>
      <c r="G54" s="437"/>
      <c r="H54" s="437"/>
      <c r="I54" s="437"/>
      <c r="J54" s="437"/>
      <c r="K54" s="437"/>
      <c r="L54" s="437"/>
      <c r="M54" s="438"/>
      <c r="N54" s="218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219"/>
      <c r="D55" s="219"/>
      <c r="E55" s="222"/>
      <c r="F55" s="437"/>
      <c r="G55" s="437"/>
      <c r="H55" s="437"/>
      <c r="I55" s="437"/>
      <c r="J55" s="437"/>
      <c r="K55" s="437"/>
      <c r="L55" s="437"/>
      <c r="M55" s="438"/>
      <c r="N55" s="218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219"/>
      <c r="D56" s="219"/>
      <c r="E56" s="222"/>
      <c r="F56" s="437"/>
      <c r="G56" s="437"/>
      <c r="H56" s="437"/>
      <c r="I56" s="437"/>
      <c r="J56" s="437"/>
      <c r="K56" s="437"/>
      <c r="L56" s="437"/>
      <c r="M56" s="438"/>
      <c r="N56" s="218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22"/>
      <c r="D57" s="219"/>
      <c r="E57" s="222"/>
      <c r="F57" s="437"/>
      <c r="G57" s="437"/>
      <c r="H57" s="437"/>
      <c r="I57" s="437"/>
      <c r="J57" s="437"/>
      <c r="K57" s="437"/>
      <c r="L57" s="437"/>
      <c r="M57" s="438"/>
      <c r="N57" s="218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22"/>
      <c r="D58" s="219"/>
      <c r="E58" s="222"/>
      <c r="F58" s="437"/>
      <c r="G58" s="437"/>
      <c r="H58" s="437"/>
      <c r="I58" s="437"/>
      <c r="J58" s="437"/>
      <c r="K58" s="437"/>
      <c r="L58" s="437"/>
      <c r="M58" s="438"/>
      <c r="N58" s="218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19"/>
      <c r="D59" s="219"/>
      <c r="E59" s="219"/>
      <c r="F59" s="437"/>
      <c r="G59" s="437"/>
      <c r="H59" s="437"/>
      <c r="I59" s="437"/>
      <c r="J59" s="437"/>
      <c r="K59" s="437"/>
      <c r="L59" s="437"/>
      <c r="M59" s="438"/>
      <c r="N59" s="218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21"/>
      <c r="D60" s="221"/>
      <c r="E60" s="221"/>
      <c r="F60" s="443"/>
      <c r="G60" s="443"/>
      <c r="H60" s="443"/>
      <c r="I60" s="443"/>
      <c r="J60" s="443"/>
      <c r="K60" s="443"/>
      <c r="L60" s="443"/>
      <c r="M60" s="444"/>
      <c r="N60" s="220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486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17" t="s">
        <v>2</v>
      </c>
      <c r="D62" s="217" t="s">
        <v>38</v>
      </c>
      <c r="E62" s="217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17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467</v>
      </c>
      <c r="D63" s="213"/>
      <c r="E63" s="215" t="s">
        <v>487</v>
      </c>
      <c r="F63" s="456" t="s">
        <v>488</v>
      </c>
      <c r="G63" s="457"/>
      <c r="H63" s="457"/>
      <c r="I63" s="457"/>
      <c r="J63" s="457"/>
      <c r="K63" s="457">
        <v>8301</v>
      </c>
      <c r="L63" s="457"/>
      <c r="M63" s="54" t="s">
        <v>489</v>
      </c>
      <c r="N63" s="457">
        <v>12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118</v>
      </c>
      <c r="D64" s="213"/>
      <c r="E64" s="215" t="s">
        <v>490</v>
      </c>
      <c r="F64" s="456" t="s">
        <v>491</v>
      </c>
      <c r="G64" s="457"/>
      <c r="H64" s="457"/>
      <c r="I64" s="457"/>
      <c r="J64" s="457"/>
      <c r="K64" s="457" t="s">
        <v>492</v>
      </c>
      <c r="L64" s="457"/>
      <c r="M64" s="54" t="s">
        <v>468</v>
      </c>
      <c r="N64" s="457">
        <v>8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 t="s">
        <v>118</v>
      </c>
      <c r="D65" s="213"/>
      <c r="E65" s="215" t="s">
        <v>493</v>
      </c>
      <c r="F65" s="456" t="s">
        <v>494</v>
      </c>
      <c r="G65" s="457"/>
      <c r="H65" s="457"/>
      <c r="I65" s="457"/>
      <c r="J65" s="457"/>
      <c r="K65" s="457">
        <v>7301</v>
      </c>
      <c r="L65" s="457"/>
      <c r="M65" s="54" t="s">
        <v>495</v>
      </c>
      <c r="N65" s="457">
        <v>13</v>
      </c>
      <c r="O65" s="457"/>
      <c r="P65" s="458">
        <v>50</v>
      </c>
      <c r="Q65" s="458"/>
      <c r="R65" s="437" t="s">
        <v>496</v>
      </c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 t="s">
        <v>118</v>
      </c>
      <c r="D66" s="213"/>
      <c r="E66" s="215" t="s">
        <v>138</v>
      </c>
      <c r="F66" s="456" t="s">
        <v>497</v>
      </c>
      <c r="G66" s="457"/>
      <c r="H66" s="457"/>
      <c r="I66" s="457"/>
      <c r="J66" s="457"/>
      <c r="K66" s="457" t="s">
        <v>498</v>
      </c>
      <c r="L66" s="457"/>
      <c r="M66" s="54" t="s">
        <v>495</v>
      </c>
      <c r="N66" s="457">
        <v>7</v>
      </c>
      <c r="O66" s="457"/>
      <c r="P66" s="458">
        <v>50</v>
      </c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13"/>
      <c r="E67" s="215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13"/>
      <c r="E68" s="215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13"/>
      <c r="E69" s="215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13"/>
      <c r="E70" s="215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499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16" t="s">
        <v>2</v>
      </c>
      <c r="D72" s="216" t="s">
        <v>38</v>
      </c>
      <c r="E72" s="216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14" t="s">
        <v>118</v>
      </c>
      <c r="D73" s="214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13" t="s">
        <v>118</v>
      </c>
      <c r="D74" s="213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13" t="s">
        <v>163</v>
      </c>
      <c r="D75" s="213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13" t="s">
        <v>141</v>
      </c>
      <c r="D76" s="213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13"/>
      <c r="D77" s="213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13"/>
      <c r="D78" s="213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13"/>
      <c r="D79" s="213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13"/>
      <c r="D80" s="213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13"/>
      <c r="D81" s="213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500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6" sqref="F56:M5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502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25" t="s">
        <v>17</v>
      </c>
      <c r="L5" s="225" t="s">
        <v>18</v>
      </c>
      <c r="M5" s="225" t="s">
        <v>19</v>
      </c>
      <c r="N5" s="2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0.38004869210761527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2520</v>
      </c>
      <c r="K7" s="15">
        <f>L7+4430+5994+5898</f>
        <v>18841</v>
      </c>
      <c r="L7" s="15">
        <v>2519</v>
      </c>
      <c r="M7" s="16">
        <f t="shared" si="0"/>
        <v>2519</v>
      </c>
      <c r="N7" s="16">
        <v>0</v>
      </c>
      <c r="O7" s="62">
        <f t="shared" si="1"/>
        <v>0</v>
      </c>
      <c r="P7" s="42">
        <f t="shared" si="2"/>
        <v>12</v>
      </c>
      <c r="Q7" s="43">
        <f t="shared" si="3"/>
        <v>12</v>
      </c>
      <c r="R7" s="7"/>
      <c r="S7" s="6"/>
      <c r="T7" s="17"/>
      <c r="U7" s="17"/>
      <c r="V7" s="18"/>
      <c r="W7" s="19">
        <v>12</v>
      </c>
      <c r="X7" s="17"/>
      <c r="Y7" s="20"/>
      <c r="Z7" s="20"/>
      <c r="AA7" s="21"/>
      <c r="AB7" s="8">
        <f t="shared" si="4"/>
        <v>0.9996031746031746</v>
      </c>
      <c r="AC7" s="9">
        <f t="shared" si="5"/>
        <v>0.5</v>
      </c>
      <c r="AD7" s="10">
        <f t="shared" si="6"/>
        <v>0.4998015873015873</v>
      </c>
      <c r="AE7" s="39">
        <f t="shared" si="7"/>
        <v>0.38004869210761527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6440</v>
      </c>
      <c r="K8" s="15">
        <f>L8+562+3624+3000+2279+2723+3016+4670+4950</f>
        <v>31261</v>
      </c>
      <c r="L8" s="15">
        <f>3605+2832</f>
        <v>6437</v>
      </c>
      <c r="M8" s="16">
        <f t="shared" si="0"/>
        <v>6437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0.99953416149068319</v>
      </c>
      <c r="AC8" s="9">
        <f t="shared" si="5"/>
        <v>1</v>
      </c>
      <c r="AD8" s="10">
        <f t="shared" si="6"/>
        <v>0.99953416149068319</v>
      </c>
      <c r="AE8" s="39">
        <f t="shared" si="7"/>
        <v>0.38004869210761527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503</v>
      </c>
      <c r="D9" s="55" t="s">
        <v>504</v>
      </c>
      <c r="E9" s="57" t="s">
        <v>505</v>
      </c>
      <c r="F9" s="12">
        <v>7301</v>
      </c>
      <c r="G9" s="12">
        <v>1</v>
      </c>
      <c r="H9" s="13">
        <v>25</v>
      </c>
      <c r="I9" s="34">
        <v>30000</v>
      </c>
      <c r="J9" s="5">
        <v>1430</v>
      </c>
      <c r="K9" s="15">
        <f>L9</f>
        <v>1423</v>
      </c>
      <c r="L9" s="15">
        <v>1423</v>
      </c>
      <c r="M9" s="16">
        <f t="shared" si="0"/>
        <v>1423</v>
      </c>
      <c r="N9" s="16">
        <v>0</v>
      </c>
      <c r="O9" s="62">
        <f t="shared" si="1"/>
        <v>0</v>
      </c>
      <c r="P9" s="42">
        <f t="shared" si="2"/>
        <v>9</v>
      </c>
      <c r="Q9" s="43">
        <f t="shared" si="3"/>
        <v>15</v>
      </c>
      <c r="R9" s="7">
        <v>10</v>
      </c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0.99510489510489508</v>
      </c>
      <c r="AC9" s="9">
        <f t="shared" si="5"/>
        <v>0.375</v>
      </c>
      <c r="AD9" s="10">
        <f t="shared" si="6"/>
        <v>0.37316433566433566</v>
      </c>
      <c r="AE9" s="39">
        <f t="shared" si="7"/>
        <v>0.38004869210761527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506</v>
      </c>
      <c r="D10" s="55" t="s">
        <v>507</v>
      </c>
      <c r="E10" s="57" t="s">
        <v>508</v>
      </c>
      <c r="F10" s="12" t="s">
        <v>509</v>
      </c>
      <c r="G10" s="12">
        <v>1</v>
      </c>
      <c r="H10" s="13">
        <v>25</v>
      </c>
      <c r="I10" s="34">
        <v>30000</v>
      </c>
      <c r="J10" s="14">
        <v>4300</v>
      </c>
      <c r="K10" s="15">
        <f>L10</f>
        <v>4291</v>
      </c>
      <c r="L10" s="15">
        <f>2795+1496</f>
        <v>4291</v>
      </c>
      <c r="M10" s="16">
        <f t="shared" si="0"/>
        <v>4291</v>
      </c>
      <c r="N10" s="16">
        <v>0</v>
      </c>
      <c r="O10" s="62">
        <f t="shared" si="1"/>
        <v>0</v>
      </c>
      <c r="P10" s="42">
        <f t="shared" si="2"/>
        <v>23</v>
      </c>
      <c r="Q10" s="43">
        <f t="shared" si="3"/>
        <v>1</v>
      </c>
      <c r="R10" s="7"/>
      <c r="S10" s="6"/>
      <c r="T10" s="17">
        <v>1</v>
      </c>
      <c r="U10" s="17"/>
      <c r="V10" s="18"/>
      <c r="W10" s="19"/>
      <c r="X10" s="17"/>
      <c r="Y10" s="20"/>
      <c r="Z10" s="20"/>
      <c r="AA10" s="21"/>
      <c r="AB10" s="8">
        <f t="shared" si="4"/>
        <v>0.99790697674418605</v>
      </c>
      <c r="AC10" s="9">
        <f t="shared" si="5"/>
        <v>0.95833333333333337</v>
      </c>
      <c r="AD10" s="10">
        <f t="shared" si="6"/>
        <v>0.95632751937984495</v>
      </c>
      <c r="AE10" s="39">
        <f t="shared" si="7"/>
        <v>0.38004869210761527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0.38004869210761527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f>16000+15000</f>
        <v>31000</v>
      </c>
      <c r="J12" s="14">
        <v>4550</v>
      </c>
      <c r="K12" s="15">
        <f>L12+2679+3513+4059+4770+4877+2848+4589+780+3258+4724+2075+2514+4549</f>
        <v>45235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0.38004869210761527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459</v>
      </c>
      <c r="D13" s="55" t="s">
        <v>460</v>
      </c>
      <c r="E13" s="57" t="s">
        <v>461</v>
      </c>
      <c r="F13" s="12" t="s">
        <v>462</v>
      </c>
      <c r="G13" s="12">
        <v>2</v>
      </c>
      <c r="H13" s="13">
        <v>35</v>
      </c>
      <c r="I13" s="7">
        <v>3000</v>
      </c>
      <c r="J13" s="14">
        <v>6080</v>
      </c>
      <c r="K13" s="15">
        <f>L13+6074</f>
        <v>6074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0.38004869210761527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0.38004869210761527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0.38004869210761527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141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6000</v>
      </c>
      <c r="K16" s="15">
        <f>L16+2188</f>
        <v>8179</v>
      </c>
      <c r="L16" s="15">
        <f>3232+2759</f>
        <v>5991</v>
      </c>
      <c r="M16" s="16">
        <f t="shared" si="0"/>
        <v>5991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0.99850000000000005</v>
      </c>
      <c r="AC16" s="9">
        <f t="shared" si="5"/>
        <v>1</v>
      </c>
      <c r="AD16" s="10">
        <f t="shared" si="6"/>
        <v>0.99850000000000005</v>
      </c>
      <c r="AE16" s="39">
        <f t="shared" si="7"/>
        <v>0.38004869210761527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233</v>
      </c>
      <c r="D17" s="55" t="s">
        <v>279</v>
      </c>
      <c r="E17" s="56" t="s">
        <v>463</v>
      </c>
      <c r="F17" s="12">
        <v>8301</v>
      </c>
      <c r="G17" s="12">
        <v>1</v>
      </c>
      <c r="H17" s="13">
        <v>25</v>
      </c>
      <c r="I17" s="34">
        <v>1000</v>
      </c>
      <c r="J17" s="5">
        <v>1250</v>
      </c>
      <c r="K17" s="15">
        <f>L17+1250</f>
        <v>1250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0.38004869210761527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459</v>
      </c>
      <c r="D18" s="55" t="s">
        <v>464</v>
      </c>
      <c r="E18" s="57" t="s">
        <v>465</v>
      </c>
      <c r="F18" s="33" t="s">
        <v>466</v>
      </c>
      <c r="G18" s="12">
        <v>1</v>
      </c>
      <c r="H18" s="13">
        <v>25</v>
      </c>
      <c r="I18" s="34">
        <v>1000</v>
      </c>
      <c r="J18" s="5">
        <v>1950</v>
      </c>
      <c r="K18" s="15">
        <f>L18+1950</f>
        <v>1950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0.38004869210761527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31000</v>
      </c>
      <c r="J19" s="5">
        <v>4800</v>
      </c>
      <c r="K19" s="15">
        <f>L19+4633+5456+3865+4711+1671+3007+3013+4729+5107+4581+4090+5007+4978</f>
        <v>59640</v>
      </c>
      <c r="L19" s="15">
        <f>2673+2119</f>
        <v>4792</v>
      </c>
      <c r="M19" s="16">
        <f t="shared" si="0"/>
        <v>4792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>
        <v>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0.99833333333333329</v>
      </c>
      <c r="AC19" s="9">
        <f t="shared" si="5"/>
        <v>0.95833333333333337</v>
      </c>
      <c r="AD19" s="10">
        <f t="shared" si="6"/>
        <v>0.95673611111111112</v>
      </c>
      <c r="AE19" s="39">
        <f t="shared" si="7"/>
        <v>0.38004869210761527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500000</v>
      </c>
      <c r="J20" s="14">
        <v>45720</v>
      </c>
      <c r="K20" s="15">
        <f>L20+50348+58524+59472+57720</f>
        <v>271784</v>
      </c>
      <c r="L20" s="15">
        <f>6430*4+5000*4</f>
        <v>45720</v>
      </c>
      <c r="M20" s="16">
        <f t="shared" si="0"/>
        <v>45720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>
        <v>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9">
        <f t="shared" si="7"/>
        <v>0.38004869210761527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725200</v>
      </c>
      <c r="J21" s="22">
        <f t="shared" si="9"/>
        <v>89360</v>
      </c>
      <c r="K21" s="23">
        <f t="shared" si="9"/>
        <v>457504</v>
      </c>
      <c r="L21" s="24">
        <f t="shared" si="9"/>
        <v>71173</v>
      </c>
      <c r="M21" s="23">
        <f t="shared" si="9"/>
        <v>71173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137</v>
      </c>
      <c r="Q21" s="46">
        <f t="shared" si="10"/>
        <v>223</v>
      </c>
      <c r="R21" s="26">
        <f t="shared" si="10"/>
        <v>34</v>
      </c>
      <c r="S21" s="27">
        <f t="shared" si="10"/>
        <v>56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132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0.46593216941841814</v>
      </c>
      <c r="AC21" s="4">
        <f>SUM(AC6:AC20)/15</f>
        <v>0.38055555555555559</v>
      </c>
      <c r="AD21" s="4">
        <f>SUM(AD6:AD20)/15</f>
        <v>0.38004869210761527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510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526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26" t="s">
        <v>47</v>
      </c>
      <c r="D50" s="226" t="s">
        <v>48</v>
      </c>
      <c r="E50" s="226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26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511</v>
      </c>
      <c r="B51" s="436"/>
      <c r="C51" s="228" t="s">
        <v>142</v>
      </c>
      <c r="D51" s="228" t="s">
        <v>504</v>
      </c>
      <c r="E51" s="231" t="s">
        <v>505</v>
      </c>
      <c r="F51" s="437" t="s">
        <v>512</v>
      </c>
      <c r="G51" s="437"/>
      <c r="H51" s="437"/>
      <c r="I51" s="437"/>
      <c r="J51" s="437"/>
      <c r="K51" s="437"/>
      <c r="L51" s="437"/>
      <c r="M51" s="438"/>
      <c r="N51" s="227" t="s">
        <v>477</v>
      </c>
      <c r="O51" s="74" t="s">
        <v>478</v>
      </c>
      <c r="P51" s="436" t="s">
        <v>527</v>
      </c>
      <c r="Q51" s="436"/>
      <c r="R51" s="436"/>
      <c r="S51" s="436"/>
      <c r="T51" s="436"/>
      <c r="U51" s="436"/>
      <c r="V51" s="437" t="s">
        <v>516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513</v>
      </c>
      <c r="B52" s="446"/>
      <c r="C52" s="231" t="s">
        <v>514</v>
      </c>
      <c r="D52" s="228" t="s">
        <v>515</v>
      </c>
      <c r="E52" s="231" t="s">
        <v>508</v>
      </c>
      <c r="F52" s="437" t="s">
        <v>516</v>
      </c>
      <c r="G52" s="437"/>
      <c r="H52" s="437"/>
      <c r="I52" s="437"/>
      <c r="J52" s="437"/>
      <c r="K52" s="437"/>
      <c r="L52" s="437"/>
      <c r="M52" s="438"/>
      <c r="N52" s="227" t="s">
        <v>517</v>
      </c>
      <c r="O52" s="74" t="s">
        <v>528</v>
      </c>
      <c r="P52" s="439" t="s">
        <v>529</v>
      </c>
      <c r="Q52" s="440"/>
      <c r="R52" s="436" t="s">
        <v>530</v>
      </c>
      <c r="S52" s="436"/>
      <c r="T52" s="436"/>
      <c r="U52" s="436"/>
      <c r="V52" s="437" t="s">
        <v>531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517</v>
      </c>
      <c r="B53" s="446"/>
      <c r="C53" s="231" t="s">
        <v>518</v>
      </c>
      <c r="D53" s="228" t="s">
        <v>519</v>
      </c>
      <c r="E53" s="231" t="s">
        <v>520</v>
      </c>
      <c r="F53" s="437" t="s">
        <v>521</v>
      </c>
      <c r="G53" s="437"/>
      <c r="H53" s="437"/>
      <c r="I53" s="437"/>
      <c r="J53" s="437"/>
      <c r="K53" s="437"/>
      <c r="L53" s="437"/>
      <c r="M53" s="438"/>
      <c r="N53" s="227" t="s">
        <v>532</v>
      </c>
      <c r="O53" s="74" t="s">
        <v>533</v>
      </c>
      <c r="P53" s="439" t="s">
        <v>534</v>
      </c>
      <c r="Q53" s="440"/>
      <c r="R53" s="436" t="s">
        <v>535</v>
      </c>
      <c r="S53" s="436"/>
      <c r="T53" s="436"/>
      <c r="U53" s="436"/>
      <c r="V53" s="437" t="s">
        <v>536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522</v>
      </c>
      <c r="B54" s="446"/>
      <c r="C54" s="231" t="s">
        <v>523</v>
      </c>
      <c r="D54" s="228"/>
      <c r="E54" s="231" t="s">
        <v>524</v>
      </c>
      <c r="F54" s="437" t="s">
        <v>525</v>
      </c>
      <c r="G54" s="437"/>
      <c r="H54" s="437"/>
      <c r="I54" s="437"/>
      <c r="J54" s="437"/>
      <c r="K54" s="437"/>
      <c r="L54" s="437"/>
      <c r="M54" s="438"/>
      <c r="N54" s="227" t="s">
        <v>503</v>
      </c>
      <c r="O54" s="74" t="s">
        <v>537</v>
      </c>
      <c r="P54" s="439" t="s">
        <v>538</v>
      </c>
      <c r="Q54" s="440"/>
      <c r="R54" s="436" t="s">
        <v>539</v>
      </c>
      <c r="S54" s="436"/>
      <c r="T54" s="436"/>
      <c r="U54" s="436"/>
      <c r="V54" s="437" t="s">
        <v>536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228"/>
      <c r="D55" s="228"/>
      <c r="E55" s="231"/>
      <c r="F55" s="437"/>
      <c r="G55" s="437"/>
      <c r="H55" s="437"/>
      <c r="I55" s="437"/>
      <c r="J55" s="437"/>
      <c r="K55" s="437"/>
      <c r="L55" s="437"/>
      <c r="M55" s="438"/>
      <c r="N55" s="227" t="s">
        <v>503</v>
      </c>
      <c r="O55" s="74" t="s">
        <v>540</v>
      </c>
      <c r="P55" s="439" t="s">
        <v>504</v>
      </c>
      <c r="Q55" s="440"/>
      <c r="R55" s="436" t="s">
        <v>505</v>
      </c>
      <c r="S55" s="436"/>
      <c r="T55" s="436"/>
      <c r="U55" s="436"/>
      <c r="V55" s="437" t="s">
        <v>541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228"/>
      <c r="D56" s="228"/>
      <c r="E56" s="231"/>
      <c r="F56" s="437"/>
      <c r="G56" s="437"/>
      <c r="H56" s="437"/>
      <c r="I56" s="437"/>
      <c r="J56" s="437"/>
      <c r="K56" s="437"/>
      <c r="L56" s="437"/>
      <c r="M56" s="438"/>
      <c r="N56" s="227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31"/>
      <c r="D57" s="228"/>
      <c r="E57" s="231"/>
      <c r="F57" s="437"/>
      <c r="G57" s="437"/>
      <c r="H57" s="437"/>
      <c r="I57" s="437"/>
      <c r="J57" s="437"/>
      <c r="K57" s="437"/>
      <c r="L57" s="437"/>
      <c r="M57" s="438"/>
      <c r="N57" s="227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31"/>
      <c r="D58" s="228"/>
      <c r="E58" s="231"/>
      <c r="F58" s="437"/>
      <c r="G58" s="437"/>
      <c r="H58" s="437"/>
      <c r="I58" s="437"/>
      <c r="J58" s="437"/>
      <c r="K58" s="437"/>
      <c r="L58" s="437"/>
      <c r="M58" s="438"/>
      <c r="N58" s="227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28"/>
      <c r="D59" s="228"/>
      <c r="E59" s="228"/>
      <c r="F59" s="437"/>
      <c r="G59" s="437"/>
      <c r="H59" s="437"/>
      <c r="I59" s="437"/>
      <c r="J59" s="437"/>
      <c r="K59" s="437"/>
      <c r="L59" s="437"/>
      <c r="M59" s="438"/>
      <c r="N59" s="227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30"/>
      <c r="D60" s="230"/>
      <c r="E60" s="230"/>
      <c r="F60" s="443"/>
      <c r="G60" s="443"/>
      <c r="H60" s="443"/>
      <c r="I60" s="443"/>
      <c r="J60" s="443"/>
      <c r="K60" s="443"/>
      <c r="L60" s="443"/>
      <c r="M60" s="444"/>
      <c r="N60" s="229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542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32" t="s">
        <v>2</v>
      </c>
      <c r="D62" s="232" t="s">
        <v>38</v>
      </c>
      <c r="E62" s="232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32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467</v>
      </c>
      <c r="D63" s="235"/>
      <c r="E63" s="233" t="s">
        <v>543</v>
      </c>
      <c r="F63" s="456" t="s">
        <v>544</v>
      </c>
      <c r="G63" s="457"/>
      <c r="H63" s="457"/>
      <c r="I63" s="457"/>
      <c r="J63" s="457"/>
      <c r="K63" s="457" t="s">
        <v>545</v>
      </c>
      <c r="L63" s="457"/>
      <c r="M63" s="54" t="s">
        <v>489</v>
      </c>
      <c r="N63" s="457">
        <v>13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118</v>
      </c>
      <c r="D64" s="235"/>
      <c r="E64" s="233" t="s">
        <v>546</v>
      </c>
      <c r="F64" s="456" t="s">
        <v>547</v>
      </c>
      <c r="G64" s="457"/>
      <c r="H64" s="457"/>
      <c r="I64" s="457"/>
      <c r="J64" s="457"/>
      <c r="K64" s="457" t="s">
        <v>548</v>
      </c>
      <c r="L64" s="457"/>
      <c r="M64" s="54" t="s">
        <v>468</v>
      </c>
      <c r="N64" s="457">
        <v>6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 t="s">
        <v>118</v>
      </c>
      <c r="D65" s="235"/>
      <c r="E65" s="233" t="s">
        <v>519</v>
      </c>
      <c r="F65" s="456" t="s">
        <v>549</v>
      </c>
      <c r="G65" s="457"/>
      <c r="H65" s="457"/>
      <c r="I65" s="457"/>
      <c r="J65" s="457"/>
      <c r="K65" s="457">
        <v>7301</v>
      </c>
      <c r="L65" s="457"/>
      <c r="M65" s="54" t="s">
        <v>550</v>
      </c>
      <c r="N65" s="457">
        <v>9</v>
      </c>
      <c r="O65" s="457"/>
      <c r="P65" s="458">
        <v>20</v>
      </c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 t="s">
        <v>119</v>
      </c>
      <c r="D66" s="235"/>
      <c r="E66" s="233" t="s">
        <v>551</v>
      </c>
      <c r="F66" s="456" t="s">
        <v>552</v>
      </c>
      <c r="G66" s="457"/>
      <c r="H66" s="457"/>
      <c r="I66" s="457"/>
      <c r="J66" s="457"/>
      <c r="K66" s="457" t="s">
        <v>498</v>
      </c>
      <c r="L66" s="457"/>
      <c r="M66" s="54" t="s">
        <v>495</v>
      </c>
      <c r="N66" s="457">
        <v>7</v>
      </c>
      <c r="O66" s="457"/>
      <c r="P66" s="458"/>
      <c r="Q66" s="458"/>
      <c r="R66" s="437" t="s">
        <v>553</v>
      </c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35"/>
      <c r="E67" s="233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35"/>
      <c r="E68" s="233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35"/>
      <c r="E69" s="233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35"/>
      <c r="E70" s="233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554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34" t="s">
        <v>2</v>
      </c>
      <c r="D72" s="234" t="s">
        <v>38</v>
      </c>
      <c r="E72" s="234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36" t="s">
        <v>118</v>
      </c>
      <c r="D73" s="236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35" t="s">
        <v>118</v>
      </c>
      <c r="D74" s="235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35" t="s">
        <v>163</v>
      </c>
      <c r="D75" s="235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35" t="s">
        <v>141</v>
      </c>
      <c r="D76" s="235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35"/>
      <c r="D77" s="235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35"/>
      <c r="D78" s="235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35"/>
      <c r="D79" s="235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35"/>
      <c r="D80" s="235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35"/>
      <c r="D81" s="235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555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556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48" t="s">
        <v>17</v>
      </c>
      <c r="L5" s="248" t="s">
        <v>18</v>
      </c>
      <c r="M5" s="248" t="s">
        <v>19</v>
      </c>
      <c r="N5" s="2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0.49330063490981985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2520</v>
      </c>
      <c r="K7" s="15">
        <f>L7+4430+5994+5898+2519</f>
        <v>18841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0.49330063490981985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5260</v>
      </c>
      <c r="K8" s="15">
        <f>L8+562+3624+3000+2279+2723+3016+4670+4950+6437</f>
        <v>36516</v>
      </c>
      <c r="L8" s="15">
        <f>3074+2181</f>
        <v>5255</v>
      </c>
      <c r="M8" s="16">
        <f t="shared" si="0"/>
        <v>5255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0.99904942965779464</v>
      </c>
      <c r="AC8" s="9">
        <f t="shared" si="5"/>
        <v>1</v>
      </c>
      <c r="AD8" s="10">
        <f t="shared" si="6"/>
        <v>0.99904942965779464</v>
      </c>
      <c r="AE8" s="39">
        <f t="shared" si="7"/>
        <v>0.49330063490981985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503</v>
      </c>
      <c r="D9" s="55" t="s">
        <v>504</v>
      </c>
      <c r="E9" s="57" t="s">
        <v>505</v>
      </c>
      <c r="F9" s="12">
        <v>7301</v>
      </c>
      <c r="G9" s="12">
        <v>1</v>
      </c>
      <c r="H9" s="13">
        <v>25</v>
      </c>
      <c r="I9" s="34">
        <v>30000</v>
      </c>
      <c r="J9" s="5">
        <v>2760</v>
      </c>
      <c r="K9" s="15">
        <f>L9+1423</f>
        <v>4182</v>
      </c>
      <c r="L9" s="15">
        <f>2759</f>
        <v>2759</v>
      </c>
      <c r="M9" s="16">
        <f t="shared" si="0"/>
        <v>2759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>
        <v>5</v>
      </c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0.99963768115942031</v>
      </c>
      <c r="AC9" s="9">
        <f t="shared" si="5"/>
        <v>0.79166666666666663</v>
      </c>
      <c r="AD9" s="10">
        <f t="shared" si="6"/>
        <v>0.79137983091787434</v>
      </c>
      <c r="AE9" s="39">
        <f t="shared" si="7"/>
        <v>0.49330063490981985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506</v>
      </c>
      <c r="D10" s="55" t="s">
        <v>507</v>
      </c>
      <c r="E10" s="57" t="s">
        <v>508</v>
      </c>
      <c r="F10" s="12" t="s">
        <v>509</v>
      </c>
      <c r="G10" s="12">
        <v>1</v>
      </c>
      <c r="H10" s="13">
        <v>25</v>
      </c>
      <c r="I10" s="34">
        <v>30000</v>
      </c>
      <c r="J10" s="14">
        <v>3710</v>
      </c>
      <c r="K10" s="15">
        <f>L10+4291</f>
        <v>8001</v>
      </c>
      <c r="L10" s="15">
        <f>2210+1500</f>
        <v>3710</v>
      </c>
      <c r="M10" s="16">
        <f t="shared" si="0"/>
        <v>3710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9">
        <f t="shared" si="7"/>
        <v>0.49330063490981985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0.49330063490981985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v>30000</v>
      </c>
      <c r="J12" s="14">
        <v>3690</v>
      </c>
      <c r="K12" s="15">
        <f>L12</f>
        <v>3682</v>
      </c>
      <c r="L12" s="15">
        <f>2563+1119</f>
        <v>3682</v>
      </c>
      <c r="M12" s="16">
        <f t="shared" si="0"/>
        <v>3682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0.99783197831978321</v>
      </c>
      <c r="AC12" s="9">
        <f t="shared" si="5"/>
        <v>0.83333333333333337</v>
      </c>
      <c r="AD12" s="10">
        <f t="shared" si="6"/>
        <v>0.8315266485998194</v>
      </c>
      <c r="AE12" s="39">
        <f t="shared" si="7"/>
        <v>0.49330063490981985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459</v>
      </c>
      <c r="D13" s="55" t="s">
        <v>460</v>
      </c>
      <c r="E13" s="57" t="s">
        <v>461</v>
      </c>
      <c r="F13" s="12" t="s">
        <v>462</v>
      </c>
      <c r="G13" s="12">
        <v>2</v>
      </c>
      <c r="H13" s="13">
        <v>35</v>
      </c>
      <c r="I13" s="7">
        <v>3000</v>
      </c>
      <c r="J13" s="14">
        <v>6080</v>
      </c>
      <c r="K13" s="15">
        <f>L13+6074</f>
        <v>6074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0.49330063490981985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0.49330063490981985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0.49330063490981985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4320</v>
      </c>
      <c r="K16" s="15">
        <f>L16+2188+5991</f>
        <v>12491</v>
      </c>
      <c r="L16" s="15">
        <f>2360+1952</f>
        <v>4312</v>
      </c>
      <c r="M16" s="16">
        <f t="shared" si="0"/>
        <v>4312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0.99814814814814812</v>
      </c>
      <c r="AC16" s="9">
        <f t="shared" si="5"/>
        <v>1</v>
      </c>
      <c r="AD16" s="10">
        <f t="shared" si="6"/>
        <v>0.99814814814814812</v>
      </c>
      <c r="AE16" s="39">
        <f t="shared" si="7"/>
        <v>0.49330063490981985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233</v>
      </c>
      <c r="D17" s="55" t="s">
        <v>279</v>
      </c>
      <c r="E17" s="56" t="s">
        <v>463</v>
      </c>
      <c r="F17" s="12">
        <v>8301</v>
      </c>
      <c r="G17" s="12">
        <v>1</v>
      </c>
      <c r="H17" s="13">
        <v>25</v>
      </c>
      <c r="I17" s="34">
        <v>2000</v>
      </c>
      <c r="J17" s="5">
        <v>1920</v>
      </c>
      <c r="K17" s="15">
        <f>L17</f>
        <v>1911</v>
      </c>
      <c r="L17" s="15">
        <f>1460+451</f>
        <v>1911</v>
      </c>
      <c r="M17" s="16">
        <f t="shared" si="0"/>
        <v>1911</v>
      </c>
      <c r="N17" s="16">
        <v>0</v>
      </c>
      <c r="O17" s="62">
        <f t="shared" si="1"/>
        <v>0</v>
      </c>
      <c r="P17" s="42">
        <f t="shared" si="2"/>
        <v>10</v>
      </c>
      <c r="Q17" s="43">
        <f t="shared" si="3"/>
        <v>14</v>
      </c>
      <c r="R17" s="7"/>
      <c r="S17" s="6"/>
      <c r="T17" s="17"/>
      <c r="U17" s="17"/>
      <c r="V17" s="18"/>
      <c r="W17" s="19">
        <v>14</v>
      </c>
      <c r="X17" s="17"/>
      <c r="Y17" s="20"/>
      <c r="Z17" s="20"/>
      <c r="AA17" s="21"/>
      <c r="AB17" s="8">
        <f t="shared" si="4"/>
        <v>0.99531250000000004</v>
      </c>
      <c r="AC17" s="9">
        <f t="shared" si="5"/>
        <v>0.41666666666666669</v>
      </c>
      <c r="AD17" s="10">
        <f t="shared" si="6"/>
        <v>0.41471354166666669</v>
      </c>
      <c r="AE17" s="39">
        <f t="shared" si="7"/>
        <v>0.49330063490981985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557</v>
      </c>
      <c r="D18" s="55" t="s">
        <v>558</v>
      </c>
      <c r="E18" s="57" t="s">
        <v>559</v>
      </c>
      <c r="F18" s="33" t="s">
        <v>560</v>
      </c>
      <c r="G18" s="12">
        <v>1</v>
      </c>
      <c r="H18" s="13">
        <v>25</v>
      </c>
      <c r="I18" s="34">
        <v>30000</v>
      </c>
      <c r="J18" s="5">
        <v>3000</v>
      </c>
      <c r="K18" s="15">
        <f>L18</f>
        <v>2956</v>
      </c>
      <c r="L18" s="15">
        <f>2956</f>
        <v>2956</v>
      </c>
      <c r="M18" s="16">
        <f t="shared" si="0"/>
        <v>2956</v>
      </c>
      <c r="N18" s="16">
        <v>0</v>
      </c>
      <c r="O18" s="62">
        <f t="shared" si="1"/>
        <v>0</v>
      </c>
      <c r="P18" s="42">
        <f t="shared" si="2"/>
        <v>15</v>
      </c>
      <c r="Q18" s="43">
        <f t="shared" si="3"/>
        <v>9</v>
      </c>
      <c r="R18" s="7"/>
      <c r="S18" s="6">
        <v>9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0.98533333333333328</v>
      </c>
      <c r="AC18" s="9">
        <f t="shared" si="5"/>
        <v>0.625</v>
      </c>
      <c r="AD18" s="10">
        <f t="shared" si="6"/>
        <v>0.61583333333333334</v>
      </c>
      <c r="AE18" s="39">
        <f t="shared" si="7"/>
        <v>0.49330063490981985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30000</v>
      </c>
      <c r="J19" s="5">
        <v>4550</v>
      </c>
      <c r="K19" s="15">
        <f>L19</f>
        <v>4545</v>
      </c>
      <c r="L19" s="15">
        <f>2600+1945</f>
        <v>4545</v>
      </c>
      <c r="M19" s="16">
        <f t="shared" si="0"/>
        <v>4545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0.99890109890109891</v>
      </c>
      <c r="AC19" s="9">
        <f t="shared" si="5"/>
        <v>1</v>
      </c>
      <c r="AD19" s="10">
        <f t="shared" si="6"/>
        <v>0.99890109890109891</v>
      </c>
      <c r="AE19" s="39">
        <f t="shared" si="7"/>
        <v>0.49330063490981985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200000</v>
      </c>
      <c r="J20" s="14">
        <v>45090</v>
      </c>
      <c r="K20" s="15">
        <f>L20</f>
        <v>45088</v>
      </c>
      <c r="L20" s="15">
        <f>7958*4+3314*4</f>
        <v>45088</v>
      </c>
      <c r="M20" s="16">
        <f t="shared" si="0"/>
        <v>45088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>
        <v>1</v>
      </c>
      <c r="U20" s="17"/>
      <c r="V20" s="18"/>
      <c r="W20" s="19"/>
      <c r="X20" s="17"/>
      <c r="Y20" s="20"/>
      <c r="Z20" s="20"/>
      <c r="AA20" s="21"/>
      <c r="AB20" s="8">
        <f t="shared" si="4"/>
        <v>0.99995564426702155</v>
      </c>
      <c r="AC20" s="9">
        <f t="shared" si="5"/>
        <v>0.95833333333333337</v>
      </c>
      <c r="AD20" s="10">
        <f t="shared" si="6"/>
        <v>0.95829082575589564</v>
      </c>
      <c r="AE20" s="39">
        <f t="shared" si="7"/>
        <v>0.49330063490981985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453200</v>
      </c>
      <c r="J21" s="22">
        <f t="shared" si="9"/>
        <v>87220</v>
      </c>
      <c r="K21" s="23">
        <f t="shared" si="9"/>
        <v>151863</v>
      </c>
      <c r="L21" s="24">
        <f t="shared" si="9"/>
        <v>74218</v>
      </c>
      <c r="M21" s="23">
        <f t="shared" si="9"/>
        <v>74218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178</v>
      </c>
      <c r="Q21" s="46">
        <f t="shared" si="10"/>
        <v>182</v>
      </c>
      <c r="R21" s="26">
        <f t="shared" si="10"/>
        <v>29</v>
      </c>
      <c r="S21" s="27">
        <f t="shared" si="10"/>
        <v>66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86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0.59827798758577322</v>
      </c>
      <c r="AC21" s="4">
        <f>SUM(AC6:AC20)/15</f>
        <v>0.49444444444444441</v>
      </c>
      <c r="AD21" s="4">
        <f>SUM(AD6:AD20)/15</f>
        <v>0.49330063490981985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561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574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47" t="s">
        <v>47</v>
      </c>
      <c r="D50" s="247" t="s">
        <v>48</v>
      </c>
      <c r="E50" s="247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47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511</v>
      </c>
      <c r="B51" s="436"/>
      <c r="C51" s="243" t="s">
        <v>142</v>
      </c>
      <c r="D51" s="243" t="s">
        <v>504</v>
      </c>
      <c r="E51" s="246" t="s">
        <v>505</v>
      </c>
      <c r="F51" s="437" t="s">
        <v>562</v>
      </c>
      <c r="G51" s="437"/>
      <c r="H51" s="437"/>
      <c r="I51" s="437"/>
      <c r="J51" s="437"/>
      <c r="K51" s="437"/>
      <c r="L51" s="437"/>
      <c r="M51" s="438"/>
      <c r="N51" s="242" t="s">
        <v>576</v>
      </c>
      <c r="O51" s="74" t="s">
        <v>142</v>
      </c>
      <c r="P51" s="436" t="s">
        <v>577</v>
      </c>
      <c r="Q51" s="436"/>
      <c r="R51" s="436" t="s">
        <v>575</v>
      </c>
      <c r="S51" s="436"/>
      <c r="T51" s="436"/>
      <c r="U51" s="436"/>
      <c r="V51" s="437" t="s">
        <v>578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513</v>
      </c>
      <c r="B52" s="446"/>
      <c r="C52" s="246" t="s">
        <v>514</v>
      </c>
      <c r="D52" s="243" t="s">
        <v>515</v>
      </c>
      <c r="E52" s="246" t="s">
        <v>508</v>
      </c>
      <c r="F52" s="437" t="s">
        <v>563</v>
      </c>
      <c r="G52" s="437"/>
      <c r="H52" s="437"/>
      <c r="I52" s="437"/>
      <c r="J52" s="437"/>
      <c r="K52" s="437"/>
      <c r="L52" s="437"/>
      <c r="M52" s="438"/>
      <c r="N52" s="242" t="s">
        <v>580</v>
      </c>
      <c r="O52" s="74" t="s">
        <v>581</v>
      </c>
      <c r="P52" s="439" t="s">
        <v>577</v>
      </c>
      <c r="Q52" s="440"/>
      <c r="R52" s="436" t="s">
        <v>579</v>
      </c>
      <c r="S52" s="436"/>
      <c r="T52" s="436"/>
      <c r="U52" s="436"/>
      <c r="V52" s="437" t="s">
        <v>582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564</v>
      </c>
      <c r="B53" s="446"/>
      <c r="C53" s="246" t="s">
        <v>565</v>
      </c>
      <c r="D53" s="243" t="s">
        <v>566</v>
      </c>
      <c r="E53" s="246" t="s">
        <v>567</v>
      </c>
      <c r="F53" s="437" t="s">
        <v>573</v>
      </c>
      <c r="G53" s="437"/>
      <c r="H53" s="437"/>
      <c r="I53" s="437"/>
      <c r="J53" s="437"/>
      <c r="K53" s="437"/>
      <c r="L53" s="437"/>
      <c r="M53" s="438"/>
      <c r="N53" s="242" t="s">
        <v>557</v>
      </c>
      <c r="O53" s="74" t="s">
        <v>587</v>
      </c>
      <c r="P53" s="439" t="s">
        <v>584</v>
      </c>
      <c r="Q53" s="440"/>
      <c r="R53" s="436" t="s">
        <v>588</v>
      </c>
      <c r="S53" s="436"/>
      <c r="T53" s="436"/>
      <c r="U53" s="436"/>
      <c r="V53" s="437" t="s">
        <v>586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522</v>
      </c>
      <c r="B54" s="446"/>
      <c r="C54" s="246" t="s">
        <v>523</v>
      </c>
      <c r="D54" s="243"/>
      <c r="E54" s="246" t="s">
        <v>568</v>
      </c>
      <c r="F54" s="437" t="s">
        <v>569</v>
      </c>
      <c r="G54" s="437"/>
      <c r="H54" s="437"/>
      <c r="I54" s="437"/>
      <c r="J54" s="437"/>
      <c r="K54" s="437"/>
      <c r="L54" s="437"/>
      <c r="M54" s="438"/>
      <c r="N54" s="242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557</v>
      </c>
      <c r="B55" s="436"/>
      <c r="C55" s="243" t="s">
        <v>570</v>
      </c>
      <c r="D55" s="243" t="s">
        <v>571</v>
      </c>
      <c r="E55" s="246" t="s">
        <v>559</v>
      </c>
      <c r="F55" s="437" t="s">
        <v>572</v>
      </c>
      <c r="G55" s="437"/>
      <c r="H55" s="437"/>
      <c r="I55" s="437"/>
      <c r="J55" s="437"/>
      <c r="K55" s="437"/>
      <c r="L55" s="437"/>
      <c r="M55" s="438"/>
      <c r="N55" s="242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557</v>
      </c>
      <c r="B56" s="436"/>
      <c r="C56" s="243" t="s">
        <v>583</v>
      </c>
      <c r="D56" s="243" t="s">
        <v>584</v>
      </c>
      <c r="E56" s="246" t="s">
        <v>585</v>
      </c>
      <c r="F56" s="437" t="s">
        <v>586</v>
      </c>
      <c r="G56" s="437"/>
      <c r="H56" s="437"/>
      <c r="I56" s="437"/>
      <c r="J56" s="437"/>
      <c r="K56" s="437"/>
      <c r="L56" s="437"/>
      <c r="M56" s="438"/>
      <c r="N56" s="242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46"/>
      <c r="D57" s="243"/>
      <c r="E57" s="246"/>
      <c r="F57" s="437"/>
      <c r="G57" s="437"/>
      <c r="H57" s="437"/>
      <c r="I57" s="437"/>
      <c r="J57" s="437"/>
      <c r="K57" s="437"/>
      <c r="L57" s="437"/>
      <c r="M57" s="438"/>
      <c r="N57" s="242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46"/>
      <c r="D58" s="243"/>
      <c r="E58" s="246"/>
      <c r="F58" s="437"/>
      <c r="G58" s="437"/>
      <c r="H58" s="437"/>
      <c r="I58" s="437"/>
      <c r="J58" s="437"/>
      <c r="K58" s="437"/>
      <c r="L58" s="437"/>
      <c r="M58" s="438"/>
      <c r="N58" s="242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43"/>
      <c r="D59" s="243"/>
      <c r="E59" s="243"/>
      <c r="F59" s="437"/>
      <c r="G59" s="437"/>
      <c r="H59" s="437"/>
      <c r="I59" s="437"/>
      <c r="J59" s="437"/>
      <c r="K59" s="437"/>
      <c r="L59" s="437"/>
      <c r="M59" s="438"/>
      <c r="N59" s="242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45"/>
      <c r="D60" s="245"/>
      <c r="E60" s="245"/>
      <c r="F60" s="443"/>
      <c r="G60" s="443"/>
      <c r="H60" s="443"/>
      <c r="I60" s="443"/>
      <c r="J60" s="443"/>
      <c r="K60" s="443"/>
      <c r="L60" s="443"/>
      <c r="M60" s="444"/>
      <c r="N60" s="244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589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41" t="s">
        <v>2</v>
      </c>
      <c r="D62" s="241" t="s">
        <v>38</v>
      </c>
      <c r="E62" s="241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41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119</v>
      </c>
      <c r="D63" s="237"/>
      <c r="E63" s="239" t="s">
        <v>551</v>
      </c>
      <c r="F63" s="456" t="s">
        <v>552</v>
      </c>
      <c r="G63" s="457"/>
      <c r="H63" s="457"/>
      <c r="I63" s="457"/>
      <c r="J63" s="457"/>
      <c r="K63" s="457" t="s">
        <v>498</v>
      </c>
      <c r="L63" s="457"/>
      <c r="M63" s="54" t="s">
        <v>495</v>
      </c>
      <c r="N63" s="457">
        <v>13</v>
      </c>
      <c r="O63" s="457"/>
      <c r="P63" s="458">
        <v>50</v>
      </c>
      <c r="Q63" s="458"/>
      <c r="R63" s="437" t="s">
        <v>590</v>
      </c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564</v>
      </c>
      <c r="D64" s="237"/>
      <c r="E64" s="239" t="s">
        <v>591</v>
      </c>
      <c r="F64" s="456" t="s">
        <v>592</v>
      </c>
      <c r="G64" s="457"/>
      <c r="H64" s="457"/>
      <c r="I64" s="457"/>
      <c r="J64" s="457"/>
      <c r="K64" s="457" t="s">
        <v>593</v>
      </c>
      <c r="L64" s="457"/>
      <c r="M64" s="54" t="s">
        <v>594</v>
      </c>
      <c r="N64" s="457">
        <v>6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 t="s">
        <v>557</v>
      </c>
      <c r="D65" s="237"/>
      <c r="E65" s="239" t="s">
        <v>595</v>
      </c>
      <c r="F65" s="456" t="s">
        <v>596</v>
      </c>
      <c r="G65" s="457"/>
      <c r="H65" s="457"/>
      <c r="I65" s="457"/>
      <c r="J65" s="457"/>
      <c r="K65" s="457">
        <v>7301</v>
      </c>
      <c r="L65" s="457"/>
      <c r="M65" s="54" t="s">
        <v>597</v>
      </c>
      <c r="N65" s="457">
        <v>9</v>
      </c>
      <c r="O65" s="457"/>
      <c r="P65" s="458"/>
      <c r="Q65" s="458"/>
      <c r="R65" s="437" t="s">
        <v>598</v>
      </c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237"/>
      <c r="E66" s="239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37"/>
      <c r="E67" s="239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37"/>
      <c r="E68" s="239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37"/>
      <c r="E69" s="239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37"/>
      <c r="E70" s="239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599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40" t="s">
        <v>2</v>
      </c>
      <c r="D72" s="240" t="s">
        <v>38</v>
      </c>
      <c r="E72" s="240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38" t="s">
        <v>118</v>
      </c>
      <c r="D73" s="238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37" t="s">
        <v>118</v>
      </c>
      <c r="D74" s="237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37" t="s">
        <v>163</v>
      </c>
      <c r="D75" s="237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37" t="s">
        <v>119</v>
      </c>
      <c r="D76" s="237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37"/>
      <c r="D77" s="237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37"/>
      <c r="D78" s="237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37"/>
      <c r="D79" s="237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37"/>
      <c r="D80" s="237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37"/>
      <c r="D81" s="237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600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601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48" t="s">
        <v>17</v>
      </c>
      <c r="L5" s="248" t="s">
        <v>18</v>
      </c>
      <c r="M5" s="248" t="s">
        <v>19</v>
      </c>
      <c r="N5" s="2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0.49676173702347409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2520</v>
      </c>
      <c r="K7" s="15">
        <f>L7+4430+5994+5898+2519</f>
        <v>18841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0.49676173702347409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6170</v>
      </c>
      <c r="K8" s="15">
        <f>L8+562+3624+3000+2279+2723+3016+4670+4950+6437+5255</f>
        <v>42678</v>
      </c>
      <c r="L8" s="15">
        <f>2425+3737</f>
        <v>6162</v>
      </c>
      <c r="M8" s="16">
        <f t="shared" si="0"/>
        <v>6162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0.99870340356564025</v>
      </c>
      <c r="AC8" s="9">
        <f t="shared" si="5"/>
        <v>1</v>
      </c>
      <c r="AD8" s="10">
        <f t="shared" si="6"/>
        <v>0.99870340356564025</v>
      </c>
      <c r="AE8" s="39">
        <f t="shared" si="7"/>
        <v>0.49676173702347409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503</v>
      </c>
      <c r="D9" s="55" t="s">
        <v>504</v>
      </c>
      <c r="E9" s="57" t="s">
        <v>505</v>
      </c>
      <c r="F9" s="12">
        <v>7301</v>
      </c>
      <c r="G9" s="12">
        <v>1</v>
      </c>
      <c r="H9" s="13">
        <v>25</v>
      </c>
      <c r="I9" s="34">
        <v>30000</v>
      </c>
      <c r="J9" s="5">
        <v>3610</v>
      </c>
      <c r="K9" s="15">
        <f>L9+1423+2759</f>
        <v>7789</v>
      </c>
      <c r="L9" s="15">
        <f>2285+1322</f>
        <v>3607</v>
      </c>
      <c r="M9" s="16">
        <f t="shared" si="0"/>
        <v>3607</v>
      </c>
      <c r="N9" s="16">
        <v>0</v>
      </c>
      <c r="O9" s="62">
        <f t="shared" si="1"/>
        <v>0</v>
      </c>
      <c r="P9" s="42">
        <f t="shared" si="2"/>
        <v>17</v>
      </c>
      <c r="Q9" s="43">
        <f t="shared" si="3"/>
        <v>7</v>
      </c>
      <c r="R9" s="7"/>
      <c r="S9" s="6">
        <v>7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0.99916897506925206</v>
      </c>
      <c r="AC9" s="9">
        <f t="shared" si="5"/>
        <v>0.70833333333333337</v>
      </c>
      <c r="AD9" s="10">
        <f t="shared" si="6"/>
        <v>0.70774469067405354</v>
      </c>
      <c r="AE9" s="39">
        <f t="shared" si="7"/>
        <v>0.49676173702347409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506</v>
      </c>
      <c r="D10" s="55" t="s">
        <v>507</v>
      </c>
      <c r="E10" s="57" t="s">
        <v>508</v>
      </c>
      <c r="F10" s="12" t="s">
        <v>509</v>
      </c>
      <c r="G10" s="12">
        <v>1</v>
      </c>
      <c r="H10" s="13">
        <v>25</v>
      </c>
      <c r="I10" s="34">
        <v>30000</v>
      </c>
      <c r="J10" s="14">
        <v>5240</v>
      </c>
      <c r="K10" s="15">
        <f>L10+4291+3710</f>
        <v>13241</v>
      </c>
      <c r="L10" s="15">
        <f>2186+3054</f>
        <v>5240</v>
      </c>
      <c r="M10" s="16">
        <f t="shared" si="0"/>
        <v>5240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0.49676173702347409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268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0.49676173702347409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v>30000</v>
      </c>
      <c r="J12" s="14">
        <v>4980</v>
      </c>
      <c r="K12" s="15">
        <f>L12+3682</f>
        <v>8657</v>
      </c>
      <c r="L12" s="15">
        <f>2068+2907</f>
        <v>4975</v>
      </c>
      <c r="M12" s="16">
        <f t="shared" si="0"/>
        <v>4975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0.99899598393574296</v>
      </c>
      <c r="AC12" s="9">
        <f t="shared" si="5"/>
        <v>1</v>
      </c>
      <c r="AD12" s="10">
        <f t="shared" si="6"/>
        <v>0.99899598393574296</v>
      </c>
      <c r="AE12" s="39">
        <f t="shared" si="7"/>
        <v>0.49676173702347409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459</v>
      </c>
      <c r="D13" s="55" t="s">
        <v>460</v>
      </c>
      <c r="E13" s="57" t="s">
        <v>461</v>
      </c>
      <c r="F13" s="12" t="s">
        <v>462</v>
      </c>
      <c r="G13" s="12">
        <v>2</v>
      </c>
      <c r="H13" s="13">
        <v>35</v>
      </c>
      <c r="I13" s="7">
        <v>3000</v>
      </c>
      <c r="J13" s="14">
        <v>6080</v>
      </c>
      <c r="K13" s="15">
        <f>L13+6074</f>
        <v>6074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0.49676173702347409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0.49676173702347409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161</v>
      </c>
      <c r="E15" s="57" t="s">
        <v>170</v>
      </c>
      <c r="F15" s="12" t="s">
        <v>162</v>
      </c>
      <c r="G15" s="12">
        <v>1</v>
      </c>
      <c r="H15" s="13">
        <v>25</v>
      </c>
      <c r="I15" s="34">
        <v>2000</v>
      </c>
      <c r="J15" s="14">
        <v>760</v>
      </c>
      <c r="K15" s="15">
        <f>L15+756</f>
        <v>756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0.49676173702347409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1730</v>
      </c>
      <c r="K16" s="15">
        <f>L16+2188+5991+4312</f>
        <v>14219</v>
      </c>
      <c r="L16" s="15">
        <v>1728</v>
      </c>
      <c r="M16" s="16">
        <f t="shared" si="0"/>
        <v>1728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>
        <v>14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0.9988439306358381</v>
      </c>
      <c r="AC16" s="9">
        <f t="shared" si="5"/>
        <v>0.41666666666666669</v>
      </c>
      <c r="AD16" s="10">
        <f t="shared" si="6"/>
        <v>0.41618497109826591</v>
      </c>
      <c r="AE16" s="39">
        <f t="shared" si="7"/>
        <v>0.49676173702347409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233</v>
      </c>
      <c r="D17" s="55" t="s">
        <v>584</v>
      </c>
      <c r="E17" s="56" t="s">
        <v>588</v>
      </c>
      <c r="F17" s="12">
        <v>8301</v>
      </c>
      <c r="G17" s="12">
        <v>1</v>
      </c>
      <c r="H17" s="13">
        <v>25</v>
      </c>
      <c r="I17" s="34">
        <v>1000</v>
      </c>
      <c r="J17" s="5">
        <v>1570</v>
      </c>
      <c r="K17" s="15">
        <f>L17</f>
        <v>1567</v>
      </c>
      <c r="L17" s="15">
        <f>1567</f>
        <v>1567</v>
      </c>
      <c r="M17" s="16">
        <f t="shared" si="0"/>
        <v>1567</v>
      </c>
      <c r="N17" s="16">
        <v>0</v>
      </c>
      <c r="O17" s="62">
        <f t="shared" si="1"/>
        <v>0</v>
      </c>
      <c r="P17" s="42">
        <f t="shared" si="2"/>
        <v>8</v>
      </c>
      <c r="Q17" s="43">
        <f t="shared" si="3"/>
        <v>16</v>
      </c>
      <c r="R17" s="7"/>
      <c r="S17" s="6"/>
      <c r="T17" s="17"/>
      <c r="U17" s="17"/>
      <c r="V17" s="18"/>
      <c r="W17" s="19">
        <v>16</v>
      </c>
      <c r="X17" s="17"/>
      <c r="Y17" s="20"/>
      <c r="Z17" s="20"/>
      <c r="AA17" s="21"/>
      <c r="AB17" s="8">
        <f t="shared" si="4"/>
        <v>0.99808917197452229</v>
      </c>
      <c r="AC17" s="9">
        <f t="shared" si="5"/>
        <v>0.33333333333333331</v>
      </c>
      <c r="AD17" s="10">
        <f t="shared" si="6"/>
        <v>0.33269639065817408</v>
      </c>
      <c r="AE17" s="39">
        <f t="shared" si="7"/>
        <v>0.49676173702347409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557</v>
      </c>
      <c r="D18" s="55" t="s">
        <v>558</v>
      </c>
      <c r="E18" s="57" t="s">
        <v>559</v>
      </c>
      <c r="F18" s="33" t="s">
        <v>560</v>
      </c>
      <c r="G18" s="12">
        <v>1</v>
      </c>
      <c r="H18" s="13">
        <v>25</v>
      </c>
      <c r="I18" s="34">
        <v>30000</v>
      </c>
      <c r="J18" s="5">
        <v>5550</v>
      </c>
      <c r="K18" s="15">
        <f>L18+2956</f>
        <v>8500</v>
      </c>
      <c r="L18" s="15">
        <f>2290+3254</f>
        <v>5544</v>
      </c>
      <c r="M18" s="16">
        <f t="shared" si="0"/>
        <v>5544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0.99891891891891893</v>
      </c>
      <c r="AC18" s="9">
        <f t="shared" si="5"/>
        <v>1</v>
      </c>
      <c r="AD18" s="10">
        <f t="shared" si="6"/>
        <v>0.99891891891891893</v>
      </c>
      <c r="AE18" s="39">
        <f t="shared" si="7"/>
        <v>0.49676173702347409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30000</v>
      </c>
      <c r="J19" s="5">
        <v>5040</v>
      </c>
      <c r="K19" s="15">
        <f>L19+4545</f>
        <v>9576</v>
      </c>
      <c r="L19" s="15">
        <f>2085+2946</f>
        <v>5031</v>
      </c>
      <c r="M19" s="16">
        <f t="shared" si="0"/>
        <v>5031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0.99821428571428572</v>
      </c>
      <c r="AC19" s="9">
        <f t="shared" si="5"/>
        <v>1</v>
      </c>
      <c r="AD19" s="10">
        <f t="shared" si="6"/>
        <v>0.99821428571428572</v>
      </c>
      <c r="AE19" s="39">
        <f t="shared" si="7"/>
        <v>0.49676173702347409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200000</v>
      </c>
      <c r="J20" s="14">
        <v>61370</v>
      </c>
      <c r="K20" s="15">
        <f>L20+45088</f>
        <v>106456</v>
      </c>
      <c r="L20" s="15">
        <f>6385*4+8957*4</f>
        <v>61368</v>
      </c>
      <c r="M20" s="16">
        <f t="shared" si="0"/>
        <v>61368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0.99996741078702944</v>
      </c>
      <c r="AC20" s="9">
        <f t="shared" si="5"/>
        <v>1</v>
      </c>
      <c r="AD20" s="10">
        <f t="shared" si="6"/>
        <v>0.99996741078702944</v>
      </c>
      <c r="AE20" s="39">
        <f t="shared" si="7"/>
        <v>0.49676173702347409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452200</v>
      </c>
      <c r="J21" s="22">
        <f t="shared" si="9"/>
        <v>108180</v>
      </c>
      <c r="K21" s="23">
        <f t="shared" si="9"/>
        <v>245174</v>
      </c>
      <c r="L21" s="24">
        <f t="shared" si="9"/>
        <v>95222</v>
      </c>
      <c r="M21" s="23">
        <f t="shared" si="9"/>
        <v>95222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179</v>
      </c>
      <c r="Q21" s="46">
        <f t="shared" si="10"/>
        <v>181</v>
      </c>
      <c r="R21" s="26">
        <f t="shared" si="10"/>
        <v>24</v>
      </c>
      <c r="S21" s="27">
        <f t="shared" si="10"/>
        <v>69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88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0.59939347204008209</v>
      </c>
      <c r="AC21" s="4">
        <f>SUM(AC6:AC20)/15</f>
        <v>0.49722222222222218</v>
      </c>
      <c r="AD21" s="4">
        <f>SUM(AD6:AD20)/15</f>
        <v>0.49676173702347409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602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604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47" t="s">
        <v>47</v>
      </c>
      <c r="D50" s="247" t="s">
        <v>48</v>
      </c>
      <c r="E50" s="247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47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511</v>
      </c>
      <c r="B51" s="436"/>
      <c r="C51" s="243" t="s">
        <v>142</v>
      </c>
      <c r="D51" s="243" t="s">
        <v>504</v>
      </c>
      <c r="E51" s="246" t="s">
        <v>505</v>
      </c>
      <c r="F51" s="437" t="s">
        <v>603</v>
      </c>
      <c r="G51" s="437"/>
      <c r="H51" s="437"/>
      <c r="I51" s="437"/>
      <c r="J51" s="437"/>
      <c r="K51" s="437"/>
      <c r="L51" s="437"/>
      <c r="M51" s="438"/>
      <c r="N51" s="242" t="s">
        <v>576</v>
      </c>
      <c r="O51" s="74" t="s">
        <v>142</v>
      </c>
      <c r="P51" s="436" t="s">
        <v>577</v>
      </c>
      <c r="Q51" s="436"/>
      <c r="R51" s="436" t="s">
        <v>575</v>
      </c>
      <c r="S51" s="436"/>
      <c r="T51" s="436"/>
      <c r="U51" s="436"/>
      <c r="V51" s="437" t="s">
        <v>563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557</v>
      </c>
      <c r="B52" s="436"/>
      <c r="C52" s="243" t="s">
        <v>583</v>
      </c>
      <c r="D52" s="243" t="s">
        <v>584</v>
      </c>
      <c r="E52" s="246" t="s">
        <v>588</v>
      </c>
      <c r="F52" s="437" t="s">
        <v>586</v>
      </c>
      <c r="G52" s="437"/>
      <c r="H52" s="437"/>
      <c r="I52" s="437"/>
      <c r="J52" s="437"/>
      <c r="K52" s="437"/>
      <c r="L52" s="437"/>
      <c r="M52" s="438"/>
      <c r="N52" s="242" t="s">
        <v>580</v>
      </c>
      <c r="O52" s="74" t="s">
        <v>581</v>
      </c>
      <c r="P52" s="439" t="s">
        <v>577</v>
      </c>
      <c r="Q52" s="440"/>
      <c r="R52" s="436" t="s">
        <v>579</v>
      </c>
      <c r="S52" s="436"/>
      <c r="T52" s="436"/>
      <c r="U52" s="436"/>
      <c r="V52" s="437" t="s">
        <v>563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/>
      <c r="B53" s="446"/>
      <c r="C53" s="246"/>
      <c r="D53" s="243"/>
      <c r="E53" s="246"/>
      <c r="F53" s="437"/>
      <c r="G53" s="437"/>
      <c r="H53" s="437"/>
      <c r="I53" s="437"/>
      <c r="J53" s="437"/>
      <c r="K53" s="437"/>
      <c r="L53" s="437"/>
      <c r="M53" s="438"/>
      <c r="N53" s="242" t="s">
        <v>119</v>
      </c>
      <c r="O53" s="74" t="s">
        <v>605</v>
      </c>
      <c r="P53" s="439" t="s">
        <v>606</v>
      </c>
      <c r="Q53" s="440"/>
      <c r="R53" s="436" t="s">
        <v>607</v>
      </c>
      <c r="S53" s="436"/>
      <c r="T53" s="436"/>
      <c r="U53" s="436"/>
      <c r="V53" s="437" t="s">
        <v>563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/>
      <c r="B54" s="446"/>
      <c r="C54" s="246"/>
      <c r="D54" s="243"/>
      <c r="E54" s="246"/>
      <c r="F54" s="437"/>
      <c r="G54" s="437"/>
      <c r="H54" s="437"/>
      <c r="I54" s="437"/>
      <c r="J54" s="437"/>
      <c r="K54" s="437"/>
      <c r="L54" s="437"/>
      <c r="M54" s="438"/>
      <c r="N54" s="242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243"/>
      <c r="D55" s="243"/>
      <c r="E55" s="246"/>
      <c r="F55" s="437"/>
      <c r="G55" s="437"/>
      <c r="H55" s="437"/>
      <c r="I55" s="437"/>
      <c r="J55" s="437"/>
      <c r="K55" s="437"/>
      <c r="L55" s="437"/>
      <c r="M55" s="438"/>
      <c r="N55" s="242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243"/>
      <c r="D56" s="243"/>
      <c r="E56" s="246"/>
      <c r="F56" s="437"/>
      <c r="G56" s="437"/>
      <c r="H56" s="437"/>
      <c r="I56" s="437"/>
      <c r="J56" s="437"/>
      <c r="K56" s="437"/>
      <c r="L56" s="437"/>
      <c r="M56" s="438"/>
      <c r="N56" s="242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46"/>
      <c r="D57" s="243"/>
      <c r="E57" s="246"/>
      <c r="F57" s="437"/>
      <c r="G57" s="437"/>
      <c r="H57" s="437"/>
      <c r="I57" s="437"/>
      <c r="J57" s="437"/>
      <c r="K57" s="437"/>
      <c r="L57" s="437"/>
      <c r="M57" s="438"/>
      <c r="N57" s="242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46"/>
      <c r="D58" s="243"/>
      <c r="E58" s="246"/>
      <c r="F58" s="437"/>
      <c r="G58" s="437"/>
      <c r="H58" s="437"/>
      <c r="I58" s="437"/>
      <c r="J58" s="437"/>
      <c r="K58" s="437"/>
      <c r="L58" s="437"/>
      <c r="M58" s="438"/>
      <c r="N58" s="242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43"/>
      <c r="D59" s="243"/>
      <c r="E59" s="243"/>
      <c r="F59" s="437"/>
      <c r="G59" s="437"/>
      <c r="H59" s="437"/>
      <c r="I59" s="437"/>
      <c r="J59" s="437"/>
      <c r="K59" s="437"/>
      <c r="L59" s="437"/>
      <c r="M59" s="438"/>
      <c r="N59" s="242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45"/>
      <c r="D60" s="245"/>
      <c r="E60" s="245"/>
      <c r="F60" s="443"/>
      <c r="G60" s="443"/>
      <c r="H60" s="443"/>
      <c r="I60" s="443"/>
      <c r="J60" s="443"/>
      <c r="K60" s="443"/>
      <c r="L60" s="443"/>
      <c r="M60" s="444"/>
      <c r="N60" s="244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608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41" t="s">
        <v>2</v>
      </c>
      <c r="D62" s="241" t="s">
        <v>38</v>
      </c>
      <c r="E62" s="241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41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609</v>
      </c>
      <c r="D63" s="237"/>
      <c r="E63" s="239" t="s">
        <v>591</v>
      </c>
      <c r="F63" s="456" t="s">
        <v>610</v>
      </c>
      <c r="G63" s="457"/>
      <c r="H63" s="457"/>
      <c r="I63" s="457"/>
      <c r="J63" s="457"/>
      <c r="K63" s="457" t="s">
        <v>611</v>
      </c>
      <c r="L63" s="457"/>
      <c r="M63" s="54" t="s">
        <v>594</v>
      </c>
      <c r="N63" s="457">
        <v>10</v>
      </c>
      <c r="O63" s="457"/>
      <c r="P63" s="458">
        <v>200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557</v>
      </c>
      <c r="D64" s="237"/>
      <c r="E64" s="239" t="s">
        <v>595</v>
      </c>
      <c r="F64" s="456" t="s">
        <v>596</v>
      </c>
      <c r="G64" s="457"/>
      <c r="H64" s="457"/>
      <c r="I64" s="457"/>
      <c r="J64" s="457"/>
      <c r="K64" s="457">
        <v>7301</v>
      </c>
      <c r="L64" s="457"/>
      <c r="M64" s="54" t="s">
        <v>597</v>
      </c>
      <c r="N64" s="457">
        <v>9</v>
      </c>
      <c r="O64" s="457"/>
      <c r="P64" s="458"/>
      <c r="Q64" s="458"/>
      <c r="R64" s="437" t="s">
        <v>612</v>
      </c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237"/>
      <c r="E65" s="239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237"/>
      <c r="E66" s="239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37"/>
      <c r="E67" s="239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37"/>
      <c r="E68" s="239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37"/>
      <c r="E69" s="239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37"/>
      <c r="E70" s="239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613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40" t="s">
        <v>2</v>
      </c>
      <c r="D72" s="240" t="s">
        <v>38</v>
      </c>
      <c r="E72" s="240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38" t="s">
        <v>118</v>
      </c>
      <c r="D73" s="238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37" t="s">
        <v>118</v>
      </c>
      <c r="D74" s="237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37" t="s">
        <v>163</v>
      </c>
      <c r="D75" s="237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37" t="s">
        <v>119</v>
      </c>
      <c r="D76" s="237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37"/>
      <c r="D77" s="237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37"/>
      <c r="D78" s="237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37"/>
      <c r="D79" s="237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37"/>
      <c r="D80" s="237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37"/>
      <c r="D81" s="237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614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11" zoomScale="72" zoomScaleNormal="72" zoomScaleSheetLayoutView="70" workbookViewId="0">
      <selection activeCell="F80" sqref="F80:J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615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49" t="s">
        <v>17</v>
      </c>
      <c r="L5" s="249" t="s">
        <v>18</v>
      </c>
      <c r="M5" s="249" t="s">
        <v>19</v>
      </c>
      <c r="N5" s="2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0.41905170472970321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423</v>
      </c>
      <c r="D7" s="55" t="s">
        <v>424</v>
      </c>
      <c r="E7" s="56" t="s">
        <v>425</v>
      </c>
      <c r="F7" s="12" t="s">
        <v>128</v>
      </c>
      <c r="G7" s="36">
        <v>1</v>
      </c>
      <c r="H7" s="38">
        <v>25</v>
      </c>
      <c r="I7" s="7">
        <v>20000</v>
      </c>
      <c r="J7" s="14">
        <v>2520</v>
      </c>
      <c r="K7" s="15">
        <f>L7+4430+5994+5898+2519</f>
        <v>18841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0.41905170472970321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3810</v>
      </c>
      <c r="K8" s="15">
        <f>L8+562+3624+3000+2279+2723+3016+4670+4950+6437+5255+6162</f>
        <v>46488</v>
      </c>
      <c r="L8" s="15">
        <f>1148+2662</f>
        <v>3810</v>
      </c>
      <c r="M8" s="16">
        <f t="shared" si="0"/>
        <v>3810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0.41905170472970321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503</v>
      </c>
      <c r="D9" s="55" t="s">
        <v>194</v>
      </c>
      <c r="E9" s="57" t="s">
        <v>505</v>
      </c>
      <c r="F9" s="12">
        <v>7301</v>
      </c>
      <c r="G9" s="12">
        <v>1</v>
      </c>
      <c r="H9" s="13">
        <v>25</v>
      </c>
      <c r="I9" s="34">
        <v>30000</v>
      </c>
      <c r="J9" s="5">
        <v>1100</v>
      </c>
      <c r="K9" s="15">
        <f>L9+1423+2759+3607</f>
        <v>8888</v>
      </c>
      <c r="L9" s="15">
        <f>300+799</f>
        <v>1099</v>
      </c>
      <c r="M9" s="16">
        <f t="shared" si="0"/>
        <v>1099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>
        <v>16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0.99909090909090914</v>
      </c>
      <c r="AC9" s="9">
        <f t="shared" si="5"/>
        <v>0.33333333333333331</v>
      </c>
      <c r="AD9" s="10">
        <f t="shared" si="6"/>
        <v>0.33303030303030301</v>
      </c>
      <c r="AE9" s="39">
        <f t="shared" si="7"/>
        <v>0.41905170472970321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163</v>
      </c>
      <c r="D10" s="55" t="s">
        <v>507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30000</v>
      </c>
      <c r="J10" s="14">
        <v>2560</v>
      </c>
      <c r="K10" s="15">
        <f>L10+4291+3710+5240</f>
        <v>15800</v>
      </c>
      <c r="L10" s="15">
        <f>2559</f>
        <v>2559</v>
      </c>
      <c r="M10" s="16">
        <f t="shared" si="0"/>
        <v>2559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>
        <v>10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0.99960937500000002</v>
      </c>
      <c r="AC10" s="9">
        <f t="shared" si="5"/>
        <v>0.58333333333333337</v>
      </c>
      <c r="AD10" s="10">
        <f t="shared" si="6"/>
        <v>0.58310546875000002</v>
      </c>
      <c r="AE10" s="39">
        <f t="shared" si="7"/>
        <v>0.41905170472970321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150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0.41905170472970321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v>30000</v>
      </c>
      <c r="J12" s="14">
        <v>4610</v>
      </c>
      <c r="K12" s="15">
        <f>L12+3682+4975</f>
        <v>13263</v>
      </c>
      <c r="L12" s="15">
        <f>1997+2609</f>
        <v>4606</v>
      </c>
      <c r="M12" s="16">
        <f t="shared" si="0"/>
        <v>4606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0.99913232104121474</v>
      </c>
      <c r="AC12" s="9">
        <f t="shared" si="5"/>
        <v>0.91666666666666663</v>
      </c>
      <c r="AD12" s="10">
        <f t="shared" si="6"/>
        <v>0.91587129428778014</v>
      </c>
      <c r="AE12" s="39">
        <f t="shared" si="7"/>
        <v>0.41905170472970321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442</v>
      </c>
      <c r="D13" s="55" t="s">
        <v>286</v>
      </c>
      <c r="E13" s="57" t="s">
        <v>461</v>
      </c>
      <c r="F13" s="12" t="s">
        <v>462</v>
      </c>
      <c r="G13" s="12">
        <v>2</v>
      </c>
      <c r="H13" s="13">
        <v>35</v>
      </c>
      <c r="I13" s="7">
        <v>3000</v>
      </c>
      <c r="J13" s="14">
        <v>6080</v>
      </c>
      <c r="K13" s="15">
        <f>L13+6074</f>
        <v>6074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0.41905170472970321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0.41905170472970321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148</v>
      </c>
      <c r="E15" s="57" t="s">
        <v>631</v>
      </c>
      <c r="F15" s="12" t="s">
        <v>162</v>
      </c>
      <c r="G15" s="12">
        <v>1</v>
      </c>
      <c r="H15" s="13">
        <v>25</v>
      </c>
      <c r="I15" s="34">
        <v>2500</v>
      </c>
      <c r="J15" s="14">
        <v>2810</v>
      </c>
      <c r="K15" s="15">
        <f>L15</f>
        <v>2807</v>
      </c>
      <c r="L15" s="15">
        <v>2807</v>
      </c>
      <c r="M15" s="16">
        <f t="shared" si="0"/>
        <v>2807</v>
      </c>
      <c r="N15" s="16">
        <v>0</v>
      </c>
      <c r="O15" s="62">
        <f t="shared" si="1"/>
        <v>0</v>
      </c>
      <c r="P15" s="42">
        <f t="shared" si="2"/>
        <v>16</v>
      </c>
      <c r="Q15" s="43">
        <f t="shared" si="3"/>
        <v>8</v>
      </c>
      <c r="R15" s="7"/>
      <c r="S15" s="6"/>
      <c r="T15" s="17"/>
      <c r="U15" s="17"/>
      <c r="V15" s="18"/>
      <c r="W15" s="19">
        <v>8</v>
      </c>
      <c r="X15" s="17"/>
      <c r="Y15" s="20"/>
      <c r="Z15" s="20"/>
      <c r="AA15" s="21"/>
      <c r="AB15" s="8">
        <f t="shared" si="4"/>
        <v>0.998932384341637</v>
      </c>
      <c r="AC15" s="9">
        <f t="shared" si="5"/>
        <v>0.66666666666666663</v>
      </c>
      <c r="AD15" s="10">
        <f t="shared" si="6"/>
        <v>0.66595492289442459</v>
      </c>
      <c r="AE15" s="39">
        <f t="shared" si="7"/>
        <v>0.41905170472970321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3870</v>
      </c>
      <c r="K16" s="15">
        <f>L16+2188+5991+4312+1728</f>
        <v>18080</v>
      </c>
      <c r="L16" s="15">
        <f>898+2963</f>
        <v>3861</v>
      </c>
      <c r="M16" s="16">
        <f t="shared" si="0"/>
        <v>3861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0.99767441860465111</v>
      </c>
      <c r="AC16" s="9">
        <f t="shared" si="5"/>
        <v>0.79166666666666663</v>
      </c>
      <c r="AD16" s="10">
        <f t="shared" si="6"/>
        <v>0.78982558139534875</v>
      </c>
      <c r="AE16" s="39">
        <f t="shared" si="7"/>
        <v>0.41905170472970321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584</v>
      </c>
      <c r="E17" s="56" t="s">
        <v>588</v>
      </c>
      <c r="F17" s="12">
        <v>8301</v>
      </c>
      <c r="G17" s="12">
        <v>1</v>
      </c>
      <c r="H17" s="13">
        <v>25</v>
      </c>
      <c r="I17" s="34">
        <v>1000</v>
      </c>
      <c r="J17" s="5">
        <v>1570</v>
      </c>
      <c r="K17" s="15">
        <f>L17+1567</f>
        <v>1567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0.41905170472970321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557</v>
      </c>
      <c r="D18" s="55" t="s">
        <v>558</v>
      </c>
      <c r="E18" s="57" t="s">
        <v>559</v>
      </c>
      <c r="F18" s="33" t="s">
        <v>560</v>
      </c>
      <c r="G18" s="12">
        <v>1</v>
      </c>
      <c r="H18" s="13">
        <v>25</v>
      </c>
      <c r="I18" s="34">
        <v>30000</v>
      </c>
      <c r="J18" s="5">
        <v>5510</v>
      </c>
      <c r="K18" s="15">
        <f>L18+2956+5544</f>
        <v>14004</v>
      </c>
      <c r="L18" s="15">
        <f>2637+2867</f>
        <v>5504</v>
      </c>
      <c r="M18" s="16">
        <f t="shared" si="0"/>
        <v>5504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0.99891107078039931</v>
      </c>
      <c r="AC18" s="9">
        <f t="shared" si="5"/>
        <v>1</v>
      </c>
      <c r="AD18" s="10">
        <f t="shared" si="6"/>
        <v>0.99891107078039931</v>
      </c>
      <c r="AE18" s="39">
        <f t="shared" si="7"/>
        <v>0.41905170472970321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30000</v>
      </c>
      <c r="J19" s="5">
        <v>1960</v>
      </c>
      <c r="K19" s="15">
        <f>L19+4545+5031</f>
        <v>11532</v>
      </c>
      <c r="L19" s="15">
        <v>1956</v>
      </c>
      <c r="M19" s="16">
        <f t="shared" si="0"/>
        <v>1956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>
        <v>14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0.99795918367346936</v>
      </c>
      <c r="AC19" s="9">
        <f t="shared" si="5"/>
        <v>0.41666666666666669</v>
      </c>
      <c r="AD19" s="10">
        <f t="shared" si="6"/>
        <v>0.41581632653061223</v>
      </c>
      <c r="AE19" s="39">
        <f t="shared" si="7"/>
        <v>0.41905170472970321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200000</v>
      </c>
      <c r="J20" s="14">
        <v>43540</v>
      </c>
      <c r="K20" s="15">
        <f>L20+45088+61368</f>
        <v>149992</v>
      </c>
      <c r="L20" s="15">
        <f>7275*4+3609*4</f>
        <v>43536</v>
      </c>
      <c r="M20" s="16">
        <f t="shared" si="0"/>
        <v>43536</v>
      </c>
      <c r="N20" s="16">
        <v>0</v>
      </c>
      <c r="O20" s="62">
        <f t="shared" si="1"/>
        <v>0</v>
      </c>
      <c r="P20" s="42">
        <f t="shared" si="2"/>
        <v>19</v>
      </c>
      <c r="Q20" s="43">
        <f t="shared" si="3"/>
        <v>5</v>
      </c>
      <c r="R20" s="7"/>
      <c r="S20" s="6">
        <v>5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0.99990813045475424</v>
      </c>
      <c r="AC20" s="9">
        <f t="shared" si="5"/>
        <v>0.79166666666666663</v>
      </c>
      <c r="AD20" s="10">
        <f t="shared" si="6"/>
        <v>0.79159393661001376</v>
      </c>
      <c r="AE20" s="39">
        <f t="shared" si="7"/>
        <v>0.41905170472970321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452700</v>
      </c>
      <c r="J21" s="22">
        <f t="shared" si="9"/>
        <v>83500</v>
      </c>
      <c r="K21" s="23">
        <f t="shared" si="9"/>
        <v>314156</v>
      </c>
      <c r="L21" s="24">
        <f t="shared" si="9"/>
        <v>69738</v>
      </c>
      <c r="M21" s="23">
        <f t="shared" si="9"/>
        <v>69738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151</v>
      </c>
      <c r="Q21" s="46">
        <f t="shared" si="10"/>
        <v>209</v>
      </c>
      <c r="R21" s="26">
        <f t="shared" si="10"/>
        <v>24</v>
      </c>
      <c r="S21" s="27">
        <f t="shared" si="10"/>
        <v>81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104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0.59941451953246905</v>
      </c>
      <c r="AC21" s="4">
        <f>SUM(AC6:AC20)/15</f>
        <v>0.41944444444444445</v>
      </c>
      <c r="AD21" s="4">
        <f>SUM(AD6:AD20)/15</f>
        <v>0.41905170472970321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616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633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50" t="s">
        <v>47</v>
      </c>
      <c r="D50" s="250" t="s">
        <v>48</v>
      </c>
      <c r="E50" s="250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50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617</v>
      </c>
      <c r="B51" s="436"/>
      <c r="C51" s="252" t="s">
        <v>285</v>
      </c>
      <c r="D51" s="252" t="s">
        <v>618</v>
      </c>
      <c r="E51" s="255" t="s">
        <v>619</v>
      </c>
      <c r="F51" s="437" t="s">
        <v>620</v>
      </c>
      <c r="G51" s="437"/>
      <c r="H51" s="437"/>
      <c r="I51" s="437"/>
      <c r="J51" s="437"/>
      <c r="K51" s="437"/>
      <c r="L51" s="437"/>
      <c r="M51" s="438"/>
      <c r="N51" s="251" t="s">
        <v>118</v>
      </c>
      <c r="O51" s="74" t="s">
        <v>142</v>
      </c>
      <c r="P51" s="436" t="s">
        <v>194</v>
      </c>
      <c r="Q51" s="436"/>
      <c r="R51" s="436" t="s">
        <v>505</v>
      </c>
      <c r="S51" s="436"/>
      <c r="T51" s="436"/>
      <c r="U51" s="436"/>
      <c r="V51" s="437" t="s">
        <v>634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557</v>
      </c>
      <c r="B52" s="436"/>
      <c r="C52" s="252" t="s">
        <v>160</v>
      </c>
      <c r="D52" s="252" t="s">
        <v>621</v>
      </c>
      <c r="E52" s="255" t="s">
        <v>505</v>
      </c>
      <c r="F52" s="437" t="s">
        <v>622</v>
      </c>
      <c r="G52" s="437"/>
      <c r="H52" s="437"/>
      <c r="I52" s="437"/>
      <c r="J52" s="437"/>
      <c r="K52" s="437"/>
      <c r="L52" s="437"/>
      <c r="M52" s="438"/>
      <c r="N52" s="251" t="s">
        <v>118</v>
      </c>
      <c r="O52" s="74" t="s">
        <v>234</v>
      </c>
      <c r="P52" s="439" t="s">
        <v>635</v>
      </c>
      <c r="Q52" s="440"/>
      <c r="R52" s="436" t="s">
        <v>636</v>
      </c>
      <c r="S52" s="436"/>
      <c r="T52" s="436"/>
      <c r="U52" s="436"/>
      <c r="V52" s="437" t="s">
        <v>563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119</v>
      </c>
      <c r="B53" s="446"/>
      <c r="C53" s="255" t="s">
        <v>623</v>
      </c>
      <c r="D53" s="252" t="s">
        <v>194</v>
      </c>
      <c r="E53" s="255" t="s">
        <v>624</v>
      </c>
      <c r="F53" s="437" t="s">
        <v>620</v>
      </c>
      <c r="G53" s="437"/>
      <c r="H53" s="437"/>
      <c r="I53" s="437"/>
      <c r="J53" s="437"/>
      <c r="K53" s="437"/>
      <c r="L53" s="437"/>
      <c r="M53" s="438"/>
      <c r="N53" s="251" t="s">
        <v>118</v>
      </c>
      <c r="O53" s="74" t="s">
        <v>287</v>
      </c>
      <c r="P53" s="439" t="s">
        <v>635</v>
      </c>
      <c r="Q53" s="440"/>
      <c r="R53" s="436" t="s">
        <v>637</v>
      </c>
      <c r="S53" s="436"/>
      <c r="T53" s="436"/>
      <c r="U53" s="436"/>
      <c r="V53" s="437" t="s">
        <v>638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255" t="s">
        <v>625</v>
      </c>
      <c r="D54" s="252" t="s">
        <v>626</v>
      </c>
      <c r="E54" s="255" t="s">
        <v>627</v>
      </c>
      <c r="F54" s="437" t="s">
        <v>628</v>
      </c>
      <c r="G54" s="437"/>
      <c r="H54" s="437"/>
      <c r="I54" s="437"/>
      <c r="J54" s="437"/>
      <c r="K54" s="437"/>
      <c r="L54" s="437"/>
      <c r="M54" s="438"/>
      <c r="N54" s="251" t="s">
        <v>642</v>
      </c>
      <c r="O54" s="74" t="s">
        <v>245</v>
      </c>
      <c r="P54" s="439" t="s">
        <v>643</v>
      </c>
      <c r="Q54" s="440"/>
      <c r="R54" s="436" t="s">
        <v>484</v>
      </c>
      <c r="S54" s="436"/>
      <c r="T54" s="436"/>
      <c r="U54" s="436"/>
      <c r="V54" s="437" t="s">
        <v>196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629</v>
      </c>
      <c r="B55" s="436"/>
      <c r="C55" s="252" t="s">
        <v>630</v>
      </c>
      <c r="D55" s="252"/>
      <c r="E55" s="255" t="s">
        <v>631</v>
      </c>
      <c r="F55" s="437" t="s">
        <v>632</v>
      </c>
      <c r="G55" s="437"/>
      <c r="H55" s="437"/>
      <c r="I55" s="437"/>
      <c r="J55" s="437"/>
      <c r="K55" s="437"/>
      <c r="L55" s="437"/>
      <c r="M55" s="438"/>
      <c r="N55" s="251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642</v>
      </c>
      <c r="B56" s="436"/>
      <c r="C56" s="252" t="s">
        <v>245</v>
      </c>
      <c r="D56" s="252" t="s">
        <v>644</v>
      </c>
      <c r="E56" s="255" t="s">
        <v>645</v>
      </c>
      <c r="F56" s="437" t="s">
        <v>582</v>
      </c>
      <c r="G56" s="437"/>
      <c r="H56" s="437"/>
      <c r="I56" s="437"/>
      <c r="J56" s="437"/>
      <c r="K56" s="437"/>
      <c r="L56" s="437"/>
      <c r="M56" s="438"/>
      <c r="N56" s="251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55"/>
      <c r="D57" s="252"/>
      <c r="E57" s="255"/>
      <c r="F57" s="437"/>
      <c r="G57" s="437"/>
      <c r="H57" s="437"/>
      <c r="I57" s="437"/>
      <c r="J57" s="437"/>
      <c r="K57" s="437"/>
      <c r="L57" s="437"/>
      <c r="M57" s="438"/>
      <c r="N57" s="251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55"/>
      <c r="D58" s="252"/>
      <c r="E58" s="255"/>
      <c r="F58" s="437"/>
      <c r="G58" s="437"/>
      <c r="H58" s="437"/>
      <c r="I58" s="437"/>
      <c r="J58" s="437"/>
      <c r="K58" s="437"/>
      <c r="L58" s="437"/>
      <c r="M58" s="438"/>
      <c r="N58" s="251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52"/>
      <c r="D59" s="252"/>
      <c r="E59" s="252"/>
      <c r="F59" s="437"/>
      <c r="G59" s="437"/>
      <c r="H59" s="437"/>
      <c r="I59" s="437"/>
      <c r="J59" s="437"/>
      <c r="K59" s="437"/>
      <c r="L59" s="437"/>
      <c r="M59" s="438"/>
      <c r="N59" s="251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54"/>
      <c r="D60" s="254"/>
      <c r="E60" s="254"/>
      <c r="F60" s="443"/>
      <c r="G60" s="443"/>
      <c r="H60" s="443"/>
      <c r="I60" s="443"/>
      <c r="J60" s="443"/>
      <c r="K60" s="443"/>
      <c r="L60" s="443"/>
      <c r="M60" s="444"/>
      <c r="N60" s="253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639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56" t="s">
        <v>2</v>
      </c>
      <c r="D62" s="256" t="s">
        <v>38</v>
      </c>
      <c r="E62" s="256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56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557</v>
      </c>
      <c r="D63" s="259"/>
      <c r="E63" s="257" t="s">
        <v>58</v>
      </c>
      <c r="F63" s="456" t="s">
        <v>596</v>
      </c>
      <c r="G63" s="457"/>
      <c r="H63" s="457"/>
      <c r="I63" s="457"/>
      <c r="J63" s="457"/>
      <c r="K63" s="457">
        <v>7301</v>
      </c>
      <c r="L63" s="457"/>
      <c r="M63" s="54" t="s">
        <v>597</v>
      </c>
      <c r="N63" s="457">
        <v>9</v>
      </c>
      <c r="O63" s="457"/>
      <c r="P63" s="458"/>
      <c r="Q63" s="458"/>
      <c r="R63" s="437" t="s">
        <v>291</v>
      </c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/>
      <c r="D64" s="259"/>
      <c r="E64" s="257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259"/>
      <c r="E65" s="257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259"/>
      <c r="E66" s="257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59"/>
      <c r="E67" s="257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59"/>
      <c r="E68" s="257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59"/>
      <c r="E69" s="257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59"/>
      <c r="E70" s="257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640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58" t="s">
        <v>2</v>
      </c>
      <c r="D72" s="258" t="s">
        <v>38</v>
      </c>
      <c r="E72" s="258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60" t="s">
        <v>118</v>
      </c>
      <c r="D73" s="260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59" t="s">
        <v>118</v>
      </c>
      <c r="D74" s="259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59" t="s">
        <v>163</v>
      </c>
      <c r="D75" s="259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59" t="s">
        <v>119</v>
      </c>
      <c r="D76" s="259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59"/>
      <c r="D77" s="259"/>
      <c r="E77" s="35"/>
      <c r="F77" s="468"/>
      <c r="G77" s="468"/>
      <c r="H77" s="468"/>
      <c r="I77" s="468"/>
      <c r="J77" s="468"/>
      <c r="K77" s="469"/>
      <c r="L77" s="470"/>
      <c r="M77" s="470"/>
      <c r="N77" s="470"/>
      <c r="O77" s="470"/>
      <c r="P77" s="470"/>
      <c r="Q77" s="470"/>
      <c r="R77" s="470"/>
      <c r="S77" s="471"/>
      <c r="T77" s="472"/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59"/>
      <c r="D78" s="259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59"/>
      <c r="D79" s="259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59"/>
      <c r="D80" s="259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59"/>
      <c r="D81" s="259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641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646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72" t="s">
        <v>17</v>
      </c>
      <c r="L5" s="272" t="s">
        <v>18</v>
      </c>
      <c r="M5" s="272" t="s">
        <v>19</v>
      </c>
      <c r="N5" s="2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0.41361385576692983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119</v>
      </c>
      <c r="D7" s="55" t="s">
        <v>647</v>
      </c>
      <c r="E7" s="56" t="s">
        <v>648</v>
      </c>
      <c r="F7" s="12" t="s">
        <v>649</v>
      </c>
      <c r="G7" s="36">
        <v>2</v>
      </c>
      <c r="H7" s="38">
        <v>25</v>
      </c>
      <c r="I7" s="7">
        <v>30000</v>
      </c>
      <c r="J7" s="14">
        <v>6520</v>
      </c>
      <c r="K7" s="15">
        <f>L7</f>
        <v>6516</v>
      </c>
      <c r="L7" s="15">
        <f>3258*2</f>
        <v>6516</v>
      </c>
      <c r="M7" s="16">
        <f t="shared" si="0"/>
        <v>6516</v>
      </c>
      <c r="N7" s="16">
        <v>0</v>
      </c>
      <c r="O7" s="62">
        <f t="shared" si="1"/>
        <v>0</v>
      </c>
      <c r="P7" s="42">
        <f t="shared" si="2"/>
        <v>17</v>
      </c>
      <c r="Q7" s="43">
        <f t="shared" si="3"/>
        <v>7</v>
      </c>
      <c r="R7" s="7"/>
      <c r="S7" s="6"/>
      <c r="T7" s="17">
        <v>7</v>
      </c>
      <c r="U7" s="17"/>
      <c r="V7" s="18"/>
      <c r="W7" s="19"/>
      <c r="X7" s="17"/>
      <c r="Y7" s="20"/>
      <c r="Z7" s="20"/>
      <c r="AA7" s="21"/>
      <c r="AB7" s="8">
        <f t="shared" si="4"/>
        <v>0.99938650306748467</v>
      </c>
      <c r="AC7" s="9">
        <f t="shared" si="5"/>
        <v>0.70833333333333337</v>
      </c>
      <c r="AD7" s="10">
        <f t="shared" si="6"/>
        <v>0.70789877300613502</v>
      </c>
      <c r="AE7" s="39">
        <f t="shared" si="7"/>
        <v>0.41361385576692983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4940</v>
      </c>
      <c r="K8" s="15">
        <f>L8+562+3624+3000+2279+2723+3016+4670+4950+6437+5255+6162+3810</f>
        <v>51419</v>
      </c>
      <c r="L8" s="15">
        <f>2551+2380</f>
        <v>4931</v>
      </c>
      <c r="M8" s="16">
        <f t="shared" si="0"/>
        <v>4931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0.99817813765182184</v>
      </c>
      <c r="AC8" s="9">
        <f t="shared" si="5"/>
        <v>1</v>
      </c>
      <c r="AD8" s="10">
        <f t="shared" si="6"/>
        <v>0.99817813765182184</v>
      </c>
      <c r="AE8" s="39">
        <f t="shared" si="7"/>
        <v>0.41361385576692983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37" t="s">
        <v>503</v>
      </c>
      <c r="D9" s="55" t="s">
        <v>194</v>
      </c>
      <c r="E9" s="57" t="s">
        <v>505</v>
      </c>
      <c r="F9" s="12">
        <v>7301</v>
      </c>
      <c r="G9" s="12">
        <v>1</v>
      </c>
      <c r="H9" s="13">
        <v>25</v>
      </c>
      <c r="I9" s="34">
        <v>30000</v>
      </c>
      <c r="J9" s="5">
        <v>5170</v>
      </c>
      <c r="K9" s="15">
        <f>L9+1423+2759+3607+1099</f>
        <v>14057</v>
      </c>
      <c r="L9" s="15">
        <f>2997+2172</f>
        <v>5169</v>
      </c>
      <c r="M9" s="16">
        <f t="shared" si="0"/>
        <v>5169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0.99980657640232107</v>
      </c>
      <c r="AC9" s="9">
        <f t="shared" si="5"/>
        <v>1</v>
      </c>
      <c r="AD9" s="10">
        <f t="shared" si="6"/>
        <v>0.99980657640232107</v>
      </c>
      <c r="AE9" s="39">
        <f t="shared" si="7"/>
        <v>0.41361385576692983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163</v>
      </c>
      <c r="D10" s="55" t="s">
        <v>507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30000</v>
      </c>
      <c r="J10" s="14">
        <v>4150</v>
      </c>
      <c r="K10" s="15">
        <f>L10+4291+3710+5240+2559</f>
        <v>19947</v>
      </c>
      <c r="L10" s="15">
        <f>3164+983</f>
        <v>4147</v>
      </c>
      <c r="M10" s="16">
        <f t="shared" si="0"/>
        <v>4147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0.99927710843373496</v>
      </c>
      <c r="AC10" s="9">
        <f t="shared" si="5"/>
        <v>0.79166666666666663</v>
      </c>
      <c r="AD10" s="10">
        <f t="shared" si="6"/>
        <v>0.79109437751004019</v>
      </c>
      <c r="AE10" s="39">
        <f t="shared" si="7"/>
        <v>0.41361385576692983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150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0.41361385576692983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130</v>
      </c>
      <c r="F12" s="12" t="s">
        <v>128</v>
      </c>
      <c r="G12" s="12">
        <v>1</v>
      </c>
      <c r="H12" s="13">
        <v>25</v>
      </c>
      <c r="I12" s="7">
        <v>30000</v>
      </c>
      <c r="J12" s="14">
        <v>310</v>
      </c>
      <c r="K12" s="15">
        <f>L12+3682+4975+4606</f>
        <v>13573</v>
      </c>
      <c r="L12" s="15">
        <v>310</v>
      </c>
      <c r="M12" s="16">
        <f t="shared" si="0"/>
        <v>310</v>
      </c>
      <c r="N12" s="16">
        <v>0</v>
      </c>
      <c r="O12" s="62">
        <f t="shared" si="1"/>
        <v>0</v>
      </c>
      <c r="P12" s="42">
        <f t="shared" si="2"/>
        <v>3</v>
      </c>
      <c r="Q12" s="43">
        <f t="shared" si="3"/>
        <v>21</v>
      </c>
      <c r="R12" s="7"/>
      <c r="S12" s="6"/>
      <c r="T12" s="17"/>
      <c r="U12" s="17"/>
      <c r="V12" s="18"/>
      <c r="W12" s="19">
        <v>21</v>
      </c>
      <c r="X12" s="17"/>
      <c r="Y12" s="20"/>
      <c r="Z12" s="20"/>
      <c r="AA12" s="21"/>
      <c r="AB12" s="8">
        <f t="shared" si="4"/>
        <v>1</v>
      </c>
      <c r="AC12" s="9">
        <f t="shared" si="5"/>
        <v>0.125</v>
      </c>
      <c r="AD12" s="10">
        <f t="shared" si="6"/>
        <v>0.125</v>
      </c>
      <c r="AE12" s="39">
        <f t="shared" si="7"/>
        <v>0.41361385576692983</v>
      </c>
      <c r="AF12" s="94">
        <f t="shared" si="8"/>
        <v>7</v>
      </c>
    </row>
    <row r="13" spans="1:32" ht="27" customHeight="1">
      <c r="A13" s="110">
        <v>7</v>
      </c>
      <c r="B13" s="11" t="s">
        <v>59</v>
      </c>
      <c r="C13" s="11" t="s">
        <v>118</v>
      </c>
      <c r="D13" s="55" t="s">
        <v>122</v>
      </c>
      <c r="E13" s="57" t="s">
        <v>650</v>
      </c>
      <c r="F13" s="12" t="s">
        <v>128</v>
      </c>
      <c r="G13" s="12">
        <v>1</v>
      </c>
      <c r="H13" s="13">
        <v>25</v>
      </c>
      <c r="I13" s="7">
        <v>1000</v>
      </c>
      <c r="J13" s="14">
        <v>1620</v>
      </c>
      <c r="K13" s="15">
        <f>L13</f>
        <v>1617</v>
      </c>
      <c r="L13" s="15">
        <v>1617</v>
      </c>
      <c r="M13" s="16">
        <f t="shared" ref="M13" si="9">L13-N13</f>
        <v>1617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11</v>
      </c>
      <c r="Q13" s="43">
        <f t="shared" ref="Q13" si="12">SUM(R13:AA13)</f>
        <v>13</v>
      </c>
      <c r="R13" s="7"/>
      <c r="S13" s="6">
        <v>13</v>
      </c>
      <c r="T13" s="17"/>
      <c r="U13" s="17"/>
      <c r="V13" s="18"/>
      <c r="W13" s="19"/>
      <c r="X13" s="17"/>
      <c r="Y13" s="20"/>
      <c r="Z13" s="20"/>
      <c r="AA13" s="21"/>
      <c r="AB13" s="8">
        <f t="shared" ref="AB13" si="13">IF(J13=0,"0",(L13/J13))</f>
        <v>0.99814814814814812</v>
      </c>
      <c r="AC13" s="9">
        <f t="shared" ref="AC13" si="14">IF(P13=0,"0",(P13/24))</f>
        <v>0.45833333333333331</v>
      </c>
      <c r="AD13" s="10">
        <f t="shared" ref="AD13" si="15">AC13*AB13*(1-O13)</f>
        <v>0.45748456790123454</v>
      </c>
      <c r="AE13" s="39">
        <f t="shared" si="7"/>
        <v>0.41361385576692983</v>
      </c>
      <c r="AF13" s="94">
        <f t="shared" ref="AF13" si="16">A13</f>
        <v>7</v>
      </c>
    </row>
    <row r="14" spans="1:32" ht="27" customHeight="1">
      <c r="A14" s="110">
        <v>8</v>
      </c>
      <c r="B14" s="11" t="s">
        <v>59</v>
      </c>
      <c r="C14" s="11" t="s">
        <v>442</v>
      </c>
      <c r="D14" s="55" t="s">
        <v>286</v>
      </c>
      <c r="E14" s="57" t="s">
        <v>461</v>
      </c>
      <c r="F14" s="12" t="s">
        <v>462</v>
      </c>
      <c r="G14" s="12">
        <v>2</v>
      </c>
      <c r="H14" s="13">
        <v>35</v>
      </c>
      <c r="I14" s="7">
        <v>3000</v>
      </c>
      <c r="J14" s="14">
        <v>6080</v>
      </c>
      <c r="K14" s="15">
        <f>L14+6074</f>
        <v>6074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0.41361385576692983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58</v>
      </c>
      <c r="E15" s="57" t="s">
        <v>281</v>
      </c>
      <c r="F15" s="33" t="s">
        <v>282</v>
      </c>
      <c r="G15" s="36">
        <v>1</v>
      </c>
      <c r="H15" s="38">
        <v>40</v>
      </c>
      <c r="I15" s="7">
        <v>200</v>
      </c>
      <c r="J15" s="5">
        <v>260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0.41361385576692983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148</v>
      </c>
      <c r="E16" s="57" t="s">
        <v>631</v>
      </c>
      <c r="F16" s="12" t="s">
        <v>162</v>
      </c>
      <c r="G16" s="12">
        <v>1</v>
      </c>
      <c r="H16" s="13">
        <v>25</v>
      </c>
      <c r="I16" s="34">
        <v>2500</v>
      </c>
      <c r="J16" s="14">
        <v>2810</v>
      </c>
      <c r="K16" s="15">
        <f>L16+2807</f>
        <v>2807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0.41361385576692983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119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30000</v>
      </c>
      <c r="J17" s="14">
        <v>5380</v>
      </c>
      <c r="K17" s="15">
        <f>L17+2188+5991+4312+1728+3861</f>
        <v>23459</v>
      </c>
      <c r="L17" s="15">
        <f>2672+2707</f>
        <v>5379</v>
      </c>
      <c r="M17" s="16">
        <f t="shared" si="0"/>
        <v>5379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0.99981412639405209</v>
      </c>
      <c r="AC17" s="9">
        <f t="shared" si="5"/>
        <v>1</v>
      </c>
      <c r="AD17" s="10">
        <f t="shared" si="6"/>
        <v>0.99981412639405209</v>
      </c>
      <c r="AE17" s="39">
        <f t="shared" si="7"/>
        <v>0.41361385576692983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118</v>
      </c>
      <c r="D18" s="55" t="s">
        <v>584</v>
      </c>
      <c r="E18" s="56" t="s">
        <v>588</v>
      </c>
      <c r="F18" s="12">
        <v>8301</v>
      </c>
      <c r="G18" s="12">
        <v>1</v>
      </c>
      <c r="H18" s="13">
        <v>25</v>
      </c>
      <c r="I18" s="34">
        <v>1000</v>
      </c>
      <c r="J18" s="5">
        <v>1570</v>
      </c>
      <c r="K18" s="15">
        <f>L18+1567</f>
        <v>1567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0.41361385576692983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557</v>
      </c>
      <c r="D19" s="55" t="s">
        <v>558</v>
      </c>
      <c r="E19" s="57" t="s">
        <v>559</v>
      </c>
      <c r="F19" s="33" t="s">
        <v>560</v>
      </c>
      <c r="G19" s="12">
        <v>1</v>
      </c>
      <c r="H19" s="13">
        <v>25</v>
      </c>
      <c r="I19" s="34">
        <v>30000</v>
      </c>
      <c r="J19" s="5">
        <v>500</v>
      </c>
      <c r="K19" s="15">
        <f>L19+2956+5544+5504</f>
        <v>14504</v>
      </c>
      <c r="L19" s="15">
        <v>500</v>
      </c>
      <c r="M19" s="16">
        <f t="shared" si="0"/>
        <v>500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0.16666666666666666</v>
      </c>
      <c r="AD19" s="10">
        <f t="shared" si="6"/>
        <v>0.16666666666666666</v>
      </c>
      <c r="AE19" s="39">
        <f t="shared" si="7"/>
        <v>0.41361385576692983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119</v>
      </c>
      <c r="D20" s="55" t="s">
        <v>58</v>
      </c>
      <c r="E20" s="57" t="s">
        <v>143</v>
      </c>
      <c r="F20" s="33" t="s">
        <v>147</v>
      </c>
      <c r="G20" s="36">
        <v>1</v>
      </c>
      <c r="H20" s="38">
        <v>25</v>
      </c>
      <c r="I20" s="7">
        <v>30000</v>
      </c>
      <c r="J20" s="5">
        <v>1960</v>
      </c>
      <c r="K20" s="15">
        <f>L20+4545+5031+1956</f>
        <v>11532</v>
      </c>
      <c r="L20" s="15"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0.41361385576692983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394</v>
      </c>
      <c r="F21" s="12" t="s">
        <v>117</v>
      </c>
      <c r="G21" s="12">
        <v>4</v>
      </c>
      <c r="H21" s="38">
        <v>20</v>
      </c>
      <c r="I21" s="7">
        <v>200000</v>
      </c>
      <c r="J21" s="14">
        <v>55780</v>
      </c>
      <c r="K21" s="15">
        <f>L21+45088+61368+43536</f>
        <v>205768</v>
      </c>
      <c r="L21" s="15">
        <f>8512*4+5432*4</f>
        <v>55776</v>
      </c>
      <c r="M21" s="16">
        <f t="shared" si="0"/>
        <v>55776</v>
      </c>
      <c r="N21" s="16">
        <v>0</v>
      </c>
      <c r="O21" s="62">
        <f t="shared" si="1"/>
        <v>0</v>
      </c>
      <c r="P21" s="42">
        <f t="shared" si="2"/>
        <v>23</v>
      </c>
      <c r="Q21" s="43">
        <f t="shared" si="3"/>
        <v>1</v>
      </c>
      <c r="R21" s="7"/>
      <c r="S21" s="6"/>
      <c r="T21" s="17">
        <v>1</v>
      </c>
      <c r="U21" s="17"/>
      <c r="V21" s="18"/>
      <c r="W21" s="19"/>
      <c r="X21" s="17"/>
      <c r="Y21" s="20"/>
      <c r="Z21" s="20"/>
      <c r="AA21" s="21"/>
      <c r="AB21" s="8">
        <f t="shared" si="4"/>
        <v>0.99992828970957337</v>
      </c>
      <c r="AC21" s="9">
        <f t="shared" si="5"/>
        <v>0.95833333333333337</v>
      </c>
      <c r="AD21" s="10">
        <f t="shared" si="6"/>
        <v>0.95826461097167448</v>
      </c>
      <c r="AE21" s="39">
        <f t="shared" si="7"/>
        <v>0.41361385576692983</v>
      </c>
      <c r="AF21" s="94">
        <f t="shared" si="8"/>
        <v>15</v>
      </c>
    </row>
    <row r="22" spans="1:36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5">
        <f t="shared" ref="I22:N22" si="17">SUM(I6:I21)</f>
        <v>463700</v>
      </c>
      <c r="J22" s="22">
        <f t="shared" si="17"/>
        <v>100350</v>
      </c>
      <c r="K22" s="23">
        <f t="shared" si="17"/>
        <v>379660</v>
      </c>
      <c r="L22" s="24">
        <f t="shared" si="17"/>
        <v>84345</v>
      </c>
      <c r="M22" s="23">
        <f t="shared" si="17"/>
        <v>84345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149</v>
      </c>
      <c r="Q22" s="46">
        <f t="shared" si="18"/>
        <v>235</v>
      </c>
      <c r="R22" s="26">
        <f t="shared" si="18"/>
        <v>24</v>
      </c>
      <c r="S22" s="27">
        <f t="shared" si="18"/>
        <v>86</v>
      </c>
      <c r="T22" s="27">
        <f t="shared" si="18"/>
        <v>8</v>
      </c>
      <c r="U22" s="27">
        <f t="shared" si="18"/>
        <v>0</v>
      </c>
      <c r="V22" s="28">
        <f t="shared" si="18"/>
        <v>0</v>
      </c>
      <c r="W22" s="29">
        <f t="shared" si="18"/>
        <v>117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0.59963592598714244</v>
      </c>
      <c r="AC22" s="4">
        <f>SUM(AC6:AC21)/15</f>
        <v>0.41388888888888886</v>
      </c>
      <c r="AD22" s="4">
        <f>SUM(AD6:AD21)/15</f>
        <v>0.41361385576692983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1" t="s">
        <v>46</v>
      </c>
      <c r="B49" s="411"/>
      <c r="C49" s="411"/>
      <c r="D49" s="411"/>
      <c r="E49" s="41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2" t="s">
        <v>651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661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271" t="s">
        <v>47</v>
      </c>
      <c r="D51" s="271" t="s">
        <v>48</v>
      </c>
      <c r="E51" s="271" t="s">
        <v>110</v>
      </c>
      <c r="F51" s="419" t="s">
        <v>109</v>
      </c>
      <c r="G51" s="419"/>
      <c r="H51" s="419"/>
      <c r="I51" s="419"/>
      <c r="J51" s="419"/>
      <c r="K51" s="419"/>
      <c r="L51" s="419"/>
      <c r="M51" s="420"/>
      <c r="N51" s="73" t="s">
        <v>114</v>
      </c>
      <c r="O51" s="271" t="s">
        <v>47</v>
      </c>
      <c r="P51" s="421" t="s">
        <v>48</v>
      </c>
      <c r="Q51" s="422"/>
      <c r="R51" s="421" t="s">
        <v>39</v>
      </c>
      <c r="S51" s="423"/>
      <c r="T51" s="423"/>
      <c r="U51" s="422"/>
      <c r="V51" s="421" t="s">
        <v>49</v>
      </c>
      <c r="W51" s="423"/>
      <c r="X51" s="423"/>
      <c r="Y51" s="423"/>
      <c r="Z51" s="423"/>
      <c r="AA51" s="423"/>
      <c r="AB51" s="423"/>
      <c r="AC51" s="423"/>
      <c r="AD51" s="424"/>
    </row>
    <row r="52" spans="1:32" ht="27" customHeight="1">
      <c r="A52" s="435" t="s">
        <v>617</v>
      </c>
      <c r="B52" s="436"/>
      <c r="C52" s="267" t="s">
        <v>652</v>
      </c>
      <c r="D52" s="267" t="s">
        <v>647</v>
      </c>
      <c r="E52" s="270" t="s">
        <v>653</v>
      </c>
      <c r="F52" s="437" t="s">
        <v>654</v>
      </c>
      <c r="G52" s="437"/>
      <c r="H52" s="437"/>
      <c r="I52" s="437"/>
      <c r="J52" s="437"/>
      <c r="K52" s="437"/>
      <c r="L52" s="437"/>
      <c r="M52" s="438"/>
      <c r="N52" s="266" t="s">
        <v>662</v>
      </c>
      <c r="O52" s="74" t="s">
        <v>142</v>
      </c>
      <c r="P52" s="436" t="s">
        <v>663</v>
      </c>
      <c r="Q52" s="436"/>
      <c r="R52" s="436" t="s">
        <v>664</v>
      </c>
      <c r="S52" s="436"/>
      <c r="T52" s="436"/>
      <c r="U52" s="436"/>
      <c r="V52" s="437" t="s">
        <v>654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35" t="s">
        <v>557</v>
      </c>
      <c r="B53" s="436"/>
      <c r="C53" s="267" t="s">
        <v>160</v>
      </c>
      <c r="D53" s="267" t="s">
        <v>621</v>
      </c>
      <c r="E53" s="270" t="s">
        <v>505</v>
      </c>
      <c r="F53" s="437" t="s">
        <v>655</v>
      </c>
      <c r="G53" s="437"/>
      <c r="H53" s="437"/>
      <c r="I53" s="437"/>
      <c r="J53" s="437"/>
      <c r="K53" s="437"/>
      <c r="L53" s="437"/>
      <c r="M53" s="438"/>
      <c r="N53" s="266" t="s">
        <v>642</v>
      </c>
      <c r="O53" s="74" t="s">
        <v>245</v>
      </c>
      <c r="P53" s="439" t="s">
        <v>643</v>
      </c>
      <c r="Q53" s="440"/>
      <c r="R53" s="436" t="s">
        <v>484</v>
      </c>
      <c r="S53" s="436"/>
      <c r="T53" s="436"/>
      <c r="U53" s="436"/>
      <c r="V53" s="437" t="s">
        <v>196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35" t="s">
        <v>642</v>
      </c>
      <c r="B54" s="436"/>
      <c r="C54" s="267" t="s">
        <v>245</v>
      </c>
      <c r="D54" s="267" t="s">
        <v>644</v>
      </c>
      <c r="E54" s="270" t="s">
        <v>645</v>
      </c>
      <c r="F54" s="437" t="s">
        <v>656</v>
      </c>
      <c r="G54" s="437"/>
      <c r="H54" s="437"/>
      <c r="I54" s="437"/>
      <c r="J54" s="437"/>
      <c r="K54" s="437"/>
      <c r="L54" s="437"/>
      <c r="M54" s="438"/>
      <c r="N54" s="266" t="s">
        <v>119</v>
      </c>
      <c r="O54" s="74" t="s">
        <v>665</v>
      </c>
      <c r="P54" s="439" t="s">
        <v>666</v>
      </c>
      <c r="Q54" s="440"/>
      <c r="R54" s="436" t="s">
        <v>667</v>
      </c>
      <c r="S54" s="436"/>
      <c r="T54" s="436"/>
      <c r="U54" s="436"/>
      <c r="V54" s="437" t="s">
        <v>668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119</v>
      </c>
      <c r="B55" s="446"/>
      <c r="C55" s="270" t="s">
        <v>625</v>
      </c>
      <c r="D55" s="267" t="s">
        <v>626</v>
      </c>
      <c r="E55" s="270" t="s">
        <v>627</v>
      </c>
      <c r="F55" s="437" t="s">
        <v>657</v>
      </c>
      <c r="G55" s="437"/>
      <c r="H55" s="437"/>
      <c r="I55" s="437"/>
      <c r="J55" s="437"/>
      <c r="K55" s="437"/>
      <c r="L55" s="437"/>
      <c r="M55" s="438"/>
      <c r="N55" s="266" t="s">
        <v>119</v>
      </c>
      <c r="O55" s="74" t="s">
        <v>669</v>
      </c>
      <c r="P55" s="439" t="s">
        <v>670</v>
      </c>
      <c r="Q55" s="440"/>
      <c r="R55" s="436" t="s">
        <v>671</v>
      </c>
      <c r="S55" s="436"/>
      <c r="T55" s="436"/>
      <c r="U55" s="436"/>
      <c r="V55" s="437" t="s">
        <v>654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118</v>
      </c>
      <c r="B56" s="436"/>
      <c r="C56" s="267" t="s">
        <v>658</v>
      </c>
      <c r="D56" s="267" t="s">
        <v>659</v>
      </c>
      <c r="E56" s="270" t="s">
        <v>650</v>
      </c>
      <c r="F56" s="437" t="s">
        <v>660</v>
      </c>
      <c r="G56" s="437"/>
      <c r="H56" s="437"/>
      <c r="I56" s="437"/>
      <c r="J56" s="437"/>
      <c r="K56" s="437"/>
      <c r="L56" s="437"/>
      <c r="M56" s="438"/>
      <c r="N56" s="266" t="s">
        <v>119</v>
      </c>
      <c r="O56" s="74" t="s">
        <v>672</v>
      </c>
      <c r="P56" s="439" t="s">
        <v>673</v>
      </c>
      <c r="Q56" s="440"/>
      <c r="R56" s="436" t="s">
        <v>143</v>
      </c>
      <c r="S56" s="436"/>
      <c r="T56" s="436"/>
      <c r="U56" s="436"/>
      <c r="V56" s="437" t="s">
        <v>674</v>
      </c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35"/>
      <c r="B57" s="436"/>
      <c r="C57" s="267"/>
      <c r="D57" s="267"/>
      <c r="E57" s="270"/>
      <c r="F57" s="437"/>
      <c r="G57" s="437"/>
      <c r="H57" s="437"/>
      <c r="I57" s="437"/>
      <c r="J57" s="437"/>
      <c r="K57" s="437"/>
      <c r="L57" s="437"/>
      <c r="M57" s="438"/>
      <c r="N57" s="266"/>
      <c r="O57" s="74"/>
      <c r="P57" s="436"/>
      <c r="Q57" s="436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70"/>
      <c r="D58" s="267"/>
      <c r="E58" s="270"/>
      <c r="F58" s="437"/>
      <c r="G58" s="437"/>
      <c r="H58" s="437"/>
      <c r="I58" s="437"/>
      <c r="J58" s="437"/>
      <c r="K58" s="437"/>
      <c r="L58" s="437"/>
      <c r="M58" s="438"/>
      <c r="N58" s="266"/>
      <c r="O58" s="74"/>
      <c r="P58" s="439"/>
      <c r="Q58" s="440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/>
      <c r="B59" s="446"/>
      <c r="C59" s="270"/>
      <c r="D59" s="267"/>
      <c r="E59" s="270"/>
      <c r="F59" s="437"/>
      <c r="G59" s="437"/>
      <c r="H59" s="437"/>
      <c r="I59" s="437"/>
      <c r="J59" s="437"/>
      <c r="K59" s="437"/>
      <c r="L59" s="437"/>
      <c r="M59" s="438"/>
      <c r="N59" s="266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35"/>
      <c r="B60" s="436"/>
      <c r="C60" s="267"/>
      <c r="D60" s="267"/>
      <c r="E60" s="267"/>
      <c r="F60" s="437"/>
      <c r="G60" s="437"/>
      <c r="H60" s="437"/>
      <c r="I60" s="437"/>
      <c r="J60" s="437"/>
      <c r="K60" s="437"/>
      <c r="L60" s="437"/>
      <c r="M60" s="438"/>
      <c r="N60" s="266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  <c r="AF60" s="94">
        <f>8*3000</f>
        <v>24000</v>
      </c>
    </row>
    <row r="61" spans="1:32" ht="27" customHeight="1" thickBot="1">
      <c r="A61" s="441"/>
      <c r="B61" s="442"/>
      <c r="C61" s="269"/>
      <c r="D61" s="269"/>
      <c r="E61" s="269"/>
      <c r="F61" s="443"/>
      <c r="G61" s="443"/>
      <c r="H61" s="443"/>
      <c r="I61" s="443"/>
      <c r="J61" s="443"/>
      <c r="K61" s="443"/>
      <c r="L61" s="443"/>
      <c r="M61" s="444"/>
      <c r="N61" s="268"/>
      <c r="O61" s="121"/>
      <c r="P61" s="442"/>
      <c r="Q61" s="442"/>
      <c r="R61" s="442"/>
      <c r="S61" s="442"/>
      <c r="T61" s="442"/>
      <c r="U61" s="442"/>
      <c r="V61" s="443"/>
      <c r="W61" s="443"/>
      <c r="X61" s="443"/>
      <c r="Y61" s="443"/>
      <c r="Z61" s="443"/>
      <c r="AA61" s="443"/>
      <c r="AB61" s="443"/>
      <c r="AC61" s="443"/>
      <c r="AD61" s="444"/>
      <c r="AF61" s="94">
        <f>16*3000</f>
        <v>48000</v>
      </c>
    </row>
    <row r="62" spans="1:32" ht="27.75" thickBot="1">
      <c r="A62" s="447" t="s">
        <v>675</v>
      </c>
      <c r="B62" s="447"/>
      <c r="C62" s="447"/>
      <c r="D62" s="447"/>
      <c r="E62" s="44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8" t="s">
        <v>115</v>
      </c>
      <c r="B63" s="449"/>
      <c r="C63" s="265" t="s">
        <v>2</v>
      </c>
      <c r="D63" s="265" t="s">
        <v>38</v>
      </c>
      <c r="E63" s="265" t="s">
        <v>3</v>
      </c>
      <c r="F63" s="449" t="s">
        <v>112</v>
      </c>
      <c r="G63" s="449"/>
      <c r="H63" s="449"/>
      <c r="I63" s="449"/>
      <c r="J63" s="449"/>
      <c r="K63" s="449" t="s">
        <v>40</v>
      </c>
      <c r="L63" s="449"/>
      <c r="M63" s="265" t="s">
        <v>41</v>
      </c>
      <c r="N63" s="449" t="s">
        <v>42</v>
      </c>
      <c r="O63" s="449"/>
      <c r="P63" s="450" t="s">
        <v>43</v>
      </c>
      <c r="Q63" s="451"/>
      <c r="R63" s="450" t="s">
        <v>44</v>
      </c>
      <c r="S63" s="452"/>
      <c r="T63" s="452"/>
      <c r="U63" s="452"/>
      <c r="V63" s="452"/>
      <c r="W63" s="452"/>
      <c r="X63" s="452"/>
      <c r="Y63" s="452"/>
      <c r="Z63" s="452"/>
      <c r="AA63" s="451"/>
      <c r="AB63" s="449" t="s">
        <v>45</v>
      </c>
      <c r="AC63" s="449"/>
      <c r="AD63" s="453"/>
      <c r="AF63" s="94">
        <f>SUM(AF60:AF62)</f>
        <v>96000</v>
      </c>
    </row>
    <row r="64" spans="1:32" ht="25.5" customHeight="1">
      <c r="A64" s="454">
        <v>1</v>
      </c>
      <c r="B64" s="455"/>
      <c r="C64" s="124" t="s">
        <v>118</v>
      </c>
      <c r="D64" s="261"/>
      <c r="E64" s="263" t="s">
        <v>676</v>
      </c>
      <c r="F64" s="456" t="s">
        <v>677</v>
      </c>
      <c r="G64" s="457"/>
      <c r="H64" s="457"/>
      <c r="I64" s="457"/>
      <c r="J64" s="457"/>
      <c r="K64" s="457" t="s">
        <v>678</v>
      </c>
      <c r="L64" s="457"/>
      <c r="M64" s="54" t="s">
        <v>679</v>
      </c>
      <c r="N64" s="457" t="s">
        <v>680</v>
      </c>
      <c r="O64" s="457"/>
      <c r="P64" s="458">
        <v>50</v>
      </c>
      <c r="Q64" s="458"/>
      <c r="R64" s="437" t="s">
        <v>687</v>
      </c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2</v>
      </c>
      <c r="B65" s="455"/>
      <c r="C65" s="124" t="s">
        <v>118</v>
      </c>
      <c r="D65" s="261"/>
      <c r="E65" s="263" t="s">
        <v>681</v>
      </c>
      <c r="F65" s="456" t="s">
        <v>682</v>
      </c>
      <c r="G65" s="457"/>
      <c r="H65" s="457"/>
      <c r="I65" s="457"/>
      <c r="J65" s="457"/>
      <c r="K65" s="457" t="s">
        <v>683</v>
      </c>
      <c r="L65" s="457"/>
      <c r="M65" s="54" t="s">
        <v>679</v>
      </c>
      <c r="N65" s="457">
        <v>6</v>
      </c>
      <c r="O65" s="457"/>
      <c r="P65" s="458"/>
      <c r="Q65" s="458"/>
      <c r="R65" s="437" t="s">
        <v>684</v>
      </c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3</v>
      </c>
      <c r="B66" s="455"/>
      <c r="C66" s="124" t="s">
        <v>118</v>
      </c>
      <c r="D66" s="261"/>
      <c r="E66" s="263" t="s">
        <v>673</v>
      </c>
      <c r="F66" s="456" t="s">
        <v>685</v>
      </c>
      <c r="G66" s="457"/>
      <c r="H66" s="457"/>
      <c r="I66" s="457"/>
      <c r="J66" s="457"/>
      <c r="K66" s="457" t="s">
        <v>686</v>
      </c>
      <c r="L66" s="457"/>
      <c r="M66" s="54" t="s">
        <v>679</v>
      </c>
      <c r="N66" s="457">
        <v>8</v>
      </c>
      <c r="O66" s="457"/>
      <c r="P66" s="458"/>
      <c r="Q66" s="458"/>
      <c r="R66" s="437" t="s">
        <v>684</v>
      </c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4</v>
      </c>
      <c r="B67" s="455"/>
      <c r="C67" s="124" t="s">
        <v>118</v>
      </c>
      <c r="D67" s="261"/>
      <c r="E67" s="263" t="s">
        <v>58</v>
      </c>
      <c r="F67" s="456" t="s">
        <v>688</v>
      </c>
      <c r="G67" s="457"/>
      <c r="H67" s="457"/>
      <c r="I67" s="457"/>
      <c r="J67" s="457"/>
      <c r="K67" s="457" t="s">
        <v>689</v>
      </c>
      <c r="L67" s="457"/>
      <c r="M67" s="54" t="s">
        <v>690</v>
      </c>
      <c r="N67" s="457">
        <v>9</v>
      </c>
      <c r="O67" s="457"/>
      <c r="P67" s="458">
        <v>10</v>
      </c>
      <c r="Q67" s="458"/>
      <c r="R67" s="437" t="s">
        <v>691</v>
      </c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5</v>
      </c>
      <c r="B68" s="455"/>
      <c r="C68" s="124" t="s">
        <v>692</v>
      </c>
      <c r="D68" s="261"/>
      <c r="E68" s="263" t="s">
        <v>693</v>
      </c>
      <c r="F68" s="456" t="s">
        <v>694</v>
      </c>
      <c r="G68" s="457"/>
      <c r="H68" s="457"/>
      <c r="I68" s="457"/>
      <c r="J68" s="457"/>
      <c r="K68" s="457" t="s">
        <v>695</v>
      </c>
      <c r="L68" s="457"/>
      <c r="M68" s="54" t="s">
        <v>690</v>
      </c>
      <c r="N68" s="457">
        <v>14</v>
      </c>
      <c r="O68" s="457"/>
      <c r="P68" s="458">
        <v>100</v>
      </c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6</v>
      </c>
      <c r="B69" s="455"/>
      <c r="C69" s="124"/>
      <c r="D69" s="261"/>
      <c r="E69" s="263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7</v>
      </c>
      <c r="B70" s="455"/>
      <c r="C70" s="124"/>
      <c r="D70" s="261"/>
      <c r="E70" s="263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8</v>
      </c>
      <c r="B71" s="455"/>
      <c r="C71" s="124"/>
      <c r="D71" s="261"/>
      <c r="E71" s="263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6.25" customHeight="1" thickBot="1">
      <c r="A72" s="460" t="s">
        <v>696</v>
      </c>
      <c r="B72" s="460"/>
      <c r="C72" s="460"/>
      <c r="D72" s="460"/>
      <c r="E72" s="46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1" t="s">
        <v>115</v>
      </c>
      <c r="B73" s="462"/>
      <c r="C73" s="264" t="s">
        <v>2</v>
      </c>
      <c r="D73" s="264" t="s">
        <v>38</v>
      </c>
      <c r="E73" s="264" t="s">
        <v>3</v>
      </c>
      <c r="F73" s="462" t="s">
        <v>39</v>
      </c>
      <c r="G73" s="462"/>
      <c r="H73" s="462"/>
      <c r="I73" s="462"/>
      <c r="J73" s="462"/>
      <c r="K73" s="463" t="s">
        <v>60</v>
      </c>
      <c r="L73" s="464"/>
      <c r="M73" s="464"/>
      <c r="N73" s="464"/>
      <c r="O73" s="464"/>
      <c r="P73" s="464"/>
      <c r="Q73" s="464"/>
      <c r="R73" s="464"/>
      <c r="S73" s="465"/>
      <c r="T73" s="462" t="s">
        <v>50</v>
      </c>
      <c r="U73" s="462"/>
      <c r="V73" s="463" t="s">
        <v>51</v>
      </c>
      <c r="W73" s="465"/>
      <c r="X73" s="464" t="s">
        <v>52</v>
      </c>
      <c r="Y73" s="464"/>
      <c r="Z73" s="464"/>
      <c r="AA73" s="464"/>
      <c r="AB73" s="464"/>
      <c r="AC73" s="464"/>
      <c r="AD73" s="466"/>
      <c r="AF73" s="53"/>
    </row>
    <row r="74" spans="1:32" ht="33.75" customHeight="1">
      <c r="A74" s="475">
        <v>1</v>
      </c>
      <c r="B74" s="476"/>
      <c r="C74" s="262" t="s">
        <v>118</v>
      </c>
      <c r="D74" s="262"/>
      <c r="E74" s="71" t="s">
        <v>126</v>
      </c>
      <c r="F74" s="477" t="s">
        <v>127</v>
      </c>
      <c r="G74" s="478"/>
      <c r="H74" s="478"/>
      <c r="I74" s="478"/>
      <c r="J74" s="479"/>
      <c r="K74" s="480" t="s">
        <v>120</v>
      </c>
      <c r="L74" s="481"/>
      <c r="M74" s="481"/>
      <c r="N74" s="481"/>
      <c r="O74" s="481"/>
      <c r="P74" s="481"/>
      <c r="Q74" s="481"/>
      <c r="R74" s="481"/>
      <c r="S74" s="482"/>
      <c r="T74" s="483">
        <v>42901</v>
      </c>
      <c r="U74" s="484"/>
      <c r="V74" s="485"/>
      <c r="W74" s="485"/>
      <c r="X74" s="486"/>
      <c r="Y74" s="486"/>
      <c r="Z74" s="486"/>
      <c r="AA74" s="486"/>
      <c r="AB74" s="486"/>
      <c r="AC74" s="486"/>
      <c r="AD74" s="487"/>
      <c r="AF74" s="53"/>
    </row>
    <row r="75" spans="1:32" ht="30" customHeight="1">
      <c r="A75" s="467">
        <f>A74+1</f>
        <v>2</v>
      </c>
      <c r="B75" s="468"/>
      <c r="C75" s="261" t="s">
        <v>118</v>
      </c>
      <c r="D75" s="261"/>
      <c r="E75" s="35" t="s">
        <v>123</v>
      </c>
      <c r="F75" s="468" t="s">
        <v>124</v>
      </c>
      <c r="G75" s="468"/>
      <c r="H75" s="468"/>
      <c r="I75" s="468"/>
      <c r="J75" s="468"/>
      <c r="K75" s="469" t="s">
        <v>125</v>
      </c>
      <c r="L75" s="470"/>
      <c r="M75" s="470"/>
      <c r="N75" s="470"/>
      <c r="O75" s="470"/>
      <c r="P75" s="470"/>
      <c r="Q75" s="470"/>
      <c r="R75" s="470"/>
      <c r="S75" s="471"/>
      <c r="T75" s="472">
        <v>42867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ref="A76:A82" si="19">A75+1</f>
        <v>3</v>
      </c>
      <c r="B76" s="468"/>
      <c r="C76" s="261" t="s">
        <v>163</v>
      </c>
      <c r="D76" s="261"/>
      <c r="E76" s="35" t="s">
        <v>151</v>
      </c>
      <c r="F76" s="468" t="s">
        <v>168</v>
      </c>
      <c r="G76" s="468"/>
      <c r="H76" s="468"/>
      <c r="I76" s="468"/>
      <c r="J76" s="468"/>
      <c r="K76" s="469" t="s">
        <v>120</v>
      </c>
      <c r="L76" s="470"/>
      <c r="M76" s="470"/>
      <c r="N76" s="470"/>
      <c r="O76" s="470"/>
      <c r="P76" s="470"/>
      <c r="Q76" s="470"/>
      <c r="R76" s="470"/>
      <c r="S76" s="471"/>
      <c r="T76" s="472">
        <v>42937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9"/>
        <v>4</v>
      </c>
      <c r="B77" s="468"/>
      <c r="C77" s="261" t="s">
        <v>119</v>
      </c>
      <c r="D77" s="261"/>
      <c r="E77" s="35" t="s">
        <v>148</v>
      </c>
      <c r="F77" s="468" t="s">
        <v>149</v>
      </c>
      <c r="G77" s="468"/>
      <c r="H77" s="468"/>
      <c r="I77" s="468"/>
      <c r="J77" s="468"/>
      <c r="K77" s="469" t="s">
        <v>153</v>
      </c>
      <c r="L77" s="470"/>
      <c r="M77" s="470"/>
      <c r="N77" s="470"/>
      <c r="O77" s="470"/>
      <c r="P77" s="470"/>
      <c r="Q77" s="470"/>
      <c r="R77" s="470"/>
      <c r="S77" s="471"/>
      <c r="T77" s="472">
        <v>42920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9"/>
        <v>5</v>
      </c>
      <c r="B78" s="468"/>
      <c r="C78" s="261"/>
      <c r="D78" s="261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9"/>
        <v>6</v>
      </c>
      <c r="B79" s="468"/>
      <c r="C79" s="261"/>
      <c r="D79" s="261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9"/>
        <v>7</v>
      </c>
      <c r="B80" s="468"/>
      <c r="C80" s="261"/>
      <c r="D80" s="261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9"/>
        <v>8</v>
      </c>
      <c r="B81" s="468"/>
      <c r="C81" s="261"/>
      <c r="D81" s="261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19"/>
        <v>9</v>
      </c>
      <c r="B82" s="468"/>
      <c r="C82" s="261"/>
      <c r="D82" s="261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6" thickBot="1">
      <c r="A83" s="460" t="s">
        <v>697</v>
      </c>
      <c r="B83" s="460"/>
      <c r="C83" s="460"/>
      <c r="D83" s="460"/>
      <c r="E83" s="46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88" t="s">
        <v>37</v>
      </c>
      <c r="B84" s="489"/>
      <c r="C84" s="489" t="s">
        <v>53</v>
      </c>
      <c r="D84" s="489"/>
      <c r="E84" s="489" t="s">
        <v>54</v>
      </c>
      <c r="F84" s="489"/>
      <c r="G84" s="489"/>
      <c r="H84" s="489"/>
      <c r="I84" s="489"/>
      <c r="J84" s="489"/>
      <c r="K84" s="489" t="s">
        <v>55</v>
      </c>
      <c r="L84" s="489"/>
      <c r="M84" s="489"/>
      <c r="N84" s="489"/>
      <c r="O84" s="489"/>
      <c r="P84" s="489"/>
      <c r="Q84" s="489"/>
      <c r="R84" s="489"/>
      <c r="S84" s="489"/>
      <c r="T84" s="489" t="s">
        <v>56</v>
      </c>
      <c r="U84" s="489"/>
      <c r="V84" s="489" t="s">
        <v>57</v>
      </c>
      <c r="W84" s="489"/>
      <c r="X84" s="489"/>
      <c r="Y84" s="489" t="s">
        <v>52</v>
      </c>
      <c r="Z84" s="489"/>
      <c r="AA84" s="489"/>
      <c r="AB84" s="489"/>
      <c r="AC84" s="489"/>
      <c r="AD84" s="490"/>
      <c r="AF84" s="53"/>
    </row>
    <row r="85" spans="1:32" ht="30.75" customHeight="1">
      <c r="A85" s="475">
        <v>1</v>
      </c>
      <c r="B85" s="476"/>
      <c r="C85" s="491">
        <v>1</v>
      </c>
      <c r="D85" s="491"/>
      <c r="E85" s="491" t="s">
        <v>133</v>
      </c>
      <c r="F85" s="491"/>
      <c r="G85" s="491"/>
      <c r="H85" s="491"/>
      <c r="I85" s="491"/>
      <c r="J85" s="491"/>
      <c r="K85" s="491" t="s">
        <v>134</v>
      </c>
      <c r="L85" s="491"/>
      <c r="M85" s="491"/>
      <c r="N85" s="491"/>
      <c r="O85" s="491"/>
      <c r="P85" s="491"/>
      <c r="Q85" s="491"/>
      <c r="R85" s="491"/>
      <c r="S85" s="491"/>
      <c r="T85" s="491" t="s">
        <v>135</v>
      </c>
      <c r="U85" s="491"/>
      <c r="V85" s="492">
        <v>1500000</v>
      </c>
      <c r="W85" s="492"/>
      <c r="X85" s="492"/>
      <c r="Y85" s="493" t="s">
        <v>136</v>
      </c>
      <c r="Z85" s="493"/>
      <c r="AA85" s="493"/>
      <c r="AB85" s="493"/>
      <c r="AC85" s="493"/>
      <c r="AD85" s="494"/>
      <c r="AF85" s="53"/>
    </row>
    <row r="86" spans="1:32" ht="30.75" customHeight="1">
      <c r="A86" s="467">
        <v>2</v>
      </c>
      <c r="B86" s="468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502"/>
      <c r="Q86" s="502"/>
      <c r="R86" s="502"/>
      <c r="S86" s="502"/>
      <c r="T86" s="503"/>
      <c r="U86" s="503"/>
      <c r="V86" s="504"/>
      <c r="W86" s="504"/>
      <c r="X86" s="504"/>
      <c r="Y86" s="495"/>
      <c r="Z86" s="495"/>
      <c r="AA86" s="495"/>
      <c r="AB86" s="495"/>
      <c r="AC86" s="495"/>
      <c r="AD86" s="496"/>
      <c r="AF86" s="53"/>
    </row>
    <row r="87" spans="1:32" ht="30.75" customHeight="1" thickBot="1">
      <c r="A87" s="497">
        <v>3</v>
      </c>
      <c r="B87" s="498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500"/>
      <c r="Z87" s="500"/>
      <c r="AA87" s="500"/>
      <c r="AB87" s="500"/>
      <c r="AC87" s="500"/>
      <c r="AD87" s="50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7" sqref="K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698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73" t="s">
        <v>17</v>
      </c>
      <c r="L5" s="273" t="s">
        <v>18</v>
      </c>
      <c r="M5" s="273" t="s">
        <v>19</v>
      </c>
      <c r="N5" s="2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0.47997973145388084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647</v>
      </c>
      <c r="E7" s="56" t="s">
        <v>648</v>
      </c>
      <c r="F7" s="12" t="s">
        <v>649</v>
      </c>
      <c r="G7" s="36">
        <v>2</v>
      </c>
      <c r="H7" s="38">
        <v>25</v>
      </c>
      <c r="I7" s="7">
        <v>30000</v>
      </c>
      <c r="J7" s="14">
        <v>12080</v>
      </c>
      <c r="K7" s="15">
        <f>L7+6516</f>
        <v>18590</v>
      </c>
      <c r="L7" s="15">
        <f>3410*2+2627*2</f>
        <v>12074</v>
      </c>
      <c r="M7" s="16">
        <f t="shared" si="0"/>
        <v>12074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0.99950331125827818</v>
      </c>
      <c r="AC7" s="9">
        <f t="shared" si="5"/>
        <v>1</v>
      </c>
      <c r="AD7" s="10">
        <f t="shared" si="6"/>
        <v>0.99950331125827818</v>
      </c>
      <c r="AE7" s="39">
        <f t="shared" si="7"/>
        <v>0.47997973145388084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5460</v>
      </c>
      <c r="K8" s="15">
        <f>L8+562+3624+3000+2279+2723+3016+4670+4950+6437+5255+6162+3810+4931</f>
        <v>56878</v>
      </c>
      <c r="L8" s="15">
        <f>3157+2302</f>
        <v>5459</v>
      </c>
      <c r="M8" s="16">
        <f t="shared" si="0"/>
        <v>5459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0.99981684981684982</v>
      </c>
      <c r="AC8" s="9">
        <f t="shared" si="5"/>
        <v>1</v>
      </c>
      <c r="AD8" s="10">
        <f t="shared" si="6"/>
        <v>0.99981684981684982</v>
      </c>
      <c r="AE8" s="39">
        <f t="shared" si="7"/>
        <v>0.47997973145388084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119</v>
      </c>
      <c r="D9" s="55" t="s">
        <v>699</v>
      </c>
      <c r="E9" s="57" t="s">
        <v>700</v>
      </c>
      <c r="F9" s="12" t="s">
        <v>701</v>
      </c>
      <c r="G9" s="12">
        <v>1</v>
      </c>
      <c r="H9" s="13">
        <v>25</v>
      </c>
      <c r="I9" s="34">
        <v>18000</v>
      </c>
      <c r="J9" s="5">
        <v>4400</v>
      </c>
      <c r="K9" s="15">
        <f>L9</f>
        <v>4393</v>
      </c>
      <c r="L9" s="15">
        <f>2994+1399</f>
        <v>4393</v>
      </c>
      <c r="M9" s="16">
        <f t="shared" si="0"/>
        <v>4393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/>
      <c r="T9" s="17">
        <v>2</v>
      </c>
      <c r="U9" s="17"/>
      <c r="V9" s="18"/>
      <c r="W9" s="19"/>
      <c r="X9" s="17"/>
      <c r="Y9" s="20"/>
      <c r="Z9" s="20"/>
      <c r="AA9" s="21"/>
      <c r="AB9" s="8">
        <f t="shared" si="4"/>
        <v>0.99840909090909091</v>
      </c>
      <c r="AC9" s="9">
        <f t="shared" si="5"/>
        <v>0.91666666666666663</v>
      </c>
      <c r="AD9" s="10">
        <f t="shared" si="6"/>
        <v>0.91520833333333329</v>
      </c>
      <c r="AE9" s="39">
        <f t="shared" si="7"/>
        <v>0.47997973145388084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163</v>
      </c>
      <c r="D10" s="55" t="s">
        <v>507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30000</v>
      </c>
      <c r="J10" s="14">
        <v>4780</v>
      </c>
      <c r="K10" s="15">
        <f>L10+4291+3710+5240+2559+4147</f>
        <v>24719</v>
      </c>
      <c r="L10" s="15">
        <f>3296+1476</f>
        <v>4772</v>
      </c>
      <c r="M10" s="16">
        <f t="shared" si="0"/>
        <v>4772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0.99832635983263596</v>
      </c>
      <c r="AC10" s="9">
        <f t="shared" si="5"/>
        <v>0.875</v>
      </c>
      <c r="AD10" s="10">
        <f t="shared" si="6"/>
        <v>0.87353556485355643</v>
      </c>
      <c r="AE10" s="39">
        <f t="shared" si="7"/>
        <v>0.47997973145388084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150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0.47997973145388084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118</v>
      </c>
      <c r="D12" s="55" t="s">
        <v>122</v>
      </c>
      <c r="E12" s="57" t="s">
        <v>650</v>
      </c>
      <c r="F12" s="12" t="s">
        <v>128</v>
      </c>
      <c r="G12" s="12">
        <v>1</v>
      </c>
      <c r="H12" s="13">
        <v>25</v>
      </c>
      <c r="I12" s="7">
        <v>1000</v>
      </c>
      <c r="J12" s="14">
        <v>1620</v>
      </c>
      <c r="K12" s="15">
        <f>L12+1617</f>
        <v>1617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0.47997973145388084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702</v>
      </c>
      <c r="E13" s="57" t="s">
        <v>703</v>
      </c>
      <c r="F13" s="12">
        <v>7301</v>
      </c>
      <c r="G13" s="12">
        <v>1</v>
      </c>
      <c r="H13" s="13">
        <v>35</v>
      </c>
      <c r="I13" s="7">
        <v>500</v>
      </c>
      <c r="J13" s="14">
        <v>550</v>
      </c>
      <c r="K13" s="15">
        <f>L13</f>
        <v>543</v>
      </c>
      <c r="L13" s="15">
        <f>543</f>
        <v>543</v>
      </c>
      <c r="M13" s="16">
        <f t="shared" si="0"/>
        <v>543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0.9872727272727273</v>
      </c>
      <c r="AC13" s="9">
        <f t="shared" si="5"/>
        <v>0.16666666666666666</v>
      </c>
      <c r="AD13" s="10">
        <f t="shared" si="6"/>
        <v>0.16454545454545455</v>
      </c>
      <c r="AE13" s="39">
        <f t="shared" si="7"/>
        <v>0.47997973145388084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0.47997973145388084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148</v>
      </c>
      <c r="E15" s="57" t="s">
        <v>631</v>
      </c>
      <c r="F15" s="12" t="s">
        <v>162</v>
      </c>
      <c r="G15" s="12">
        <v>1</v>
      </c>
      <c r="H15" s="13">
        <v>25</v>
      </c>
      <c r="I15" s="34">
        <v>2500</v>
      </c>
      <c r="J15" s="14">
        <v>2810</v>
      </c>
      <c r="K15" s="15">
        <f>L15+2807</f>
        <v>2807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0.47997973145388084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4070</v>
      </c>
      <c r="K16" s="15">
        <f>L16+2188+5991+4312+1728+3861+5379</f>
        <v>27527</v>
      </c>
      <c r="L16" s="15">
        <f>3180+888</f>
        <v>4068</v>
      </c>
      <c r="M16" s="16">
        <f t="shared" si="0"/>
        <v>4068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0.99950859950859949</v>
      </c>
      <c r="AC16" s="9">
        <f t="shared" si="5"/>
        <v>0.79166666666666663</v>
      </c>
      <c r="AD16" s="10">
        <f t="shared" si="6"/>
        <v>0.79127764127764122</v>
      </c>
      <c r="AE16" s="39">
        <f t="shared" si="7"/>
        <v>0.47997973145388084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584</v>
      </c>
      <c r="E17" s="56" t="s">
        <v>588</v>
      </c>
      <c r="F17" s="12">
        <v>8301</v>
      </c>
      <c r="G17" s="12">
        <v>1</v>
      </c>
      <c r="H17" s="13">
        <v>25</v>
      </c>
      <c r="I17" s="34">
        <v>1000</v>
      </c>
      <c r="J17" s="5">
        <v>1570</v>
      </c>
      <c r="K17" s="15">
        <f>L17+1567</f>
        <v>1567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0.47997973145388084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704</v>
      </c>
      <c r="E18" s="57" t="s">
        <v>705</v>
      </c>
      <c r="F18" s="33" t="s">
        <v>706</v>
      </c>
      <c r="G18" s="12">
        <v>1</v>
      </c>
      <c r="H18" s="13">
        <v>25</v>
      </c>
      <c r="I18" s="34">
        <v>18000</v>
      </c>
      <c r="J18" s="5">
        <v>5340</v>
      </c>
      <c r="K18" s="15">
        <f>L18</f>
        <v>5334</v>
      </c>
      <c r="L18" s="15">
        <f>2100+3234</f>
        <v>5334</v>
      </c>
      <c r="M18" s="16">
        <f t="shared" si="0"/>
        <v>5334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0.99887640449438198</v>
      </c>
      <c r="AC18" s="9">
        <f t="shared" si="5"/>
        <v>1</v>
      </c>
      <c r="AD18" s="10">
        <f t="shared" si="6"/>
        <v>0.99887640449438198</v>
      </c>
      <c r="AE18" s="39">
        <f t="shared" si="7"/>
        <v>0.47997973145388084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30000</v>
      </c>
      <c r="J19" s="5">
        <v>1670</v>
      </c>
      <c r="K19" s="15">
        <f>L19+4545+5031+1956</f>
        <v>13197</v>
      </c>
      <c r="L19" s="15">
        <f>1173+492</f>
        <v>1665</v>
      </c>
      <c r="M19" s="16">
        <f t="shared" si="0"/>
        <v>1665</v>
      </c>
      <c r="N19" s="16">
        <v>0</v>
      </c>
      <c r="O19" s="62">
        <f t="shared" si="1"/>
        <v>0</v>
      </c>
      <c r="P19" s="42">
        <f t="shared" si="2"/>
        <v>11</v>
      </c>
      <c r="Q19" s="43">
        <f t="shared" si="3"/>
        <v>13</v>
      </c>
      <c r="R19" s="7"/>
      <c r="S19" s="6">
        <v>13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0.99700598802395213</v>
      </c>
      <c r="AC19" s="9">
        <f t="shared" si="5"/>
        <v>0.45833333333333331</v>
      </c>
      <c r="AD19" s="10">
        <f t="shared" si="6"/>
        <v>0.45696107784431139</v>
      </c>
      <c r="AE19" s="39">
        <f t="shared" si="7"/>
        <v>0.47997973145388084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200000</v>
      </c>
      <c r="J20" s="14">
        <v>69770</v>
      </c>
      <c r="K20" s="15">
        <f>L20+45088+61368+43536+55776</f>
        <v>275536</v>
      </c>
      <c r="L20" s="15">
        <f>9441*4+8001*4</f>
        <v>69768</v>
      </c>
      <c r="M20" s="16">
        <f t="shared" si="0"/>
        <v>69768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0.99997133438440589</v>
      </c>
      <c r="AC20" s="9">
        <f t="shared" si="5"/>
        <v>1</v>
      </c>
      <c r="AD20" s="10">
        <f t="shared" si="6"/>
        <v>0.99997133438440589</v>
      </c>
      <c r="AE20" s="39">
        <f t="shared" si="7"/>
        <v>0.47997973145388084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407200</v>
      </c>
      <c r="J21" s="22">
        <f t="shared" si="9"/>
        <v>117680</v>
      </c>
      <c r="K21" s="23">
        <f t="shared" si="9"/>
        <v>439528</v>
      </c>
      <c r="L21" s="24">
        <f t="shared" si="9"/>
        <v>108076</v>
      </c>
      <c r="M21" s="23">
        <f t="shared" si="9"/>
        <v>108076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173</v>
      </c>
      <c r="Q21" s="46">
        <f t="shared" si="10"/>
        <v>187</v>
      </c>
      <c r="R21" s="26">
        <f t="shared" si="10"/>
        <v>24</v>
      </c>
      <c r="S21" s="27">
        <f t="shared" si="10"/>
        <v>45</v>
      </c>
      <c r="T21" s="27">
        <f t="shared" si="10"/>
        <v>2</v>
      </c>
      <c r="U21" s="27">
        <f t="shared" si="10"/>
        <v>0</v>
      </c>
      <c r="V21" s="28">
        <f t="shared" si="10"/>
        <v>0</v>
      </c>
      <c r="W21" s="29">
        <f t="shared" si="10"/>
        <v>116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0.59857937770006153</v>
      </c>
      <c r="AC21" s="4">
        <f>SUM(AC6:AC20)/15</f>
        <v>0.48055555555555551</v>
      </c>
      <c r="AD21" s="4">
        <f>SUM(AD6:AD20)/15</f>
        <v>0.47997973145388084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707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715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274" t="s">
        <v>47</v>
      </c>
      <c r="D50" s="274" t="s">
        <v>48</v>
      </c>
      <c r="E50" s="274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274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35" t="s">
        <v>617</v>
      </c>
      <c r="B51" s="436"/>
      <c r="C51" s="276" t="s">
        <v>142</v>
      </c>
      <c r="D51" s="276" t="s">
        <v>699</v>
      </c>
      <c r="E51" s="279" t="s">
        <v>700</v>
      </c>
      <c r="F51" s="437" t="s">
        <v>654</v>
      </c>
      <c r="G51" s="437"/>
      <c r="H51" s="437"/>
      <c r="I51" s="437"/>
      <c r="J51" s="437"/>
      <c r="K51" s="437"/>
      <c r="L51" s="437"/>
      <c r="M51" s="438"/>
      <c r="N51" s="275" t="s">
        <v>642</v>
      </c>
      <c r="O51" s="74" t="s">
        <v>245</v>
      </c>
      <c r="P51" s="439" t="s">
        <v>643</v>
      </c>
      <c r="Q51" s="440"/>
      <c r="R51" s="436" t="s">
        <v>484</v>
      </c>
      <c r="S51" s="436"/>
      <c r="T51" s="436"/>
      <c r="U51" s="436"/>
      <c r="V51" s="437" t="s">
        <v>196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35" t="s">
        <v>642</v>
      </c>
      <c r="B52" s="436"/>
      <c r="C52" s="276" t="s">
        <v>245</v>
      </c>
      <c r="D52" s="276" t="s">
        <v>644</v>
      </c>
      <c r="E52" s="279" t="s">
        <v>645</v>
      </c>
      <c r="F52" s="437" t="s">
        <v>656</v>
      </c>
      <c r="G52" s="437"/>
      <c r="H52" s="437"/>
      <c r="I52" s="437"/>
      <c r="J52" s="437"/>
      <c r="K52" s="437"/>
      <c r="L52" s="437"/>
      <c r="M52" s="438"/>
      <c r="N52" s="275" t="s">
        <v>119</v>
      </c>
      <c r="O52" s="74" t="s">
        <v>672</v>
      </c>
      <c r="P52" s="439" t="s">
        <v>673</v>
      </c>
      <c r="Q52" s="440"/>
      <c r="R52" s="436" t="s">
        <v>143</v>
      </c>
      <c r="S52" s="436"/>
      <c r="T52" s="436"/>
      <c r="U52" s="436"/>
      <c r="V52" s="437" t="s">
        <v>674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119</v>
      </c>
      <c r="B53" s="446"/>
      <c r="C53" s="279" t="s">
        <v>625</v>
      </c>
      <c r="D53" s="276" t="s">
        <v>626</v>
      </c>
      <c r="E53" s="279" t="s">
        <v>627</v>
      </c>
      <c r="F53" s="437" t="s">
        <v>708</v>
      </c>
      <c r="G53" s="437"/>
      <c r="H53" s="437"/>
      <c r="I53" s="437"/>
      <c r="J53" s="437"/>
      <c r="K53" s="437"/>
      <c r="L53" s="437"/>
      <c r="M53" s="438"/>
      <c r="N53" s="275" t="s">
        <v>119</v>
      </c>
      <c r="O53" s="74" t="s">
        <v>717</v>
      </c>
      <c r="P53" s="439" t="s">
        <v>714</v>
      </c>
      <c r="Q53" s="440"/>
      <c r="R53" s="436" t="s">
        <v>716</v>
      </c>
      <c r="S53" s="436"/>
      <c r="T53" s="436"/>
      <c r="U53" s="436"/>
      <c r="V53" s="437" t="s">
        <v>711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279" t="s">
        <v>709</v>
      </c>
      <c r="D54" s="276" t="s">
        <v>704</v>
      </c>
      <c r="E54" s="279" t="s">
        <v>710</v>
      </c>
      <c r="F54" s="437" t="s">
        <v>711</v>
      </c>
      <c r="G54" s="437"/>
      <c r="H54" s="437"/>
      <c r="I54" s="437"/>
      <c r="J54" s="437"/>
      <c r="K54" s="437"/>
      <c r="L54" s="437"/>
      <c r="M54" s="438"/>
      <c r="N54" s="275" t="s">
        <v>719</v>
      </c>
      <c r="O54" s="74" t="s">
        <v>720</v>
      </c>
      <c r="P54" s="439"/>
      <c r="Q54" s="440"/>
      <c r="R54" s="436" t="s">
        <v>718</v>
      </c>
      <c r="S54" s="436"/>
      <c r="T54" s="436"/>
      <c r="U54" s="436"/>
      <c r="V54" s="437" t="s">
        <v>711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712</v>
      </c>
      <c r="B55" s="436"/>
      <c r="C55" s="276" t="s">
        <v>713</v>
      </c>
      <c r="D55" s="276" t="s">
        <v>714</v>
      </c>
      <c r="E55" s="279" t="s">
        <v>703</v>
      </c>
      <c r="F55" s="437" t="s">
        <v>711</v>
      </c>
      <c r="G55" s="437"/>
      <c r="H55" s="437"/>
      <c r="I55" s="437"/>
      <c r="J55" s="437"/>
      <c r="K55" s="437"/>
      <c r="L55" s="437"/>
      <c r="M55" s="438"/>
      <c r="N55" s="275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/>
      <c r="B56" s="436"/>
      <c r="C56" s="276"/>
      <c r="D56" s="276"/>
      <c r="E56" s="279"/>
      <c r="F56" s="437"/>
      <c r="G56" s="437"/>
      <c r="H56" s="437"/>
      <c r="I56" s="437"/>
      <c r="J56" s="437"/>
      <c r="K56" s="437"/>
      <c r="L56" s="437"/>
      <c r="M56" s="438"/>
      <c r="N56" s="275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279"/>
      <c r="D57" s="276"/>
      <c r="E57" s="279"/>
      <c r="F57" s="437"/>
      <c r="G57" s="437"/>
      <c r="H57" s="437"/>
      <c r="I57" s="437"/>
      <c r="J57" s="437"/>
      <c r="K57" s="437"/>
      <c r="L57" s="437"/>
      <c r="M57" s="438"/>
      <c r="N57" s="275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79"/>
      <c r="D58" s="276"/>
      <c r="E58" s="279"/>
      <c r="F58" s="437"/>
      <c r="G58" s="437"/>
      <c r="H58" s="437"/>
      <c r="I58" s="437"/>
      <c r="J58" s="437"/>
      <c r="K58" s="437"/>
      <c r="L58" s="437"/>
      <c r="M58" s="438"/>
      <c r="N58" s="275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276"/>
      <c r="D59" s="276"/>
      <c r="E59" s="276"/>
      <c r="F59" s="437"/>
      <c r="G59" s="437"/>
      <c r="H59" s="437"/>
      <c r="I59" s="437"/>
      <c r="J59" s="437"/>
      <c r="K59" s="437"/>
      <c r="L59" s="437"/>
      <c r="M59" s="438"/>
      <c r="N59" s="275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278"/>
      <c r="D60" s="278"/>
      <c r="E60" s="278"/>
      <c r="F60" s="443"/>
      <c r="G60" s="443"/>
      <c r="H60" s="443"/>
      <c r="I60" s="443"/>
      <c r="J60" s="443"/>
      <c r="K60" s="443"/>
      <c r="L60" s="443"/>
      <c r="M60" s="444"/>
      <c r="N60" s="277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721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280" t="s">
        <v>2</v>
      </c>
      <c r="D62" s="280" t="s">
        <v>38</v>
      </c>
      <c r="E62" s="280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280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118</v>
      </c>
      <c r="D63" s="283"/>
      <c r="E63" s="281" t="s">
        <v>681</v>
      </c>
      <c r="F63" s="456" t="s">
        <v>682</v>
      </c>
      <c r="G63" s="457"/>
      <c r="H63" s="457"/>
      <c r="I63" s="457"/>
      <c r="J63" s="457"/>
      <c r="K63" s="457" t="s">
        <v>683</v>
      </c>
      <c r="L63" s="457"/>
      <c r="M63" s="54" t="s">
        <v>679</v>
      </c>
      <c r="N63" s="457">
        <v>6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118</v>
      </c>
      <c r="D64" s="283"/>
      <c r="E64" s="281" t="s">
        <v>673</v>
      </c>
      <c r="F64" s="456" t="s">
        <v>685</v>
      </c>
      <c r="G64" s="457"/>
      <c r="H64" s="457"/>
      <c r="I64" s="457"/>
      <c r="J64" s="457"/>
      <c r="K64" s="457" t="s">
        <v>686</v>
      </c>
      <c r="L64" s="457"/>
      <c r="M64" s="54" t="s">
        <v>679</v>
      </c>
      <c r="N64" s="457">
        <v>8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283"/>
      <c r="E65" s="281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283"/>
      <c r="E66" s="281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83"/>
      <c r="E67" s="281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83"/>
      <c r="E68" s="281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83"/>
      <c r="E69" s="281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83"/>
      <c r="E70" s="281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722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282" t="s">
        <v>2</v>
      </c>
      <c r="D72" s="282" t="s">
        <v>38</v>
      </c>
      <c r="E72" s="282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84" t="s">
        <v>118</v>
      </c>
      <c r="D73" s="284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83" t="s">
        <v>118</v>
      </c>
      <c r="D74" s="283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83" t="s">
        <v>163</v>
      </c>
      <c r="D75" s="283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83" t="s">
        <v>119</v>
      </c>
      <c r="D76" s="283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83" t="s">
        <v>119</v>
      </c>
      <c r="D77" s="283"/>
      <c r="E77" s="35" t="s">
        <v>723</v>
      </c>
      <c r="F77" s="468" t="s">
        <v>724</v>
      </c>
      <c r="G77" s="468"/>
      <c r="H77" s="468"/>
      <c r="I77" s="468"/>
      <c r="J77" s="468"/>
      <c r="K77" s="469" t="s">
        <v>725</v>
      </c>
      <c r="L77" s="470"/>
      <c r="M77" s="470"/>
      <c r="N77" s="470"/>
      <c r="O77" s="470"/>
      <c r="P77" s="470"/>
      <c r="Q77" s="470"/>
      <c r="R77" s="470"/>
      <c r="S77" s="471"/>
      <c r="T77" s="472">
        <v>42966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83"/>
      <c r="D78" s="283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83"/>
      <c r="D79" s="283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83"/>
      <c r="D80" s="283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83"/>
      <c r="D81" s="283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726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4" zoomScale="72" zoomScaleNormal="72" zoomScaleSheetLayoutView="70" workbookViewId="0">
      <selection activeCell="B13" sqref="B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727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285" t="s">
        <v>17</v>
      </c>
      <c r="L5" s="285" t="s">
        <v>18</v>
      </c>
      <c r="M5" s="285" t="s">
        <v>19</v>
      </c>
      <c r="N5" s="28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0.57138196583134682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119</v>
      </c>
      <c r="D7" s="55" t="s">
        <v>647</v>
      </c>
      <c r="E7" s="56" t="s">
        <v>648</v>
      </c>
      <c r="F7" s="12" t="s">
        <v>649</v>
      </c>
      <c r="G7" s="36">
        <v>2</v>
      </c>
      <c r="H7" s="38">
        <v>25</v>
      </c>
      <c r="I7" s="7">
        <v>30000</v>
      </c>
      <c r="J7" s="14">
        <v>10300</v>
      </c>
      <c r="K7" s="15">
        <f>L7+6516+12074</f>
        <v>28886</v>
      </c>
      <c r="L7" s="15">
        <f>3132*2+2016*2</f>
        <v>10296</v>
      </c>
      <c r="M7" s="16">
        <f t="shared" si="0"/>
        <v>10296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0.99961165048543688</v>
      </c>
      <c r="AC7" s="9">
        <f t="shared" si="5"/>
        <v>1</v>
      </c>
      <c r="AD7" s="10">
        <f t="shared" si="6"/>
        <v>0.99961165048543688</v>
      </c>
      <c r="AE7" s="39">
        <f t="shared" si="7"/>
        <v>0.57138196583134682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4480</v>
      </c>
      <c r="K8" s="15">
        <f>L8+562+3624+3000+2279+2723+3016+4670+4950+6437+5255+6162+3810+4931+5459</f>
        <v>61355</v>
      </c>
      <c r="L8" s="15">
        <f>2574+1903</f>
        <v>4477</v>
      </c>
      <c r="M8" s="16">
        <f t="shared" si="0"/>
        <v>4477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0.99933035714285712</v>
      </c>
      <c r="AC8" s="9">
        <f t="shared" si="5"/>
        <v>1</v>
      </c>
      <c r="AD8" s="10">
        <f t="shared" si="6"/>
        <v>0.99933035714285712</v>
      </c>
      <c r="AE8" s="39">
        <f t="shared" si="7"/>
        <v>0.57138196583134682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37" t="s">
        <v>119</v>
      </c>
      <c r="D9" s="55" t="s">
        <v>151</v>
      </c>
      <c r="E9" s="57" t="s">
        <v>700</v>
      </c>
      <c r="F9" s="12" t="s">
        <v>492</v>
      </c>
      <c r="G9" s="12">
        <v>1</v>
      </c>
      <c r="H9" s="13">
        <v>25</v>
      </c>
      <c r="I9" s="34">
        <v>18000</v>
      </c>
      <c r="J9" s="5">
        <v>4720</v>
      </c>
      <c r="K9" s="15">
        <f>L9+4393</f>
        <v>9112</v>
      </c>
      <c r="L9" s="15">
        <f>2737+1982</f>
        <v>4719</v>
      </c>
      <c r="M9" s="16">
        <f t="shared" si="0"/>
        <v>4719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0.99978813559322033</v>
      </c>
      <c r="AC9" s="9">
        <f t="shared" si="5"/>
        <v>1</v>
      </c>
      <c r="AD9" s="10">
        <f t="shared" si="6"/>
        <v>0.99978813559322033</v>
      </c>
      <c r="AE9" s="39">
        <f t="shared" si="7"/>
        <v>0.57138196583134682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11" t="s">
        <v>163</v>
      </c>
      <c r="D10" s="55" t="s">
        <v>151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30000</v>
      </c>
      <c r="J10" s="14">
        <v>5290</v>
      </c>
      <c r="K10" s="15">
        <f>L10+4291+3710+5240+2559+4147+4772</f>
        <v>30004</v>
      </c>
      <c r="L10" s="15">
        <f>3199+2086</f>
        <v>5285</v>
      </c>
      <c r="M10" s="16">
        <f t="shared" si="0"/>
        <v>5285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0.99905482041587901</v>
      </c>
      <c r="AC10" s="9">
        <f t="shared" si="5"/>
        <v>1</v>
      </c>
      <c r="AD10" s="10">
        <f t="shared" si="6"/>
        <v>0.99905482041587901</v>
      </c>
      <c r="AE10" s="39">
        <f t="shared" si="7"/>
        <v>0.57138196583134682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118</v>
      </c>
      <c r="D11" s="55" t="s">
        <v>279</v>
      </c>
      <c r="E11" s="56" t="s">
        <v>280</v>
      </c>
      <c r="F11" s="12" t="s">
        <v>150</v>
      </c>
      <c r="G11" s="12">
        <v>1</v>
      </c>
      <c r="H11" s="13">
        <v>25</v>
      </c>
      <c r="I11" s="34">
        <v>5000</v>
      </c>
      <c r="J11" s="14">
        <v>1330</v>
      </c>
      <c r="K11" s="15">
        <f>L11+800+2735+1323</f>
        <v>4858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0.57138196583134682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11" t="s">
        <v>119</v>
      </c>
      <c r="D12" s="55" t="s">
        <v>728</v>
      </c>
      <c r="E12" s="57" t="s">
        <v>729</v>
      </c>
      <c r="F12" s="12" t="s">
        <v>730</v>
      </c>
      <c r="G12" s="12">
        <v>1</v>
      </c>
      <c r="H12" s="13">
        <v>25</v>
      </c>
      <c r="I12" s="7">
        <v>14000</v>
      </c>
      <c r="J12" s="14">
        <v>3050</v>
      </c>
      <c r="K12" s="15">
        <f>L12</f>
        <v>3043</v>
      </c>
      <c r="L12" s="15">
        <f>2658+385</f>
        <v>3043</v>
      </c>
      <c r="M12" s="16">
        <f t="shared" si="0"/>
        <v>3043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0.99770491803278694</v>
      </c>
      <c r="AC12" s="9">
        <f t="shared" si="5"/>
        <v>0.75</v>
      </c>
      <c r="AD12" s="10">
        <f t="shared" si="6"/>
        <v>0.74827868852459023</v>
      </c>
      <c r="AE12" s="39">
        <f t="shared" si="7"/>
        <v>0.57138196583134682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731</v>
      </c>
      <c r="D13" s="55" t="s">
        <v>732</v>
      </c>
      <c r="E13" s="57" t="s">
        <v>733</v>
      </c>
      <c r="F13" s="12" t="s">
        <v>734</v>
      </c>
      <c r="G13" s="12">
        <v>1</v>
      </c>
      <c r="H13" s="13">
        <v>25</v>
      </c>
      <c r="I13" s="7">
        <v>500</v>
      </c>
      <c r="J13" s="14">
        <v>570</v>
      </c>
      <c r="K13" s="15">
        <f>L13</f>
        <v>563</v>
      </c>
      <c r="L13" s="15">
        <v>563</v>
      </c>
      <c r="M13" s="16">
        <f t="shared" si="0"/>
        <v>563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0.987719298245614</v>
      </c>
      <c r="AC13" s="9">
        <f t="shared" si="5"/>
        <v>0.16666666666666666</v>
      </c>
      <c r="AD13" s="10">
        <f t="shared" si="6"/>
        <v>0.16461988304093567</v>
      </c>
      <c r="AE13" s="39">
        <f t="shared" si="7"/>
        <v>0.57138196583134682</v>
      </c>
      <c r="AF13" s="94">
        <f t="shared" si="8"/>
        <v>8</v>
      </c>
    </row>
    <row r="14" spans="1:32" ht="27" customHeight="1">
      <c r="A14" s="110">
        <v>8</v>
      </c>
      <c r="B14" s="11" t="s">
        <v>59</v>
      </c>
      <c r="C14" s="11" t="s">
        <v>118</v>
      </c>
      <c r="D14" s="55" t="s">
        <v>235</v>
      </c>
      <c r="E14" s="57" t="s">
        <v>735</v>
      </c>
      <c r="F14" s="12">
        <v>7301</v>
      </c>
      <c r="G14" s="12">
        <v>1</v>
      </c>
      <c r="H14" s="13">
        <v>25</v>
      </c>
      <c r="I14" s="7">
        <v>7000</v>
      </c>
      <c r="J14" s="14">
        <v>1710</v>
      </c>
      <c r="K14" s="15">
        <f>L14</f>
        <v>1701</v>
      </c>
      <c r="L14" s="15">
        <f>1701</f>
        <v>1701</v>
      </c>
      <c r="M14" s="16">
        <f t="shared" ref="M14" si="9">L14-N14</f>
        <v>1701</v>
      </c>
      <c r="N14" s="16">
        <v>0</v>
      </c>
      <c r="O14" s="62">
        <f t="shared" ref="O14" si="10">IF(L14=0,"0",N14/L14)</f>
        <v>0</v>
      </c>
      <c r="P14" s="42">
        <f t="shared" ref="P14" si="11">IF(L14=0,"0",(24-Q14))</f>
        <v>11</v>
      </c>
      <c r="Q14" s="43">
        <f t="shared" ref="Q14" si="12">SUM(R14:AA14)</f>
        <v>13</v>
      </c>
      <c r="R14" s="7"/>
      <c r="S14" s="6">
        <v>8</v>
      </c>
      <c r="T14" s="17">
        <v>5</v>
      </c>
      <c r="U14" s="17"/>
      <c r="V14" s="18"/>
      <c r="W14" s="19"/>
      <c r="X14" s="17"/>
      <c r="Y14" s="20"/>
      <c r="Z14" s="20"/>
      <c r="AA14" s="21"/>
      <c r="AB14" s="8">
        <f t="shared" ref="AB14" si="13">IF(J14=0,"0",(L14/J14))</f>
        <v>0.99473684210526314</v>
      </c>
      <c r="AC14" s="9">
        <f t="shared" ref="AC14" si="14">IF(P14=0,"0",(P14/24))</f>
        <v>0.45833333333333331</v>
      </c>
      <c r="AD14" s="10">
        <f t="shared" ref="AD14" si="15">AC14*AB14*(1-O14)</f>
        <v>0.45592105263157895</v>
      </c>
      <c r="AE14" s="39">
        <f t="shared" si="7"/>
        <v>0.57138196583134682</v>
      </c>
      <c r="AF14" s="94">
        <f t="shared" ref="AF14" si="16">A14</f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58</v>
      </c>
      <c r="E15" s="57" t="s">
        <v>281</v>
      </c>
      <c r="F15" s="33" t="s">
        <v>282</v>
      </c>
      <c r="G15" s="36">
        <v>1</v>
      </c>
      <c r="H15" s="38">
        <v>40</v>
      </c>
      <c r="I15" s="7">
        <v>200</v>
      </c>
      <c r="J15" s="5">
        <v>260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0.57138196583134682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148</v>
      </c>
      <c r="E16" s="57" t="s">
        <v>631</v>
      </c>
      <c r="F16" s="12" t="s">
        <v>162</v>
      </c>
      <c r="G16" s="12">
        <v>1</v>
      </c>
      <c r="H16" s="13">
        <v>25</v>
      </c>
      <c r="I16" s="34">
        <v>2500</v>
      </c>
      <c r="J16" s="14">
        <v>2810</v>
      </c>
      <c r="K16" s="15">
        <f>L16+2807</f>
        <v>2807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0.57138196583134682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119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30000</v>
      </c>
      <c r="J17" s="14">
        <v>3400</v>
      </c>
      <c r="K17" s="15">
        <f>L17+2188+5991+4312+1728+3861+5379+4068</f>
        <v>30922</v>
      </c>
      <c r="L17" s="15">
        <f>2745+650</f>
        <v>3395</v>
      </c>
      <c r="M17" s="16">
        <f t="shared" si="0"/>
        <v>3395</v>
      </c>
      <c r="N17" s="16">
        <v>0</v>
      </c>
      <c r="O17" s="62">
        <f t="shared" si="1"/>
        <v>0</v>
      </c>
      <c r="P17" s="42">
        <f t="shared" si="2"/>
        <v>18</v>
      </c>
      <c r="Q17" s="43">
        <f t="shared" si="3"/>
        <v>6</v>
      </c>
      <c r="R17" s="7"/>
      <c r="S17" s="6">
        <v>6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0.99852941176470589</v>
      </c>
      <c r="AC17" s="9">
        <f t="shared" si="5"/>
        <v>0.75</v>
      </c>
      <c r="AD17" s="10">
        <f t="shared" si="6"/>
        <v>0.74889705882352942</v>
      </c>
      <c r="AE17" s="39">
        <f t="shared" si="7"/>
        <v>0.57138196583134682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118</v>
      </c>
      <c r="D18" s="55" t="s">
        <v>584</v>
      </c>
      <c r="E18" s="56" t="s">
        <v>588</v>
      </c>
      <c r="F18" s="12">
        <v>8301</v>
      </c>
      <c r="G18" s="12">
        <v>1</v>
      </c>
      <c r="H18" s="13">
        <v>25</v>
      </c>
      <c r="I18" s="34">
        <v>1000</v>
      </c>
      <c r="J18" s="5">
        <v>1570</v>
      </c>
      <c r="K18" s="15">
        <f>L18+1567</f>
        <v>1567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0.57138196583134682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119</v>
      </c>
      <c r="D19" s="55" t="s">
        <v>139</v>
      </c>
      <c r="E19" s="57" t="s">
        <v>272</v>
      </c>
      <c r="F19" s="33" t="s">
        <v>140</v>
      </c>
      <c r="G19" s="12">
        <v>1</v>
      </c>
      <c r="H19" s="13">
        <v>25</v>
      </c>
      <c r="I19" s="34">
        <v>18000</v>
      </c>
      <c r="J19" s="5">
        <v>5180</v>
      </c>
      <c r="K19" s="15">
        <f>L19+5334</f>
        <v>10505</v>
      </c>
      <c r="L19" s="15">
        <f>2990+2181</f>
        <v>5171</v>
      </c>
      <c r="M19" s="16">
        <f t="shared" si="0"/>
        <v>5171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0.99826254826254823</v>
      </c>
      <c r="AC19" s="9">
        <f t="shared" si="5"/>
        <v>1</v>
      </c>
      <c r="AD19" s="10">
        <f t="shared" si="6"/>
        <v>0.99826254826254823</v>
      </c>
      <c r="AE19" s="39">
        <f t="shared" si="7"/>
        <v>0.57138196583134682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119</v>
      </c>
      <c r="D20" s="55" t="s">
        <v>58</v>
      </c>
      <c r="E20" s="57" t="s">
        <v>143</v>
      </c>
      <c r="F20" s="33" t="s">
        <v>147</v>
      </c>
      <c r="G20" s="36">
        <v>1</v>
      </c>
      <c r="H20" s="38">
        <v>25</v>
      </c>
      <c r="I20" s="7">
        <v>30000</v>
      </c>
      <c r="J20" s="5">
        <v>1860</v>
      </c>
      <c r="K20" s="15">
        <f>L20+4545+5031+1956+1665</f>
        <v>15052</v>
      </c>
      <c r="L20" s="15">
        <f>684+1171</f>
        <v>1855</v>
      </c>
      <c r="M20" s="16">
        <f t="shared" si="0"/>
        <v>1855</v>
      </c>
      <c r="N20" s="16">
        <v>0</v>
      </c>
      <c r="O20" s="62">
        <f t="shared" si="1"/>
        <v>0</v>
      </c>
      <c r="P20" s="42">
        <f t="shared" si="2"/>
        <v>11</v>
      </c>
      <c r="Q20" s="43">
        <f t="shared" si="3"/>
        <v>13</v>
      </c>
      <c r="R20" s="7"/>
      <c r="S20" s="6">
        <v>13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0.99731182795698925</v>
      </c>
      <c r="AC20" s="9">
        <f t="shared" si="5"/>
        <v>0.45833333333333331</v>
      </c>
      <c r="AD20" s="10">
        <f t="shared" si="6"/>
        <v>0.45710125448028671</v>
      </c>
      <c r="AE20" s="39">
        <f t="shared" si="7"/>
        <v>0.57138196583134682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394</v>
      </c>
      <c r="F21" s="12" t="s">
        <v>117</v>
      </c>
      <c r="G21" s="12">
        <v>4</v>
      </c>
      <c r="H21" s="38">
        <v>20</v>
      </c>
      <c r="I21" s="7">
        <v>200000</v>
      </c>
      <c r="J21" s="14">
        <v>58840</v>
      </c>
      <c r="K21" s="15">
        <f>L21+45088+61368+43536+55776+69768</f>
        <v>334368</v>
      </c>
      <c r="L21" s="15">
        <f>9168*4+5540*4</f>
        <v>58832</v>
      </c>
      <c r="M21" s="16">
        <f t="shared" si="0"/>
        <v>58832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0.99986403806934054</v>
      </c>
      <c r="AC21" s="9">
        <f t="shared" si="5"/>
        <v>1</v>
      </c>
      <c r="AD21" s="10">
        <f t="shared" si="6"/>
        <v>0.99986403806934054</v>
      </c>
      <c r="AE21" s="39">
        <f t="shared" si="7"/>
        <v>0.57138196583134682</v>
      </c>
      <c r="AF21" s="94">
        <f t="shared" si="8"/>
        <v>15</v>
      </c>
    </row>
    <row r="22" spans="1:36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5">
        <f t="shared" ref="I22:N22" si="17">SUM(I6:I21)</f>
        <v>427200</v>
      </c>
      <c r="J22" s="22">
        <f t="shared" si="17"/>
        <v>107340</v>
      </c>
      <c r="K22" s="23">
        <f t="shared" si="17"/>
        <v>536705</v>
      </c>
      <c r="L22" s="24">
        <f t="shared" si="17"/>
        <v>99337</v>
      </c>
      <c r="M22" s="23">
        <f t="shared" si="17"/>
        <v>99337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206</v>
      </c>
      <c r="Q22" s="46">
        <f t="shared" si="18"/>
        <v>178</v>
      </c>
      <c r="R22" s="26">
        <f t="shared" si="18"/>
        <v>24</v>
      </c>
      <c r="S22" s="27">
        <f t="shared" si="18"/>
        <v>57</v>
      </c>
      <c r="T22" s="27">
        <f t="shared" si="18"/>
        <v>5</v>
      </c>
      <c r="U22" s="27">
        <f t="shared" si="18"/>
        <v>0</v>
      </c>
      <c r="V22" s="28">
        <f t="shared" si="18"/>
        <v>0</v>
      </c>
      <c r="W22" s="29">
        <f t="shared" si="18"/>
        <v>92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0.73146092320497613</v>
      </c>
      <c r="AC22" s="4">
        <f>SUM(AC6:AC21)/15</f>
        <v>0.57222222222222219</v>
      </c>
      <c r="AD22" s="4">
        <f>SUM(AD6:AD21)/15</f>
        <v>0.57138196583134682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1" t="s">
        <v>46</v>
      </c>
      <c r="B49" s="411"/>
      <c r="C49" s="411"/>
      <c r="D49" s="411"/>
      <c r="E49" s="41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2" t="s">
        <v>736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752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286" t="s">
        <v>47</v>
      </c>
      <c r="D51" s="286" t="s">
        <v>48</v>
      </c>
      <c r="E51" s="286" t="s">
        <v>110</v>
      </c>
      <c r="F51" s="419" t="s">
        <v>109</v>
      </c>
      <c r="G51" s="419"/>
      <c r="H51" s="419"/>
      <c r="I51" s="419"/>
      <c r="J51" s="419"/>
      <c r="K51" s="419"/>
      <c r="L51" s="419"/>
      <c r="M51" s="420"/>
      <c r="N51" s="73" t="s">
        <v>114</v>
      </c>
      <c r="O51" s="286" t="s">
        <v>47</v>
      </c>
      <c r="P51" s="421" t="s">
        <v>48</v>
      </c>
      <c r="Q51" s="422"/>
      <c r="R51" s="421" t="s">
        <v>39</v>
      </c>
      <c r="S51" s="423"/>
      <c r="T51" s="423"/>
      <c r="U51" s="422"/>
      <c r="V51" s="421" t="s">
        <v>49</v>
      </c>
      <c r="W51" s="423"/>
      <c r="X51" s="423"/>
      <c r="Y51" s="423"/>
      <c r="Z51" s="423"/>
      <c r="AA51" s="423"/>
      <c r="AB51" s="423"/>
      <c r="AC51" s="423"/>
      <c r="AD51" s="424"/>
    </row>
    <row r="52" spans="1:32" ht="27" customHeight="1">
      <c r="A52" s="435" t="s">
        <v>617</v>
      </c>
      <c r="B52" s="436"/>
      <c r="C52" s="288" t="s">
        <v>398</v>
      </c>
      <c r="D52" s="288" t="s">
        <v>728</v>
      </c>
      <c r="E52" s="291" t="s">
        <v>737</v>
      </c>
      <c r="F52" s="437" t="s">
        <v>738</v>
      </c>
      <c r="G52" s="437"/>
      <c r="H52" s="437"/>
      <c r="I52" s="437"/>
      <c r="J52" s="437"/>
      <c r="K52" s="437"/>
      <c r="L52" s="437"/>
      <c r="M52" s="438"/>
      <c r="N52" s="287" t="s">
        <v>753</v>
      </c>
      <c r="O52" s="74" t="s">
        <v>285</v>
      </c>
      <c r="P52" s="439" t="s">
        <v>754</v>
      </c>
      <c r="Q52" s="440"/>
      <c r="R52" s="436" t="s">
        <v>755</v>
      </c>
      <c r="S52" s="436"/>
      <c r="T52" s="436"/>
      <c r="U52" s="436"/>
      <c r="V52" s="437" t="s">
        <v>196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119</v>
      </c>
      <c r="B53" s="446"/>
      <c r="C53" s="291" t="s">
        <v>204</v>
      </c>
      <c r="D53" s="288" t="s">
        <v>626</v>
      </c>
      <c r="E53" s="291" t="s">
        <v>239</v>
      </c>
      <c r="F53" s="437" t="s">
        <v>739</v>
      </c>
      <c r="G53" s="437"/>
      <c r="H53" s="437"/>
      <c r="I53" s="437"/>
      <c r="J53" s="437"/>
      <c r="K53" s="437"/>
      <c r="L53" s="437"/>
      <c r="M53" s="438"/>
      <c r="N53" s="287" t="s">
        <v>119</v>
      </c>
      <c r="O53" s="74" t="s">
        <v>672</v>
      </c>
      <c r="P53" s="439" t="s">
        <v>58</v>
      </c>
      <c r="Q53" s="440"/>
      <c r="R53" s="436" t="s">
        <v>143</v>
      </c>
      <c r="S53" s="436"/>
      <c r="T53" s="436"/>
      <c r="U53" s="436"/>
      <c r="V53" s="437" t="s">
        <v>181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740</v>
      </c>
      <c r="B54" s="446"/>
      <c r="C54" s="291" t="s">
        <v>741</v>
      </c>
      <c r="D54" s="288" t="s">
        <v>742</v>
      </c>
      <c r="E54" s="291" t="s">
        <v>744</v>
      </c>
      <c r="F54" s="437" t="s">
        <v>745</v>
      </c>
      <c r="G54" s="437"/>
      <c r="H54" s="437"/>
      <c r="I54" s="437"/>
      <c r="J54" s="437"/>
      <c r="K54" s="437"/>
      <c r="L54" s="437"/>
      <c r="M54" s="438"/>
      <c r="N54" s="287" t="s">
        <v>740</v>
      </c>
      <c r="O54" s="74" t="s">
        <v>443</v>
      </c>
      <c r="P54" s="439" t="s">
        <v>756</v>
      </c>
      <c r="Q54" s="440"/>
      <c r="R54" s="436" t="s">
        <v>757</v>
      </c>
      <c r="S54" s="436"/>
      <c r="T54" s="436"/>
      <c r="U54" s="436"/>
      <c r="V54" s="437" t="s">
        <v>758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119</v>
      </c>
      <c r="B55" s="446"/>
      <c r="C55" s="291" t="s">
        <v>746</v>
      </c>
      <c r="D55" s="288" t="s">
        <v>747</v>
      </c>
      <c r="E55" s="291" t="s">
        <v>748</v>
      </c>
      <c r="F55" s="437" t="s">
        <v>749</v>
      </c>
      <c r="G55" s="437"/>
      <c r="H55" s="437"/>
      <c r="I55" s="437"/>
      <c r="J55" s="437"/>
      <c r="K55" s="437"/>
      <c r="L55" s="437"/>
      <c r="M55" s="438"/>
      <c r="N55" s="287" t="s">
        <v>759</v>
      </c>
      <c r="O55" s="74" t="s">
        <v>292</v>
      </c>
      <c r="P55" s="439" t="s">
        <v>760</v>
      </c>
      <c r="Q55" s="440"/>
      <c r="R55" s="436" t="s">
        <v>743</v>
      </c>
      <c r="S55" s="436"/>
      <c r="T55" s="436"/>
      <c r="U55" s="436"/>
      <c r="V55" s="437" t="s">
        <v>758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118</v>
      </c>
      <c r="B56" s="436"/>
      <c r="C56" s="288" t="s">
        <v>443</v>
      </c>
      <c r="D56" s="288" t="s">
        <v>235</v>
      </c>
      <c r="E56" s="291" t="s">
        <v>735</v>
      </c>
      <c r="F56" s="437" t="s">
        <v>750</v>
      </c>
      <c r="G56" s="437"/>
      <c r="H56" s="437"/>
      <c r="I56" s="437"/>
      <c r="J56" s="437"/>
      <c r="K56" s="437"/>
      <c r="L56" s="437"/>
      <c r="M56" s="438"/>
      <c r="N56" s="287" t="s">
        <v>731</v>
      </c>
      <c r="O56" s="74" t="s">
        <v>142</v>
      </c>
      <c r="P56" s="439"/>
      <c r="Q56" s="440"/>
      <c r="R56" s="436" t="s">
        <v>761</v>
      </c>
      <c r="S56" s="436"/>
      <c r="T56" s="436"/>
      <c r="U56" s="436"/>
      <c r="V56" s="437" t="s">
        <v>762</v>
      </c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35" t="s">
        <v>731</v>
      </c>
      <c r="B57" s="436"/>
      <c r="C57" s="288" t="s">
        <v>443</v>
      </c>
      <c r="D57" s="288" t="s">
        <v>254</v>
      </c>
      <c r="E57" s="291" t="s">
        <v>255</v>
      </c>
      <c r="F57" s="437" t="s">
        <v>751</v>
      </c>
      <c r="G57" s="437"/>
      <c r="H57" s="437"/>
      <c r="I57" s="437"/>
      <c r="J57" s="437"/>
      <c r="K57" s="437"/>
      <c r="L57" s="437"/>
      <c r="M57" s="438"/>
      <c r="N57" s="287"/>
      <c r="O57" s="74"/>
      <c r="P57" s="436"/>
      <c r="Q57" s="436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291"/>
      <c r="D58" s="288"/>
      <c r="E58" s="291"/>
      <c r="F58" s="437"/>
      <c r="G58" s="437"/>
      <c r="H58" s="437"/>
      <c r="I58" s="437"/>
      <c r="J58" s="437"/>
      <c r="K58" s="437"/>
      <c r="L58" s="437"/>
      <c r="M58" s="438"/>
      <c r="N58" s="287"/>
      <c r="O58" s="74"/>
      <c r="P58" s="439"/>
      <c r="Q58" s="440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/>
      <c r="B59" s="446"/>
      <c r="C59" s="291"/>
      <c r="D59" s="288"/>
      <c r="E59" s="291"/>
      <c r="F59" s="437"/>
      <c r="G59" s="437"/>
      <c r="H59" s="437"/>
      <c r="I59" s="437"/>
      <c r="J59" s="437"/>
      <c r="K59" s="437"/>
      <c r="L59" s="437"/>
      <c r="M59" s="438"/>
      <c r="N59" s="287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35"/>
      <c r="B60" s="436"/>
      <c r="C60" s="288"/>
      <c r="D60" s="288"/>
      <c r="E60" s="288"/>
      <c r="F60" s="437"/>
      <c r="G60" s="437"/>
      <c r="H60" s="437"/>
      <c r="I60" s="437"/>
      <c r="J60" s="437"/>
      <c r="K60" s="437"/>
      <c r="L60" s="437"/>
      <c r="M60" s="438"/>
      <c r="N60" s="287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  <c r="AF60" s="94">
        <f>8*3000</f>
        <v>24000</v>
      </c>
    </row>
    <row r="61" spans="1:32" ht="27" customHeight="1" thickBot="1">
      <c r="A61" s="441"/>
      <c r="B61" s="442"/>
      <c r="C61" s="290"/>
      <c r="D61" s="290"/>
      <c r="E61" s="290"/>
      <c r="F61" s="443"/>
      <c r="G61" s="443"/>
      <c r="H61" s="443"/>
      <c r="I61" s="443"/>
      <c r="J61" s="443"/>
      <c r="K61" s="443"/>
      <c r="L61" s="443"/>
      <c r="M61" s="444"/>
      <c r="N61" s="289"/>
      <c r="O61" s="121"/>
      <c r="P61" s="442"/>
      <c r="Q61" s="442"/>
      <c r="R61" s="442"/>
      <c r="S61" s="442"/>
      <c r="T61" s="442"/>
      <c r="U61" s="442"/>
      <c r="V61" s="443"/>
      <c r="W61" s="443"/>
      <c r="X61" s="443"/>
      <c r="Y61" s="443"/>
      <c r="Z61" s="443"/>
      <c r="AA61" s="443"/>
      <c r="AB61" s="443"/>
      <c r="AC61" s="443"/>
      <c r="AD61" s="444"/>
      <c r="AF61" s="94">
        <f>16*3000</f>
        <v>48000</v>
      </c>
    </row>
    <row r="62" spans="1:32" ht="27.75" thickBot="1">
      <c r="A62" s="447" t="s">
        <v>763</v>
      </c>
      <c r="B62" s="447"/>
      <c r="C62" s="447"/>
      <c r="D62" s="447"/>
      <c r="E62" s="44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8" t="s">
        <v>115</v>
      </c>
      <c r="B63" s="449"/>
      <c r="C63" s="292" t="s">
        <v>2</v>
      </c>
      <c r="D63" s="292" t="s">
        <v>38</v>
      </c>
      <c r="E63" s="292" t="s">
        <v>3</v>
      </c>
      <c r="F63" s="449" t="s">
        <v>112</v>
      </c>
      <c r="G63" s="449"/>
      <c r="H63" s="449"/>
      <c r="I63" s="449"/>
      <c r="J63" s="449"/>
      <c r="K63" s="449" t="s">
        <v>40</v>
      </c>
      <c r="L63" s="449"/>
      <c r="M63" s="292" t="s">
        <v>41</v>
      </c>
      <c r="N63" s="449" t="s">
        <v>42</v>
      </c>
      <c r="O63" s="449"/>
      <c r="P63" s="450" t="s">
        <v>43</v>
      </c>
      <c r="Q63" s="451"/>
      <c r="R63" s="450" t="s">
        <v>44</v>
      </c>
      <c r="S63" s="452"/>
      <c r="T63" s="452"/>
      <c r="U63" s="452"/>
      <c r="V63" s="452"/>
      <c r="W63" s="452"/>
      <c r="X63" s="452"/>
      <c r="Y63" s="452"/>
      <c r="Z63" s="452"/>
      <c r="AA63" s="451"/>
      <c r="AB63" s="449" t="s">
        <v>45</v>
      </c>
      <c r="AC63" s="449"/>
      <c r="AD63" s="453"/>
      <c r="AF63" s="94">
        <f>SUM(AF60:AF62)</f>
        <v>96000</v>
      </c>
    </row>
    <row r="64" spans="1:32" ht="25.5" customHeight="1">
      <c r="A64" s="454">
        <v>1</v>
      </c>
      <c r="B64" s="455"/>
      <c r="C64" s="124"/>
      <c r="D64" s="295"/>
      <c r="E64" s="293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2</v>
      </c>
      <c r="B65" s="455"/>
      <c r="C65" s="124"/>
      <c r="D65" s="295"/>
      <c r="E65" s="293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3</v>
      </c>
      <c r="B66" s="455"/>
      <c r="C66" s="124"/>
      <c r="D66" s="295"/>
      <c r="E66" s="293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4</v>
      </c>
      <c r="B67" s="455"/>
      <c r="C67" s="124"/>
      <c r="D67" s="295"/>
      <c r="E67" s="293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5</v>
      </c>
      <c r="B68" s="455"/>
      <c r="C68" s="124"/>
      <c r="D68" s="295"/>
      <c r="E68" s="293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6</v>
      </c>
      <c r="B69" s="455"/>
      <c r="C69" s="124"/>
      <c r="D69" s="295"/>
      <c r="E69" s="293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7</v>
      </c>
      <c r="B70" s="455"/>
      <c r="C70" s="124"/>
      <c r="D70" s="295"/>
      <c r="E70" s="293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8</v>
      </c>
      <c r="B71" s="455"/>
      <c r="C71" s="124"/>
      <c r="D71" s="295"/>
      <c r="E71" s="293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6.25" customHeight="1" thickBot="1">
      <c r="A72" s="460" t="s">
        <v>764</v>
      </c>
      <c r="B72" s="460"/>
      <c r="C72" s="460"/>
      <c r="D72" s="460"/>
      <c r="E72" s="46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1" t="s">
        <v>115</v>
      </c>
      <c r="B73" s="462"/>
      <c r="C73" s="294" t="s">
        <v>2</v>
      </c>
      <c r="D73" s="294" t="s">
        <v>38</v>
      </c>
      <c r="E73" s="294" t="s">
        <v>3</v>
      </c>
      <c r="F73" s="462" t="s">
        <v>39</v>
      </c>
      <c r="G73" s="462"/>
      <c r="H73" s="462"/>
      <c r="I73" s="462"/>
      <c r="J73" s="462"/>
      <c r="K73" s="463" t="s">
        <v>60</v>
      </c>
      <c r="L73" s="464"/>
      <c r="M73" s="464"/>
      <c r="N73" s="464"/>
      <c r="O73" s="464"/>
      <c r="P73" s="464"/>
      <c r="Q73" s="464"/>
      <c r="R73" s="464"/>
      <c r="S73" s="465"/>
      <c r="T73" s="462" t="s">
        <v>50</v>
      </c>
      <c r="U73" s="462"/>
      <c r="V73" s="463" t="s">
        <v>51</v>
      </c>
      <c r="W73" s="465"/>
      <c r="X73" s="464" t="s">
        <v>52</v>
      </c>
      <c r="Y73" s="464"/>
      <c r="Z73" s="464"/>
      <c r="AA73" s="464"/>
      <c r="AB73" s="464"/>
      <c r="AC73" s="464"/>
      <c r="AD73" s="466"/>
      <c r="AF73" s="53"/>
    </row>
    <row r="74" spans="1:32" ht="33.75" customHeight="1">
      <c r="A74" s="475">
        <v>1</v>
      </c>
      <c r="B74" s="476"/>
      <c r="C74" s="296" t="s">
        <v>118</v>
      </c>
      <c r="D74" s="296"/>
      <c r="E74" s="71" t="s">
        <v>126</v>
      </c>
      <c r="F74" s="477" t="s">
        <v>127</v>
      </c>
      <c r="G74" s="478"/>
      <c r="H74" s="478"/>
      <c r="I74" s="478"/>
      <c r="J74" s="479"/>
      <c r="K74" s="480" t="s">
        <v>120</v>
      </c>
      <c r="L74" s="481"/>
      <c r="M74" s="481"/>
      <c r="N74" s="481"/>
      <c r="O74" s="481"/>
      <c r="P74" s="481"/>
      <c r="Q74" s="481"/>
      <c r="R74" s="481"/>
      <c r="S74" s="482"/>
      <c r="T74" s="483">
        <v>42901</v>
      </c>
      <c r="U74" s="484"/>
      <c r="V74" s="485"/>
      <c r="W74" s="485"/>
      <c r="X74" s="486"/>
      <c r="Y74" s="486"/>
      <c r="Z74" s="486"/>
      <c r="AA74" s="486"/>
      <c r="AB74" s="486"/>
      <c r="AC74" s="486"/>
      <c r="AD74" s="487"/>
      <c r="AF74" s="53"/>
    </row>
    <row r="75" spans="1:32" ht="30" customHeight="1">
      <c r="A75" s="467">
        <f>A74+1</f>
        <v>2</v>
      </c>
      <c r="B75" s="468"/>
      <c r="C75" s="295" t="s">
        <v>118</v>
      </c>
      <c r="D75" s="295"/>
      <c r="E75" s="35" t="s">
        <v>123</v>
      </c>
      <c r="F75" s="468" t="s">
        <v>124</v>
      </c>
      <c r="G75" s="468"/>
      <c r="H75" s="468"/>
      <c r="I75" s="468"/>
      <c r="J75" s="468"/>
      <c r="K75" s="469" t="s">
        <v>125</v>
      </c>
      <c r="L75" s="470"/>
      <c r="M75" s="470"/>
      <c r="N75" s="470"/>
      <c r="O75" s="470"/>
      <c r="P75" s="470"/>
      <c r="Q75" s="470"/>
      <c r="R75" s="470"/>
      <c r="S75" s="471"/>
      <c r="T75" s="472">
        <v>42867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ref="A76:A82" si="19">A75+1</f>
        <v>3</v>
      </c>
      <c r="B76" s="468"/>
      <c r="C76" s="295" t="s">
        <v>163</v>
      </c>
      <c r="D76" s="295"/>
      <c r="E76" s="35" t="s">
        <v>151</v>
      </c>
      <c r="F76" s="468" t="s">
        <v>168</v>
      </c>
      <c r="G76" s="468"/>
      <c r="H76" s="468"/>
      <c r="I76" s="468"/>
      <c r="J76" s="468"/>
      <c r="K76" s="469" t="s">
        <v>120</v>
      </c>
      <c r="L76" s="470"/>
      <c r="M76" s="470"/>
      <c r="N76" s="470"/>
      <c r="O76" s="470"/>
      <c r="P76" s="470"/>
      <c r="Q76" s="470"/>
      <c r="R76" s="470"/>
      <c r="S76" s="471"/>
      <c r="T76" s="472">
        <v>42937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9"/>
        <v>4</v>
      </c>
      <c r="B77" s="468"/>
      <c r="C77" s="295" t="s">
        <v>119</v>
      </c>
      <c r="D77" s="295"/>
      <c r="E77" s="35" t="s">
        <v>148</v>
      </c>
      <c r="F77" s="468" t="s">
        <v>149</v>
      </c>
      <c r="G77" s="468"/>
      <c r="H77" s="468"/>
      <c r="I77" s="468"/>
      <c r="J77" s="468"/>
      <c r="K77" s="469" t="s">
        <v>153</v>
      </c>
      <c r="L77" s="470"/>
      <c r="M77" s="470"/>
      <c r="N77" s="470"/>
      <c r="O77" s="470"/>
      <c r="P77" s="470"/>
      <c r="Q77" s="470"/>
      <c r="R77" s="470"/>
      <c r="S77" s="471"/>
      <c r="T77" s="472">
        <v>42920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9"/>
        <v>5</v>
      </c>
      <c r="B78" s="468"/>
      <c r="C78" s="295" t="s">
        <v>119</v>
      </c>
      <c r="D78" s="295"/>
      <c r="E78" s="35" t="s">
        <v>58</v>
      </c>
      <c r="F78" s="468" t="s">
        <v>724</v>
      </c>
      <c r="G78" s="468"/>
      <c r="H78" s="468"/>
      <c r="I78" s="468"/>
      <c r="J78" s="468"/>
      <c r="K78" s="469" t="s">
        <v>725</v>
      </c>
      <c r="L78" s="470"/>
      <c r="M78" s="470"/>
      <c r="N78" s="470"/>
      <c r="O78" s="470"/>
      <c r="P78" s="470"/>
      <c r="Q78" s="470"/>
      <c r="R78" s="470"/>
      <c r="S78" s="471"/>
      <c r="T78" s="472">
        <v>42969</v>
      </c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9"/>
        <v>6</v>
      </c>
      <c r="B79" s="468"/>
      <c r="C79" s="295"/>
      <c r="D79" s="295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9"/>
        <v>7</v>
      </c>
      <c r="B80" s="468"/>
      <c r="C80" s="295"/>
      <c r="D80" s="295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9"/>
        <v>8</v>
      </c>
      <c r="B81" s="468"/>
      <c r="C81" s="295"/>
      <c r="D81" s="295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19"/>
        <v>9</v>
      </c>
      <c r="B82" s="468"/>
      <c r="C82" s="295"/>
      <c r="D82" s="295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6" thickBot="1">
      <c r="A83" s="460" t="s">
        <v>765</v>
      </c>
      <c r="B83" s="460"/>
      <c r="C83" s="460"/>
      <c r="D83" s="460"/>
      <c r="E83" s="46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88" t="s">
        <v>37</v>
      </c>
      <c r="B84" s="489"/>
      <c r="C84" s="489" t="s">
        <v>53</v>
      </c>
      <c r="D84" s="489"/>
      <c r="E84" s="489" t="s">
        <v>54</v>
      </c>
      <c r="F84" s="489"/>
      <c r="G84" s="489"/>
      <c r="H84" s="489"/>
      <c r="I84" s="489"/>
      <c r="J84" s="489"/>
      <c r="K84" s="489" t="s">
        <v>55</v>
      </c>
      <c r="L84" s="489"/>
      <c r="M84" s="489"/>
      <c r="N84" s="489"/>
      <c r="O84" s="489"/>
      <c r="P84" s="489"/>
      <c r="Q84" s="489"/>
      <c r="R84" s="489"/>
      <c r="S84" s="489"/>
      <c r="T84" s="489" t="s">
        <v>56</v>
      </c>
      <c r="U84" s="489"/>
      <c r="V84" s="489" t="s">
        <v>57</v>
      </c>
      <c r="W84" s="489"/>
      <c r="X84" s="489"/>
      <c r="Y84" s="489" t="s">
        <v>52</v>
      </c>
      <c r="Z84" s="489"/>
      <c r="AA84" s="489"/>
      <c r="AB84" s="489"/>
      <c r="AC84" s="489"/>
      <c r="AD84" s="490"/>
      <c r="AF84" s="53"/>
    </row>
    <row r="85" spans="1:32" ht="30.75" customHeight="1">
      <c r="A85" s="475">
        <v>1</v>
      </c>
      <c r="B85" s="476"/>
      <c r="C85" s="491">
        <v>1</v>
      </c>
      <c r="D85" s="491"/>
      <c r="E85" s="491" t="s">
        <v>133</v>
      </c>
      <c r="F85" s="491"/>
      <c r="G85" s="491"/>
      <c r="H85" s="491"/>
      <c r="I85" s="491"/>
      <c r="J85" s="491"/>
      <c r="K85" s="491" t="s">
        <v>134</v>
      </c>
      <c r="L85" s="491"/>
      <c r="M85" s="491"/>
      <c r="N85" s="491"/>
      <c r="O85" s="491"/>
      <c r="P85" s="491"/>
      <c r="Q85" s="491"/>
      <c r="R85" s="491"/>
      <c r="S85" s="491"/>
      <c r="T85" s="491" t="s">
        <v>135</v>
      </c>
      <c r="U85" s="491"/>
      <c r="V85" s="492">
        <v>1500000</v>
      </c>
      <c r="W85" s="492"/>
      <c r="X85" s="492"/>
      <c r="Y85" s="493" t="s">
        <v>136</v>
      </c>
      <c r="Z85" s="493"/>
      <c r="AA85" s="493"/>
      <c r="AB85" s="493"/>
      <c r="AC85" s="493"/>
      <c r="AD85" s="494"/>
      <c r="AF85" s="53"/>
    </row>
    <row r="86" spans="1:32" ht="30.75" customHeight="1">
      <c r="A86" s="467">
        <v>2</v>
      </c>
      <c r="B86" s="468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502"/>
      <c r="Q86" s="502"/>
      <c r="R86" s="502"/>
      <c r="S86" s="502"/>
      <c r="T86" s="503"/>
      <c r="U86" s="503"/>
      <c r="V86" s="504"/>
      <c r="W86" s="504"/>
      <c r="X86" s="504"/>
      <c r="Y86" s="495"/>
      <c r="Z86" s="495"/>
      <c r="AA86" s="495"/>
      <c r="AB86" s="495"/>
      <c r="AC86" s="495"/>
      <c r="AD86" s="496"/>
      <c r="AF86" s="53"/>
    </row>
    <row r="87" spans="1:32" ht="30.75" customHeight="1" thickBot="1">
      <c r="A87" s="497">
        <v>3</v>
      </c>
      <c r="B87" s="498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500"/>
      <c r="Z87" s="500"/>
      <c r="AA87" s="500"/>
      <c r="AB87" s="500"/>
      <c r="AC87" s="500"/>
      <c r="AD87" s="50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766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08" t="s">
        <v>17</v>
      </c>
      <c r="L5" s="308" t="s">
        <v>18</v>
      </c>
      <c r="M5" s="308" t="s">
        <v>19</v>
      </c>
      <c r="N5" s="30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0.50770600682389744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119</v>
      </c>
      <c r="D7" s="55" t="s">
        <v>647</v>
      </c>
      <c r="E7" s="56" t="s">
        <v>648</v>
      </c>
      <c r="F7" s="12" t="s">
        <v>649</v>
      </c>
      <c r="G7" s="36">
        <v>2</v>
      </c>
      <c r="H7" s="38">
        <v>25</v>
      </c>
      <c r="I7" s="7">
        <v>30000</v>
      </c>
      <c r="J7" s="14">
        <v>11550</v>
      </c>
      <c r="K7" s="15">
        <f>L7+6516+12074+10296</f>
        <v>40436</v>
      </c>
      <c r="L7" s="15">
        <f>3151*2+2624*2</f>
        <v>11550</v>
      </c>
      <c r="M7" s="16">
        <f t="shared" si="0"/>
        <v>11550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 t="shared" si="7"/>
        <v>0.50770600682389744</v>
      </c>
      <c r="AF7" s="94">
        <f>A7</f>
        <v>2</v>
      </c>
    </row>
    <row r="8" spans="1:36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3740</v>
      </c>
      <c r="K8" s="15">
        <f>L8+562+3624+3000+2279+2723+3016+4670+4950+6437+5255+6162+3810+4931+5459+4477</f>
        <v>65094</v>
      </c>
      <c r="L8" s="15">
        <f>2411+1328</f>
        <v>3739</v>
      </c>
      <c r="M8" s="16">
        <f t="shared" si="0"/>
        <v>3739</v>
      </c>
      <c r="N8" s="16">
        <v>0</v>
      </c>
      <c r="O8" s="62">
        <f t="shared" si="1"/>
        <v>0</v>
      </c>
      <c r="P8" s="42">
        <f t="shared" si="2"/>
        <v>20</v>
      </c>
      <c r="Q8" s="43">
        <f t="shared" si="3"/>
        <v>4</v>
      </c>
      <c r="R8" s="7"/>
      <c r="S8" s="6">
        <v>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0.99973262032085564</v>
      </c>
      <c r="AC8" s="9">
        <f t="shared" si="5"/>
        <v>0.83333333333333337</v>
      </c>
      <c r="AD8" s="10">
        <f t="shared" si="6"/>
        <v>0.83311051693404636</v>
      </c>
      <c r="AE8" s="39">
        <f t="shared" si="7"/>
        <v>0.50770600682389744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247</v>
      </c>
      <c r="D9" s="55" t="s">
        <v>767</v>
      </c>
      <c r="E9" s="57" t="s">
        <v>768</v>
      </c>
      <c r="F9" s="12" t="s">
        <v>769</v>
      </c>
      <c r="G9" s="12">
        <v>1</v>
      </c>
      <c r="H9" s="13">
        <v>25</v>
      </c>
      <c r="I9" s="34">
        <v>500</v>
      </c>
      <c r="J9" s="5">
        <v>680</v>
      </c>
      <c r="K9" s="15">
        <f>L9</f>
        <v>678</v>
      </c>
      <c r="L9" s="15">
        <v>678</v>
      </c>
      <c r="M9" s="16">
        <f t="shared" si="0"/>
        <v>678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0.99705882352941178</v>
      </c>
      <c r="AC9" s="9">
        <f t="shared" si="5"/>
        <v>0.16666666666666666</v>
      </c>
      <c r="AD9" s="10">
        <f t="shared" si="6"/>
        <v>0.16617647058823529</v>
      </c>
      <c r="AE9" s="39">
        <f t="shared" si="7"/>
        <v>0.50770600682389744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163</v>
      </c>
      <c r="D10" s="55" t="s">
        <v>151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30000</v>
      </c>
      <c r="J10" s="14">
        <v>4430</v>
      </c>
      <c r="K10" s="15">
        <f>L10+4291+3710+5240+2559+4147+4772+5285</f>
        <v>34433</v>
      </c>
      <c r="L10" s="15">
        <f>3316+1113</f>
        <v>4429</v>
      </c>
      <c r="M10" s="16">
        <f t="shared" si="0"/>
        <v>4429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0.99977426636568845</v>
      </c>
      <c r="AC10" s="9">
        <f t="shared" si="5"/>
        <v>0.79166666666666663</v>
      </c>
      <c r="AD10" s="10">
        <f t="shared" si="6"/>
        <v>0.79148796087283668</v>
      </c>
      <c r="AE10" s="39">
        <f t="shared" si="7"/>
        <v>0.50770600682389744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770</v>
      </c>
      <c r="E11" s="56" t="s">
        <v>771</v>
      </c>
      <c r="F11" s="12" t="s">
        <v>150</v>
      </c>
      <c r="G11" s="12">
        <v>1</v>
      </c>
      <c r="H11" s="13">
        <v>25</v>
      </c>
      <c r="I11" s="34">
        <v>500</v>
      </c>
      <c r="J11" s="14">
        <v>671</v>
      </c>
      <c r="K11" s="15">
        <f>L11</f>
        <v>671</v>
      </c>
      <c r="L11" s="15">
        <f>671</f>
        <v>671</v>
      </c>
      <c r="M11" s="16">
        <f t="shared" si="0"/>
        <v>671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 t="shared" si="7"/>
        <v>0.50770600682389744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728</v>
      </c>
      <c r="E12" s="57" t="s">
        <v>716</v>
      </c>
      <c r="F12" s="12" t="s">
        <v>730</v>
      </c>
      <c r="G12" s="12">
        <v>1</v>
      </c>
      <c r="H12" s="13">
        <v>25</v>
      </c>
      <c r="I12" s="7">
        <v>14000</v>
      </c>
      <c r="J12" s="14">
        <v>5230</v>
      </c>
      <c r="K12" s="15">
        <f>L12+3043</f>
        <v>8271</v>
      </c>
      <c r="L12" s="15">
        <f>2827+2401</f>
        <v>5228</v>
      </c>
      <c r="M12" s="16">
        <f t="shared" si="0"/>
        <v>5228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0.99961759082217971</v>
      </c>
      <c r="AC12" s="9">
        <f t="shared" si="5"/>
        <v>1</v>
      </c>
      <c r="AD12" s="10">
        <f t="shared" si="6"/>
        <v>0.99961759082217971</v>
      </c>
      <c r="AE12" s="39">
        <f t="shared" si="7"/>
        <v>0.50770600682389744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235</v>
      </c>
      <c r="E13" s="57" t="s">
        <v>735</v>
      </c>
      <c r="F13" s="12">
        <v>7301</v>
      </c>
      <c r="G13" s="12">
        <v>1</v>
      </c>
      <c r="H13" s="13">
        <v>25</v>
      </c>
      <c r="I13" s="7">
        <v>7000</v>
      </c>
      <c r="J13" s="14">
        <v>600</v>
      </c>
      <c r="K13" s="15">
        <f>L13+1701</f>
        <v>2300</v>
      </c>
      <c r="L13" s="15">
        <f>599</f>
        <v>599</v>
      </c>
      <c r="M13" s="16">
        <f t="shared" si="0"/>
        <v>599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>
        <v>20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0.99833333333333329</v>
      </c>
      <c r="AC13" s="9">
        <f t="shared" si="5"/>
        <v>0.16666666666666666</v>
      </c>
      <c r="AD13" s="10">
        <f t="shared" si="6"/>
        <v>0.16638888888888886</v>
      </c>
      <c r="AE13" s="39">
        <f t="shared" si="7"/>
        <v>0.50770600682389744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281</v>
      </c>
      <c r="F14" s="33" t="s">
        <v>282</v>
      </c>
      <c r="G14" s="36">
        <v>1</v>
      </c>
      <c r="H14" s="38">
        <v>40</v>
      </c>
      <c r="I14" s="7">
        <v>200</v>
      </c>
      <c r="J14" s="5">
        <v>260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0.50770600682389744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148</v>
      </c>
      <c r="E15" s="57" t="s">
        <v>631</v>
      </c>
      <c r="F15" s="12" t="s">
        <v>162</v>
      </c>
      <c r="G15" s="12">
        <v>1</v>
      </c>
      <c r="H15" s="13">
        <v>25</v>
      </c>
      <c r="I15" s="34">
        <v>2500</v>
      </c>
      <c r="J15" s="14">
        <v>2810</v>
      </c>
      <c r="K15" s="15">
        <f>L15+2807</f>
        <v>2807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0.50770600682389744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3300</v>
      </c>
      <c r="K16" s="15">
        <f>L16+2188+5991+4312+1728+3861+5379+4068+3395</f>
        <v>34196</v>
      </c>
      <c r="L16" s="15">
        <f>587+2687</f>
        <v>3274</v>
      </c>
      <c r="M16" s="16">
        <f t="shared" si="0"/>
        <v>3274</v>
      </c>
      <c r="N16" s="16">
        <v>0</v>
      </c>
      <c r="O16" s="62">
        <f t="shared" si="1"/>
        <v>0</v>
      </c>
      <c r="P16" s="42">
        <f t="shared" si="2"/>
        <v>16</v>
      </c>
      <c r="Q16" s="43">
        <f t="shared" si="3"/>
        <v>8</v>
      </c>
      <c r="R16" s="7"/>
      <c r="S16" s="6">
        <v>8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0.99212121212121207</v>
      </c>
      <c r="AC16" s="9">
        <f t="shared" si="5"/>
        <v>0.66666666666666663</v>
      </c>
      <c r="AD16" s="10">
        <f t="shared" si="6"/>
        <v>0.66141414141414134</v>
      </c>
      <c r="AE16" s="39">
        <f t="shared" si="7"/>
        <v>0.50770600682389744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772</v>
      </c>
      <c r="E17" s="56" t="s">
        <v>773</v>
      </c>
      <c r="F17" s="12">
        <v>8301</v>
      </c>
      <c r="G17" s="12">
        <v>1</v>
      </c>
      <c r="H17" s="13">
        <v>25</v>
      </c>
      <c r="I17" s="34">
        <v>6500</v>
      </c>
      <c r="J17" s="5">
        <v>3720</v>
      </c>
      <c r="K17" s="15">
        <f>L17</f>
        <v>3715</v>
      </c>
      <c r="L17" s="15">
        <f>3715</f>
        <v>3715</v>
      </c>
      <c r="M17" s="16">
        <f t="shared" si="0"/>
        <v>3715</v>
      </c>
      <c r="N17" s="16">
        <v>0</v>
      </c>
      <c r="O17" s="62">
        <f t="shared" si="1"/>
        <v>0</v>
      </c>
      <c r="P17" s="42">
        <f t="shared" si="2"/>
        <v>15</v>
      </c>
      <c r="Q17" s="43">
        <f t="shared" si="3"/>
        <v>9</v>
      </c>
      <c r="R17" s="7"/>
      <c r="S17" s="6">
        <v>9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0.99865591397849462</v>
      </c>
      <c r="AC17" s="9">
        <f t="shared" si="5"/>
        <v>0.625</v>
      </c>
      <c r="AD17" s="10">
        <f t="shared" si="6"/>
        <v>0.62415994623655913</v>
      </c>
      <c r="AE17" s="39">
        <f t="shared" si="7"/>
        <v>0.50770600682389744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139</v>
      </c>
      <c r="E18" s="57" t="s">
        <v>272</v>
      </c>
      <c r="F18" s="33" t="s">
        <v>140</v>
      </c>
      <c r="G18" s="12">
        <v>1</v>
      </c>
      <c r="H18" s="13">
        <v>25</v>
      </c>
      <c r="I18" s="34">
        <v>18000</v>
      </c>
      <c r="J18" s="5">
        <v>5880</v>
      </c>
      <c r="K18" s="15">
        <f>L18+5334+5171</f>
        <v>16378</v>
      </c>
      <c r="L18" s="15">
        <f>3177+2696</f>
        <v>5873</v>
      </c>
      <c r="M18" s="16">
        <f t="shared" si="0"/>
        <v>5873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0.99880952380952381</v>
      </c>
      <c r="AC18" s="9">
        <f t="shared" si="5"/>
        <v>1</v>
      </c>
      <c r="AD18" s="10">
        <f t="shared" si="6"/>
        <v>0.99880952380952381</v>
      </c>
      <c r="AE18" s="39">
        <f t="shared" si="7"/>
        <v>0.50770600682389744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30000</v>
      </c>
      <c r="J19" s="5">
        <v>910</v>
      </c>
      <c r="K19" s="15">
        <f>L19+4545+5031+1956+1665+1855</f>
        <v>15960</v>
      </c>
      <c r="L19" s="15">
        <f>238+670</f>
        <v>908</v>
      </c>
      <c r="M19" s="16">
        <f t="shared" si="0"/>
        <v>908</v>
      </c>
      <c r="N19" s="16">
        <v>0</v>
      </c>
      <c r="O19" s="62">
        <f t="shared" si="1"/>
        <v>0</v>
      </c>
      <c r="P19" s="42">
        <f t="shared" si="2"/>
        <v>5</v>
      </c>
      <c r="Q19" s="43">
        <f t="shared" si="3"/>
        <v>19</v>
      </c>
      <c r="R19" s="7"/>
      <c r="S19" s="6">
        <v>19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0.99780219780219781</v>
      </c>
      <c r="AC19" s="9">
        <f t="shared" si="5"/>
        <v>0.20833333333333334</v>
      </c>
      <c r="AD19" s="10">
        <f t="shared" si="6"/>
        <v>0.20787545787545789</v>
      </c>
      <c r="AE19" s="39">
        <f t="shared" si="7"/>
        <v>0.50770600682389744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394</v>
      </c>
      <c r="F20" s="12" t="s">
        <v>117</v>
      </c>
      <c r="G20" s="12">
        <v>4</v>
      </c>
      <c r="H20" s="38">
        <v>20</v>
      </c>
      <c r="I20" s="7">
        <v>200000</v>
      </c>
      <c r="J20" s="14">
        <v>68340</v>
      </c>
      <c r="K20" s="15">
        <f>L20+45088+61368+43536+55776+69768+58832</f>
        <v>402700</v>
      </c>
      <c r="L20" s="15">
        <f>9376*4+7707*4</f>
        <v>68332</v>
      </c>
      <c r="M20" s="16">
        <f t="shared" si="0"/>
        <v>68332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0.9998829382499268</v>
      </c>
      <c r="AC20" s="9">
        <f t="shared" si="5"/>
        <v>1</v>
      </c>
      <c r="AD20" s="10">
        <f t="shared" si="6"/>
        <v>0.9998829382499268</v>
      </c>
      <c r="AE20" s="39">
        <f t="shared" si="7"/>
        <v>0.50770600682389744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410200</v>
      </c>
      <c r="J21" s="22">
        <f t="shared" si="9"/>
        <v>114091</v>
      </c>
      <c r="K21" s="23">
        <f t="shared" si="9"/>
        <v>629601</v>
      </c>
      <c r="L21" s="24">
        <f t="shared" si="9"/>
        <v>108996</v>
      </c>
      <c r="M21" s="23">
        <f t="shared" si="9"/>
        <v>108996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183</v>
      </c>
      <c r="Q21" s="46">
        <f t="shared" si="10"/>
        <v>177</v>
      </c>
      <c r="R21" s="26">
        <f t="shared" si="10"/>
        <v>24</v>
      </c>
      <c r="S21" s="27">
        <f t="shared" si="10"/>
        <v>89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64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0.79878589468885486</v>
      </c>
      <c r="AC21" s="4">
        <f>SUM(AC6:AC20)/15</f>
        <v>0.5083333333333333</v>
      </c>
      <c r="AD21" s="4">
        <f>SUM(AD6:AD20)/15</f>
        <v>0.50770600682389744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774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791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307" t="s">
        <v>47</v>
      </c>
      <c r="D50" s="307" t="s">
        <v>48</v>
      </c>
      <c r="E50" s="307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307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45" t="s">
        <v>119</v>
      </c>
      <c r="B51" s="446"/>
      <c r="C51" s="306" t="s">
        <v>204</v>
      </c>
      <c r="D51" s="303" t="s">
        <v>626</v>
      </c>
      <c r="E51" s="306" t="s">
        <v>239</v>
      </c>
      <c r="F51" s="437" t="s">
        <v>739</v>
      </c>
      <c r="G51" s="437"/>
      <c r="H51" s="437"/>
      <c r="I51" s="437"/>
      <c r="J51" s="437"/>
      <c r="K51" s="437"/>
      <c r="L51" s="437"/>
      <c r="M51" s="438"/>
      <c r="N51" s="302" t="s">
        <v>247</v>
      </c>
      <c r="O51" s="74" t="s">
        <v>297</v>
      </c>
      <c r="P51" s="439" t="s">
        <v>754</v>
      </c>
      <c r="Q51" s="440"/>
      <c r="R51" s="436" t="s">
        <v>792</v>
      </c>
      <c r="S51" s="436"/>
      <c r="T51" s="436"/>
      <c r="U51" s="436"/>
      <c r="V51" s="437" t="s">
        <v>793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740</v>
      </c>
      <c r="B52" s="446"/>
      <c r="C52" s="306" t="s">
        <v>741</v>
      </c>
      <c r="D52" s="303" t="s">
        <v>742</v>
      </c>
      <c r="E52" s="306" t="s">
        <v>744</v>
      </c>
      <c r="F52" s="437" t="s">
        <v>775</v>
      </c>
      <c r="G52" s="437"/>
      <c r="H52" s="437"/>
      <c r="I52" s="437"/>
      <c r="J52" s="437"/>
      <c r="K52" s="437"/>
      <c r="L52" s="437"/>
      <c r="M52" s="438"/>
      <c r="N52" s="302" t="s">
        <v>119</v>
      </c>
      <c r="O52" s="74" t="s">
        <v>672</v>
      </c>
      <c r="P52" s="439" t="s">
        <v>58</v>
      </c>
      <c r="Q52" s="440"/>
      <c r="R52" s="436" t="s">
        <v>143</v>
      </c>
      <c r="S52" s="436"/>
      <c r="T52" s="436"/>
      <c r="U52" s="436"/>
      <c r="V52" s="437" t="s">
        <v>181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776</v>
      </c>
      <c r="B53" s="446"/>
      <c r="C53" s="306" t="s">
        <v>777</v>
      </c>
      <c r="D53" s="303" t="s">
        <v>778</v>
      </c>
      <c r="E53" s="306" t="s">
        <v>779</v>
      </c>
      <c r="F53" s="437" t="s">
        <v>780</v>
      </c>
      <c r="G53" s="437"/>
      <c r="H53" s="437"/>
      <c r="I53" s="437"/>
      <c r="J53" s="437"/>
      <c r="K53" s="437"/>
      <c r="L53" s="437"/>
      <c r="M53" s="438"/>
      <c r="N53" s="302" t="s">
        <v>740</v>
      </c>
      <c r="O53" s="74" t="s">
        <v>443</v>
      </c>
      <c r="P53" s="439" t="s">
        <v>756</v>
      </c>
      <c r="Q53" s="440"/>
      <c r="R53" s="436" t="s">
        <v>757</v>
      </c>
      <c r="S53" s="436"/>
      <c r="T53" s="436"/>
      <c r="U53" s="436"/>
      <c r="V53" s="437" t="s">
        <v>758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306" t="s">
        <v>746</v>
      </c>
      <c r="D54" s="303" t="s">
        <v>747</v>
      </c>
      <c r="E54" s="306" t="s">
        <v>748</v>
      </c>
      <c r="F54" s="437" t="s">
        <v>781</v>
      </c>
      <c r="G54" s="437"/>
      <c r="H54" s="437"/>
      <c r="I54" s="437"/>
      <c r="J54" s="437"/>
      <c r="K54" s="437"/>
      <c r="L54" s="437"/>
      <c r="M54" s="438"/>
      <c r="N54" s="302" t="s">
        <v>247</v>
      </c>
      <c r="O54" s="74" t="s">
        <v>297</v>
      </c>
      <c r="P54" s="439" t="s">
        <v>794</v>
      </c>
      <c r="Q54" s="440"/>
      <c r="R54" s="436" t="s">
        <v>795</v>
      </c>
      <c r="S54" s="436"/>
      <c r="T54" s="436"/>
      <c r="U54" s="436"/>
      <c r="V54" s="437" t="s">
        <v>793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 t="s">
        <v>118</v>
      </c>
      <c r="B55" s="436"/>
      <c r="C55" s="303" t="s">
        <v>443</v>
      </c>
      <c r="D55" s="303" t="s">
        <v>235</v>
      </c>
      <c r="E55" s="306" t="s">
        <v>735</v>
      </c>
      <c r="F55" s="437" t="s">
        <v>782</v>
      </c>
      <c r="G55" s="437"/>
      <c r="H55" s="437"/>
      <c r="I55" s="437"/>
      <c r="J55" s="437"/>
      <c r="K55" s="437"/>
      <c r="L55" s="437"/>
      <c r="M55" s="438"/>
      <c r="N55" s="302" t="s">
        <v>296</v>
      </c>
      <c r="O55" s="74" t="s">
        <v>796</v>
      </c>
      <c r="P55" s="439" t="s">
        <v>797</v>
      </c>
      <c r="Q55" s="440"/>
      <c r="R55" s="436" t="s">
        <v>798</v>
      </c>
      <c r="S55" s="436"/>
      <c r="T55" s="436"/>
      <c r="U55" s="436"/>
      <c r="V55" s="437" t="s">
        <v>248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783</v>
      </c>
      <c r="B56" s="436"/>
      <c r="C56" s="303" t="s">
        <v>297</v>
      </c>
      <c r="D56" s="303" t="s">
        <v>767</v>
      </c>
      <c r="E56" s="306" t="s">
        <v>784</v>
      </c>
      <c r="F56" s="437" t="s">
        <v>751</v>
      </c>
      <c r="G56" s="437"/>
      <c r="H56" s="437"/>
      <c r="I56" s="437"/>
      <c r="J56" s="437"/>
      <c r="K56" s="437"/>
      <c r="L56" s="437"/>
      <c r="M56" s="438"/>
      <c r="N56" s="302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 t="s">
        <v>247</v>
      </c>
      <c r="B57" s="446"/>
      <c r="C57" s="306" t="s">
        <v>786</v>
      </c>
      <c r="D57" s="303" t="s">
        <v>787</v>
      </c>
      <c r="E57" s="306" t="s">
        <v>771</v>
      </c>
      <c r="F57" s="437" t="s">
        <v>751</v>
      </c>
      <c r="G57" s="437"/>
      <c r="H57" s="437"/>
      <c r="I57" s="437"/>
      <c r="J57" s="437"/>
      <c r="K57" s="437"/>
      <c r="L57" s="437"/>
      <c r="M57" s="438"/>
      <c r="N57" s="302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 t="s">
        <v>788</v>
      </c>
      <c r="B58" s="446"/>
      <c r="C58" s="306" t="s">
        <v>785</v>
      </c>
      <c r="D58" s="303" t="s">
        <v>789</v>
      </c>
      <c r="E58" s="306" t="s">
        <v>790</v>
      </c>
      <c r="F58" s="437" t="s">
        <v>309</v>
      </c>
      <c r="G58" s="437"/>
      <c r="H58" s="437"/>
      <c r="I58" s="437"/>
      <c r="J58" s="437"/>
      <c r="K58" s="437"/>
      <c r="L58" s="437"/>
      <c r="M58" s="438"/>
      <c r="N58" s="302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303"/>
      <c r="D59" s="303"/>
      <c r="E59" s="303"/>
      <c r="F59" s="437"/>
      <c r="G59" s="437"/>
      <c r="H59" s="437"/>
      <c r="I59" s="437"/>
      <c r="J59" s="437"/>
      <c r="K59" s="437"/>
      <c r="L59" s="437"/>
      <c r="M59" s="438"/>
      <c r="N59" s="302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305"/>
      <c r="D60" s="305"/>
      <c r="E60" s="305"/>
      <c r="F60" s="443"/>
      <c r="G60" s="443"/>
      <c r="H60" s="443"/>
      <c r="I60" s="443"/>
      <c r="J60" s="443"/>
      <c r="K60" s="443"/>
      <c r="L60" s="443"/>
      <c r="M60" s="444"/>
      <c r="N60" s="304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799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301" t="s">
        <v>2</v>
      </c>
      <c r="D62" s="301" t="s">
        <v>38</v>
      </c>
      <c r="E62" s="301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301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800</v>
      </c>
      <c r="D63" s="297"/>
      <c r="E63" s="299" t="s">
        <v>801</v>
      </c>
      <c r="F63" s="456" t="s">
        <v>802</v>
      </c>
      <c r="G63" s="457"/>
      <c r="H63" s="457"/>
      <c r="I63" s="457"/>
      <c r="J63" s="457"/>
      <c r="K63" s="457" t="s">
        <v>803</v>
      </c>
      <c r="L63" s="457"/>
      <c r="M63" s="54" t="s">
        <v>804</v>
      </c>
      <c r="N63" s="457">
        <v>4</v>
      </c>
      <c r="O63" s="457"/>
      <c r="P63" s="458">
        <v>20</v>
      </c>
      <c r="Q63" s="458"/>
      <c r="R63" s="437" t="s">
        <v>805</v>
      </c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247</v>
      </c>
      <c r="D64" s="297"/>
      <c r="E64" s="299" t="s">
        <v>235</v>
      </c>
      <c r="F64" s="456" t="s">
        <v>806</v>
      </c>
      <c r="G64" s="457"/>
      <c r="H64" s="457"/>
      <c r="I64" s="457"/>
      <c r="J64" s="457"/>
      <c r="K64" s="457" t="s">
        <v>807</v>
      </c>
      <c r="L64" s="457"/>
      <c r="M64" s="54" t="s">
        <v>808</v>
      </c>
      <c r="N64" s="457">
        <v>8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297"/>
      <c r="E65" s="299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297"/>
      <c r="E66" s="299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297"/>
      <c r="E67" s="299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297"/>
      <c r="E68" s="299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297"/>
      <c r="E69" s="299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297"/>
      <c r="E70" s="299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809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300" t="s">
        <v>2</v>
      </c>
      <c r="D72" s="300" t="s">
        <v>38</v>
      </c>
      <c r="E72" s="300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298" t="s">
        <v>118</v>
      </c>
      <c r="D73" s="298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297" t="s">
        <v>118</v>
      </c>
      <c r="D74" s="297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297" t="s">
        <v>163</v>
      </c>
      <c r="D75" s="297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297" t="s">
        <v>119</v>
      </c>
      <c r="D76" s="297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297" t="s">
        <v>119</v>
      </c>
      <c r="D77" s="297"/>
      <c r="E77" s="35" t="s">
        <v>58</v>
      </c>
      <c r="F77" s="468" t="s">
        <v>724</v>
      </c>
      <c r="G77" s="468"/>
      <c r="H77" s="468"/>
      <c r="I77" s="468"/>
      <c r="J77" s="468"/>
      <c r="K77" s="469" t="s">
        <v>725</v>
      </c>
      <c r="L77" s="470"/>
      <c r="M77" s="470"/>
      <c r="N77" s="470"/>
      <c r="O77" s="470"/>
      <c r="P77" s="470"/>
      <c r="Q77" s="470"/>
      <c r="R77" s="470"/>
      <c r="S77" s="471"/>
      <c r="T77" s="472">
        <v>42969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297"/>
      <c r="D78" s="297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297"/>
      <c r="D79" s="297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297"/>
      <c r="D80" s="297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297"/>
      <c r="D81" s="297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810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811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09" t="s">
        <v>17</v>
      </c>
      <c r="L5" s="309" t="s">
        <v>18</v>
      </c>
      <c r="M5" s="309" t="s">
        <v>19</v>
      </c>
      <c r="N5" s="30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0.52002645411654791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119</v>
      </c>
      <c r="D7" s="55" t="s">
        <v>647</v>
      </c>
      <c r="E7" s="56" t="s">
        <v>648</v>
      </c>
      <c r="F7" s="12" t="s">
        <v>649</v>
      </c>
      <c r="G7" s="36">
        <v>2</v>
      </c>
      <c r="H7" s="38">
        <v>25</v>
      </c>
      <c r="I7" s="7">
        <v>30000</v>
      </c>
      <c r="J7" s="14">
        <v>10500</v>
      </c>
      <c r="K7" s="15">
        <f>L7+6516+12074+10296+11550</f>
        <v>50932</v>
      </c>
      <c r="L7" s="15">
        <f>2549*2+2699*2</f>
        <v>10496</v>
      </c>
      <c r="M7" s="16">
        <f t="shared" si="0"/>
        <v>10496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0.99961904761904763</v>
      </c>
      <c r="AC7" s="9">
        <f t="shared" si="5"/>
        <v>1</v>
      </c>
      <c r="AD7" s="10">
        <f t="shared" si="6"/>
        <v>0.99961904761904763</v>
      </c>
      <c r="AE7" s="39">
        <f t="shared" si="7"/>
        <v>0.52002645411654791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40000</v>
      </c>
      <c r="J8" s="14">
        <v>4515</v>
      </c>
      <c r="K8" s="15">
        <f>L8+562+3624+3000+2279+2723+3016+4670+4950+6437+5255+6162+3810+4931+5459+4477+3739</f>
        <v>69607</v>
      </c>
      <c r="L8" s="15">
        <f>2551+1962</f>
        <v>4513</v>
      </c>
      <c r="M8" s="16">
        <f t="shared" si="0"/>
        <v>4513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0.99955703211517166</v>
      </c>
      <c r="AC8" s="9">
        <f t="shared" si="5"/>
        <v>1</v>
      </c>
      <c r="AD8" s="10">
        <f t="shared" si="6"/>
        <v>0.99955703211517166</v>
      </c>
      <c r="AE8" s="39">
        <f t="shared" si="7"/>
        <v>0.52002645411654791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37" t="s">
        <v>247</v>
      </c>
      <c r="D9" s="55" t="s">
        <v>812</v>
      </c>
      <c r="E9" s="57" t="s">
        <v>813</v>
      </c>
      <c r="F9" s="12" t="s">
        <v>814</v>
      </c>
      <c r="G9" s="12">
        <v>1</v>
      </c>
      <c r="H9" s="13">
        <v>25</v>
      </c>
      <c r="I9" s="34">
        <v>500</v>
      </c>
      <c r="J9" s="5">
        <v>594</v>
      </c>
      <c r="K9" s="15">
        <f>L9</f>
        <v>593</v>
      </c>
      <c r="L9" s="15">
        <v>593</v>
      </c>
      <c r="M9" s="16">
        <f t="shared" si="0"/>
        <v>593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0.99831649831649827</v>
      </c>
      <c r="AC9" s="9">
        <f t="shared" si="5"/>
        <v>0.16666666666666666</v>
      </c>
      <c r="AD9" s="10">
        <f t="shared" si="6"/>
        <v>0.16638608305274971</v>
      </c>
      <c r="AE9" s="39">
        <f t="shared" si="7"/>
        <v>0.52002645411654791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247</v>
      </c>
      <c r="D10" s="55" t="s">
        <v>815</v>
      </c>
      <c r="E10" s="57" t="s">
        <v>816</v>
      </c>
      <c r="F10" s="12" t="s">
        <v>817</v>
      </c>
      <c r="G10" s="12">
        <v>1</v>
      </c>
      <c r="H10" s="13">
        <v>25</v>
      </c>
      <c r="I10" s="34">
        <v>500</v>
      </c>
      <c r="J10" s="5">
        <v>630</v>
      </c>
      <c r="K10" s="15">
        <f>L10</f>
        <v>628</v>
      </c>
      <c r="L10" s="15">
        <v>628</v>
      </c>
      <c r="M10" s="16">
        <f t="shared" ref="M10" si="9">L10-N10</f>
        <v>628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4</v>
      </c>
      <c r="Q10" s="43">
        <f t="shared" ref="Q10" si="12">SUM(R10:AA10)</f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ref="AB10" si="13">IF(J10=0,"0",(L10/J10))</f>
        <v>0.99682539682539684</v>
      </c>
      <c r="AC10" s="9">
        <f t="shared" ref="AC10" si="14">IF(P10=0,"0",(P10/24))</f>
        <v>0.16666666666666666</v>
      </c>
      <c r="AD10" s="10">
        <f t="shared" ref="AD10" si="15">AC10*AB10*(1-O10)</f>
        <v>0.16613756613756614</v>
      </c>
      <c r="AE10" s="39">
        <f t="shared" si="7"/>
        <v>0.52002645411654791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59</v>
      </c>
      <c r="C11" s="11" t="s">
        <v>163</v>
      </c>
      <c r="D11" s="55" t="s">
        <v>151</v>
      </c>
      <c r="E11" s="57" t="s">
        <v>484</v>
      </c>
      <c r="F11" s="12" t="s">
        <v>261</v>
      </c>
      <c r="G11" s="12">
        <v>1</v>
      </c>
      <c r="H11" s="13">
        <v>25</v>
      </c>
      <c r="I11" s="34">
        <v>30000</v>
      </c>
      <c r="J11" s="14">
        <v>3300</v>
      </c>
      <c r="K11" s="15">
        <f>L11+4291+3710+5240+2559+4147+4772+5285+4429</f>
        <v>37661</v>
      </c>
      <c r="L11" s="15">
        <f>2787+441</f>
        <v>3228</v>
      </c>
      <c r="M11" s="16">
        <f t="shared" si="0"/>
        <v>3228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>
        <v>10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0.97818181818181815</v>
      </c>
      <c r="AC11" s="9">
        <f t="shared" si="5"/>
        <v>0.58333333333333337</v>
      </c>
      <c r="AD11" s="10">
        <f t="shared" si="6"/>
        <v>0.57060606060606067</v>
      </c>
      <c r="AE11" s="39">
        <f t="shared" si="7"/>
        <v>0.52002645411654791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118</v>
      </c>
      <c r="D12" s="55" t="s">
        <v>770</v>
      </c>
      <c r="E12" s="56" t="s">
        <v>771</v>
      </c>
      <c r="F12" s="12" t="s">
        <v>150</v>
      </c>
      <c r="G12" s="12">
        <v>1</v>
      </c>
      <c r="H12" s="13">
        <v>25</v>
      </c>
      <c r="I12" s="34">
        <v>500</v>
      </c>
      <c r="J12" s="14">
        <v>671</v>
      </c>
      <c r="K12" s="15">
        <f>L12+671</f>
        <v>671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0.52002645411654791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119</v>
      </c>
      <c r="D13" s="55" t="s">
        <v>728</v>
      </c>
      <c r="E13" s="57" t="s">
        <v>716</v>
      </c>
      <c r="F13" s="12" t="s">
        <v>730</v>
      </c>
      <c r="G13" s="12">
        <v>1</v>
      </c>
      <c r="H13" s="13">
        <v>25</v>
      </c>
      <c r="I13" s="7">
        <v>14000</v>
      </c>
      <c r="J13" s="14">
        <v>5230</v>
      </c>
      <c r="K13" s="15">
        <f>L13+3043+5228</f>
        <v>13416</v>
      </c>
      <c r="L13" s="15">
        <f>2744+2401</f>
        <v>5145</v>
      </c>
      <c r="M13" s="16">
        <f t="shared" si="0"/>
        <v>5145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0.98374760994263866</v>
      </c>
      <c r="AC13" s="9">
        <f t="shared" si="5"/>
        <v>1</v>
      </c>
      <c r="AD13" s="10">
        <f t="shared" si="6"/>
        <v>0.98374760994263866</v>
      </c>
      <c r="AE13" s="39">
        <f t="shared" si="7"/>
        <v>0.52002645411654791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118</v>
      </c>
      <c r="D14" s="55" t="s">
        <v>235</v>
      </c>
      <c r="E14" s="57" t="s">
        <v>735</v>
      </c>
      <c r="F14" s="12">
        <v>7301</v>
      </c>
      <c r="G14" s="12">
        <v>1</v>
      </c>
      <c r="H14" s="13">
        <v>25</v>
      </c>
      <c r="I14" s="7">
        <v>7000</v>
      </c>
      <c r="J14" s="14">
        <v>600</v>
      </c>
      <c r="K14" s="15">
        <f>L14+1701+599</f>
        <v>2300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0.52002645411654791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58</v>
      </c>
      <c r="E15" s="57" t="s">
        <v>281</v>
      </c>
      <c r="F15" s="33" t="s">
        <v>282</v>
      </c>
      <c r="G15" s="36">
        <v>1</v>
      </c>
      <c r="H15" s="38">
        <v>40</v>
      </c>
      <c r="I15" s="7">
        <v>200</v>
      </c>
      <c r="J15" s="5">
        <v>260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0.52002645411654791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148</v>
      </c>
      <c r="E16" s="57" t="s">
        <v>631</v>
      </c>
      <c r="F16" s="12" t="s">
        <v>162</v>
      </c>
      <c r="G16" s="12">
        <v>1</v>
      </c>
      <c r="H16" s="13">
        <v>25</v>
      </c>
      <c r="I16" s="34">
        <v>2500</v>
      </c>
      <c r="J16" s="14">
        <v>2810</v>
      </c>
      <c r="K16" s="15">
        <f>L16+2807</f>
        <v>2807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0.52002645411654791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119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30000</v>
      </c>
      <c r="J17" s="14">
        <v>3880</v>
      </c>
      <c r="K17" s="15">
        <f>L17+2188+5991+4312+1728+3861+5379+4068+3395+3274</f>
        <v>38073</v>
      </c>
      <c r="L17" s="15">
        <f>3065+812</f>
        <v>3877</v>
      </c>
      <c r="M17" s="16">
        <f t="shared" si="0"/>
        <v>3877</v>
      </c>
      <c r="N17" s="16">
        <v>0</v>
      </c>
      <c r="O17" s="62">
        <f t="shared" si="1"/>
        <v>0</v>
      </c>
      <c r="P17" s="42">
        <f t="shared" si="2"/>
        <v>20</v>
      </c>
      <c r="Q17" s="43">
        <f t="shared" si="3"/>
        <v>4</v>
      </c>
      <c r="R17" s="7"/>
      <c r="S17" s="6">
        <v>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0.99922680412371134</v>
      </c>
      <c r="AC17" s="9">
        <f t="shared" si="5"/>
        <v>0.83333333333333337</v>
      </c>
      <c r="AD17" s="10">
        <f t="shared" si="6"/>
        <v>0.83268900343642616</v>
      </c>
      <c r="AE17" s="39">
        <f t="shared" si="7"/>
        <v>0.52002645411654791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118</v>
      </c>
      <c r="D18" s="55" t="s">
        <v>742</v>
      </c>
      <c r="E18" s="56" t="s">
        <v>744</v>
      </c>
      <c r="F18" s="12">
        <v>8301</v>
      </c>
      <c r="G18" s="12">
        <v>1</v>
      </c>
      <c r="H18" s="13">
        <v>25</v>
      </c>
      <c r="I18" s="34">
        <v>6500</v>
      </c>
      <c r="J18" s="5">
        <v>6520</v>
      </c>
      <c r="K18" s="15">
        <f>L18+3715</f>
        <v>10233</v>
      </c>
      <c r="L18" s="15">
        <f>3342+272+2904</f>
        <v>6518</v>
      </c>
      <c r="M18" s="16">
        <f t="shared" si="0"/>
        <v>6518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0.99969325153374233</v>
      </c>
      <c r="AC18" s="9">
        <f t="shared" si="5"/>
        <v>1</v>
      </c>
      <c r="AD18" s="10">
        <f t="shared" si="6"/>
        <v>0.99969325153374233</v>
      </c>
      <c r="AE18" s="39">
        <f t="shared" si="7"/>
        <v>0.52002645411654791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119</v>
      </c>
      <c r="D19" s="55" t="s">
        <v>139</v>
      </c>
      <c r="E19" s="57" t="s">
        <v>272</v>
      </c>
      <c r="F19" s="33" t="s">
        <v>140</v>
      </c>
      <c r="G19" s="12">
        <v>1</v>
      </c>
      <c r="H19" s="13">
        <v>25</v>
      </c>
      <c r="I19" s="34">
        <v>18000</v>
      </c>
      <c r="J19" s="5">
        <v>1610</v>
      </c>
      <c r="K19" s="15">
        <f>L19+5334+5171+5873</f>
        <v>17983</v>
      </c>
      <c r="L19" s="15">
        <v>1605</v>
      </c>
      <c r="M19" s="16">
        <f t="shared" si="0"/>
        <v>1605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/>
      <c r="T19" s="17"/>
      <c r="U19" s="17"/>
      <c r="V19" s="18"/>
      <c r="W19" s="19">
        <v>18</v>
      </c>
      <c r="X19" s="17"/>
      <c r="Y19" s="20"/>
      <c r="Z19" s="20"/>
      <c r="AA19" s="21"/>
      <c r="AB19" s="8">
        <f t="shared" si="4"/>
        <v>0.99689440993788825</v>
      </c>
      <c r="AC19" s="9">
        <f t="shared" si="5"/>
        <v>0.25</v>
      </c>
      <c r="AD19" s="10">
        <f t="shared" si="6"/>
        <v>0.24922360248447206</v>
      </c>
      <c r="AE19" s="39">
        <f t="shared" si="7"/>
        <v>0.52002645411654791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119</v>
      </c>
      <c r="D20" s="55" t="s">
        <v>58</v>
      </c>
      <c r="E20" s="57" t="s">
        <v>143</v>
      </c>
      <c r="F20" s="33" t="s">
        <v>147</v>
      </c>
      <c r="G20" s="36">
        <v>1</v>
      </c>
      <c r="H20" s="38">
        <v>25</v>
      </c>
      <c r="I20" s="7">
        <v>30000</v>
      </c>
      <c r="J20" s="5">
        <v>4100</v>
      </c>
      <c r="K20" s="15">
        <f>L20+4545+5031+1956+1665+1855+908</f>
        <v>20058</v>
      </c>
      <c r="L20" s="15">
        <f>2712+1386</f>
        <v>4098</v>
      </c>
      <c r="M20" s="16">
        <f t="shared" si="0"/>
        <v>4098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0.99951219512195122</v>
      </c>
      <c r="AC20" s="9">
        <f t="shared" si="5"/>
        <v>0.83333333333333337</v>
      </c>
      <c r="AD20" s="10">
        <f t="shared" si="6"/>
        <v>0.83292682926829276</v>
      </c>
      <c r="AE20" s="39">
        <f t="shared" si="7"/>
        <v>0.52002645411654791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394</v>
      </c>
      <c r="F21" s="12" t="s">
        <v>117</v>
      </c>
      <c r="G21" s="12">
        <v>4</v>
      </c>
      <c r="H21" s="38">
        <v>20</v>
      </c>
      <c r="I21" s="7">
        <v>200000</v>
      </c>
      <c r="J21" s="14">
        <v>63400</v>
      </c>
      <c r="K21" s="15">
        <f>L21+45088+61368+43536+55776+69768+58832+68332</f>
        <v>466088</v>
      </c>
      <c r="L21" s="15">
        <f>8173*4+7674*4</f>
        <v>63388</v>
      </c>
      <c r="M21" s="16">
        <f t="shared" si="0"/>
        <v>63388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0.99981072555205053</v>
      </c>
      <c r="AC21" s="9">
        <f t="shared" si="5"/>
        <v>1</v>
      </c>
      <c r="AD21" s="10">
        <f t="shared" si="6"/>
        <v>0.99981072555205053</v>
      </c>
      <c r="AE21" s="39">
        <f t="shared" si="7"/>
        <v>0.52002645411654791</v>
      </c>
      <c r="AF21" s="94">
        <f t="shared" si="8"/>
        <v>15</v>
      </c>
    </row>
    <row r="22" spans="1:36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5">
        <f t="shared" ref="I22:N22" si="17">SUM(I6:I21)</f>
        <v>410700</v>
      </c>
      <c r="J22" s="22">
        <f t="shared" si="17"/>
        <v>110590</v>
      </c>
      <c r="K22" s="23">
        <f t="shared" si="17"/>
        <v>733012</v>
      </c>
      <c r="L22" s="24">
        <f t="shared" si="17"/>
        <v>104089</v>
      </c>
      <c r="M22" s="23">
        <f t="shared" si="17"/>
        <v>104089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188</v>
      </c>
      <c r="Q22" s="46">
        <f t="shared" si="18"/>
        <v>196</v>
      </c>
      <c r="R22" s="26">
        <f t="shared" si="18"/>
        <v>24</v>
      </c>
      <c r="S22" s="27">
        <f t="shared" si="18"/>
        <v>66</v>
      </c>
      <c r="T22" s="27">
        <f t="shared" si="18"/>
        <v>0</v>
      </c>
      <c r="U22" s="27">
        <f t="shared" si="18"/>
        <v>0</v>
      </c>
      <c r="V22" s="28">
        <f t="shared" si="18"/>
        <v>0</v>
      </c>
      <c r="W22" s="29">
        <f t="shared" si="18"/>
        <v>106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0.73009231928466101</v>
      </c>
      <c r="AC22" s="4">
        <f>SUM(AC6:AC21)/15</f>
        <v>0.52222222222222225</v>
      </c>
      <c r="AD22" s="4">
        <f>SUM(AD6:AD21)/15</f>
        <v>0.52002645411654791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1" t="s">
        <v>46</v>
      </c>
      <c r="B49" s="411"/>
      <c r="C49" s="411"/>
      <c r="D49" s="411"/>
      <c r="E49" s="41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2" t="s">
        <v>818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831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310" t="s">
        <v>47</v>
      </c>
      <c r="D51" s="310" t="s">
        <v>48</v>
      </c>
      <c r="E51" s="310" t="s">
        <v>110</v>
      </c>
      <c r="F51" s="419" t="s">
        <v>109</v>
      </c>
      <c r="G51" s="419"/>
      <c r="H51" s="419"/>
      <c r="I51" s="419"/>
      <c r="J51" s="419"/>
      <c r="K51" s="419"/>
      <c r="L51" s="419"/>
      <c r="M51" s="420"/>
      <c r="N51" s="73" t="s">
        <v>114</v>
      </c>
      <c r="O51" s="310" t="s">
        <v>47</v>
      </c>
      <c r="P51" s="421" t="s">
        <v>48</v>
      </c>
      <c r="Q51" s="422"/>
      <c r="R51" s="421" t="s">
        <v>39</v>
      </c>
      <c r="S51" s="423"/>
      <c r="T51" s="423"/>
      <c r="U51" s="422"/>
      <c r="V51" s="421" t="s">
        <v>49</v>
      </c>
      <c r="W51" s="423"/>
      <c r="X51" s="423"/>
      <c r="Y51" s="423"/>
      <c r="Z51" s="423"/>
      <c r="AA51" s="423"/>
      <c r="AB51" s="423"/>
      <c r="AC51" s="423"/>
      <c r="AD51" s="424"/>
    </row>
    <row r="52" spans="1:32" ht="27" customHeight="1">
      <c r="A52" s="445" t="s">
        <v>119</v>
      </c>
      <c r="B52" s="446"/>
      <c r="C52" s="315" t="s">
        <v>204</v>
      </c>
      <c r="D52" s="312" t="s">
        <v>626</v>
      </c>
      <c r="E52" s="315" t="s">
        <v>239</v>
      </c>
      <c r="F52" s="437" t="s">
        <v>819</v>
      </c>
      <c r="G52" s="437"/>
      <c r="H52" s="437"/>
      <c r="I52" s="437"/>
      <c r="J52" s="437"/>
      <c r="K52" s="437"/>
      <c r="L52" s="437"/>
      <c r="M52" s="438"/>
      <c r="N52" s="311" t="s">
        <v>118</v>
      </c>
      <c r="O52" s="74" t="s">
        <v>832</v>
      </c>
      <c r="P52" s="439" t="s">
        <v>754</v>
      </c>
      <c r="Q52" s="440"/>
      <c r="R52" s="436" t="s">
        <v>833</v>
      </c>
      <c r="S52" s="436"/>
      <c r="T52" s="436"/>
      <c r="U52" s="436"/>
      <c r="V52" s="437" t="s">
        <v>751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118</v>
      </c>
      <c r="B53" s="446"/>
      <c r="C53" s="315" t="s">
        <v>142</v>
      </c>
      <c r="D53" s="312" t="s">
        <v>812</v>
      </c>
      <c r="E53" s="315" t="s">
        <v>813</v>
      </c>
      <c r="F53" s="437" t="s">
        <v>820</v>
      </c>
      <c r="G53" s="437"/>
      <c r="H53" s="437"/>
      <c r="I53" s="437"/>
      <c r="J53" s="437"/>
      <c r="K53" s="437"/>
      <c r="L53" s="437"/>
      <c r="M53" s="438"/>
      <c r="N53" s="311" t="s">
        <v>118</v>
      </c>
      <c r="O53" s="74" t="s">
        <v>142</v>
      </c>
      <c r="P53" s="439" t="s">
        <v>834</v>
      </c>
      <c r="Q53" s="440"/>
      <c r="R53" s="436" t="s">
        <v>835</v>
      </c>
      <c r="S53" s="436"/>
      <c r="T53" s="436"/>
      <c r="U53" s="436"/>
      <c r="V53" s="437" t="s">
        <v>181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821</v>
      </c>
      <c r="B54" s="446"/>
      <c r="C54" s="315" t="s">
        <v>142</v>
      </c>
      <c r="D54" s="312" t="s">
        <v>822</v>
      </c>
      <c r="E54" s="315" t="s">
        <v>816</v>
      </c>
      <c r="F54" s="437" t="s">
        <v>823</v>
      </c>
      <c r="G54" s="437"/>
      <c r="H54" s="437"/>
      <c r="I54" s="437"/>
      <c r="J54" s="437"/>
      <c r="K54" s="437"/>
      <c r="L54" s="437"/>
      <c r="M54" s="438"/>
      <c r="N54" s="311" t="s">
        <v>118</v>
      </c>
      <c r="O54" s="74" t="s">
        <v>443</v>
      </c>
      <c r="P54" s="439" t="s">
        <v>122</v>
      </c>
      <c r="Q54" s="440"/>
      <c r="R54" s="436" t="s">
        <v>735</v>
      </c>
      <c r="S54" s="436"/>
      <c r="T54" s="436"/>
      <c r="U54" s="436"/>
      <c r="V54" s="437" t="s">
        <v>758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119</v>
      </c>
      <c r="B55" s="446"/>
      <c r="C55" s="315" t="s">
        <v>746</v>
      </c>
      <c r="D55" s="312" t="s">
        <v>129</v>
      </c>
      <c r="E55" s="315" t="s">
        <v>748</v>
      </c>
      <c r="F55" s="437" t="s">
        <v>819</v>
      </c>
      <c r="G55" s="437"/>
      <c r="H55" s="437"/>
      <c r="I55" s="437"/>
      <c r="J55" s="437"/>
      <c r="K55" s="437"/>
      <c r="L55" s="437"/>
      <c r="M55" s="438"/>
      <c r="N55" s="311" t="s">
        <v>119</v>
      </c>
      <c r="O55" s="74" t="s">
        <v>836</v>
      </c>
      <c r="P55" s="439" t="s">
        <v>837</v>
      </c>
      <c r="Q55" s="440"/>
      <c r="R55" s="436" t="s">
        <v>838</v>
      </c>
      <c r="S55" s="436"/>
      <c r="T55" s="436"/>
      <c r="U55" s="436"/>
      <c r="V55" s="437" t="s">
        <v>751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45" t="s">
        <v>788</v>
      </c>
      <c r="B56" s="446"/>
      <c r="C56" s="315" t="s">
        <v>785</v>
      </c>
      <c r="D56" s="312" t="s">
        <v>789</v>
      </c>
      <c r="E56" s="315" t="s">
        <v>790</v>
      </c>
      <c r="F56" s="437" t="s">
        <v>824</v>
      </c>
      <c r="G56" s="437"/>
      <c r="H56" s="437"/>
      <c r="I56" s="437"/>
      <c r="J56" s="437"/>
      <c r="K56" s="437"/>
      <c r="L56" s="437"/>
      <c r="M56" s="438"/>
      <c r="N56" s="311" t="s">
        <v>296</v>
      </c>
      <c r="O56" s="74" t="s">
        <v>839</v>
      </c>
      <c r="P56" s="439" t="s">
        <v>840</v>
      </c>
      <c r="Q56" s="440"/>
      <c r="R56" s="436" t="s">
        <v>841</v>
      </c>
      <c r="S56" s="436"/>
      <c r="T56" s="436"/>
      <c r="U56" s="436"/>
      <c r="V56" s="437" t="s">
        <v>248</v>
      </c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35" t="s">
        <v>118</v>
      </c>
      <c r="B57" s="436"/>
      <c r="C57" s="312" t="s">
        <v>825</v>
      </c>
      <c r="D57" s="312" t="s">
        <v>122</v>
      </c>
      <c r="E57" s="315" t="s">
        <v>826</v>
      </c>
      <c r="F57" s="437" t="s">
        <v>827</v>
      </c>
      <c r="G57" s="437"/>
      <c r="H57" s="437"/>
      <c r="I57" s="437"/>
      <c r="J57" s="437"/>
      <c r="K57" s="437"/>
      <c r="L57" s="437"/>
      <c r="M57" s="438"/>
      <c r="N57" s="311" t="s">
        <v>842</v>
      </c>
      <c r="O57" s="74" t="s">
        <v>843</v>
      </c>
      <c r="P57" s="436"/>
      <c r="Q57" s="436"/>
      <c r="R57" s="436" t="s">
        <v>844</v>
      </c>
      <c r="S57" s="436"/>
      <c r="T57" s="436"/>
      <c r="U57" s="436"/>
      <c r="V57" s="437" t="s">
        <v>751</v>
      </c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 t="s">
        <v>119</v>
      </c>
      <c r="B58" s="446"/>
      <c r="C58" s="315" t="s">
        <v>828</v>
      </c>
      <c r="D58" s="312" t="s">
        <v>829</v>
      </c>
      <c r="E58" s="315" t="s">
        <v>830</v>
      </c>
      <c r="F58" s="437" t="s">
        <v>827</v>
      </c>
      <c r="G58" s="437"/>
      <c r="H58" s="437"/>
      <c r="I58" s="437"/>
      <c r="J58" s="437"/>
      <c r="K58" s="437"/>
      <c r="L58" s="437"/>
      <c r="M58" s="438"/>
      <c r="N58" s="311"/>
      <c r="O58" s="74"/>
      <c r="P58" s="439"/>
      <c r="Q58" s="440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/>
      <c r="B59" s="446"/>
      <c r="C59" s="315"/>
      <c r="D59" s="312"/>
      <c r="E59" s="315"/>
      <c r="F59" s="437"/>
      <c r="G59" s="437"/>
      <c r="H59" s="437"/>
      <c r="I59" s="437"/>
      <c r="J59" s="437"/>
      <c r="K59" s="437"/>
      <c r="L59" s="437"/>
      <c r="M59" s="438"/>
      <c r="N59" s="311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35"/>
      <c r="B60" s="436"/>
      <c r="C60" s="312"/>
      <c r="D60" s="312"/>
      <c r="E60" s="312"/>
      <c r="F60" s="437"/>
      <c r="G60" s="437"/>
      <c r="H60" s="437"/>
      <c r="I60" s="437"/>
      <c r="J60" s="437"/>
      <c r="K60" s="437"/>
      <c r="L60" s="437"/>
      <c r="M60" s="438"/>
      <c r="N60" s="311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  <c r="AF60" s="94">
        <f>8*3000</f>
        <v>24000</v>
      </c>
    </row>
    <row r="61" spans="1:32" ht="27" customHeight="1" thickBot="1">
      <c r="A61" s="441"/>
      <c r="B61" s="442"/>
      <c r="C61" s="314"/>
      <c r="D61" s="314"/>
      <c r="E61" s="314"/>
      <c r="F61" s="443"/>
      <c r="G61" s="443"/>
      <c r="H61" s="443"/>
      <c r="I61" s="443"/>
      <c r="J61" s="443"/>
      <c r="K61" s="443"/>
      <c r="L61" s="443"/>
      <c r="M61" s="444"/>
      <c r="N61" s="313"/>
      <c r="O61" s="121"/>
      <c r="P61" s="442"/>
      <c r="Q61" s="442"/>
      <c r="R61" s="442"/>
      <c r="S61" s="442"/>
      <c r="T61" s="442"/>
      <c r="U61" s="442"/>
      <c r="V61" s="443"/>
      <c r="W61" s="443"/>
      <c r="X61" s="443"/>
      <c r="Y61" s="443"/>
      <c r="Z61" s="443"/>
      <c r="AA61" s="443"/>
      <c r="AB61" s="443"/>
      <c r="AC61" s="443"/>
      <c r="AD61" s="444"/>
      <c r="AF61" s="94">
        <f>16*3000</f>
        <v>48000</v>
      </c>
    </row>
    <row r="62" spans="1:32" ht="27.75" thickBot="1">
      <c r="A62" s="447" t="s">
        <v>845</v>
      </c>
      <c r="B62" s="447"/>
      <c r="C62" s="447"/>
      <c r="D62" s="447"/>
      <c r="E62" s="44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8" t="s">
        <v>115</v>
      </c>
      <c r="B63" s="449"/>
      <c r="C63" s="316" t="s">
        <v>2</v>
      </c>
      <c r="D63" s="316" t="s">
        <v>38</v>
      </c>
      <c r="E63" s="316" t="s">
        <v>3</v>
      </c>
      <c r="F63" s="449" t="s">
        <v>112</v>
      </c>
      <c r="G63" s="449"/>
      <c r="H63" s="449"/>
      <c r="I63" s="449"/>
      <c r="J63" s="449"/>
      <c r="K63" s="449" t="s">
        <v>40</v>
      </c>
      <c r="L63" s="449"/>
      <c r="M63" s="316" t="s">
        <v>41</v>
      </c>
      <c r="N63" s="449" t="s">
        <v>42</v>
      </c>
      <c r="O63" s="449"/>
      <c r="P63" s="450" t="s">
        <v>43</v>
      </c>
      <c r="Q63" s="451"/>
      <c r="R63" s="450" t="s">
        <v>44</v>
      </c>
      <c r="S63" s="452"/>
      <c r="T63" s="452"/>
      <c r="U63" s="452"/>
      <c r="V63" s="452"/>
      <c r="W63" s="452"/>
      <c r="X63" s="452"/>
      <c r="Y63" s="452"/>
      <c r="Z63" s="452"/>
      <c r="AA63" s="451"/>
      <c r="AB63" s="449" t="s">
        <v>45</v>
      </c>
      <c r="AC63" s="449"/>
      <c r="AD63" s="453"/>
      <c r="AF63" s="94">
        <f>SUM(AF60:AF62)</f>
        <v>96000</v>
      </c>
    </row>
    <row r="64" spans="1:32" ht="25.5" customHeight="1">
      <c r="A64" s="454">
        <v>1</v>
      </c>
      <c r="B64" s="455"/>
      <c r="C64" s="124" t="s">
        <v>118</v>
      </c>
      <c r="D64" s="319"/>
      <c r="E64" s="317" t="s">
        <v>822</v>
      </c>
      <c r="F64" s="456" t="s">
        <v>846</v>
      </c>
      <c r="G64" s="457"/>
      <c r="H64" s="457"/>
      <c r="I64" s="457"/>
      <c r="J64" s="457"/>
      <c r="K64" s="457" t="s">
        <v>847</v>
      </c>
      <c r="L64" s="457"/>
      <c r="M64" s="54" t="s">
        <v>848</v>
      </c>
      <c r="N64" s="457">
        <v>13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2</v>
      </c>
      <c r="B65" s="455"/>
      <c r="C65" s="124"/>
      <c r="D65" s="319"/>
      <c r="E65" s="317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3</v>
      </c>
      <c r="B66" s="455"/>
      <c r="C66" s="124"/>
      <c r="D66" s="319"/>
      <c r="E66" s="317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4</v>
      </c>
      <c r="B67" s="455"/>
      <c r="C67" s="124"/>
      <c r="D67" s="319"/>
      <c r="E67" s="317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5</v>
      </c>
      <c r="B68" s="455"/>
      <c r="C68" s="124"/>
      <c r="D68" s="319"/>
      <c r="E68" s="317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6</v>
      </c>
      <c r="B69" s="455"/>
      <c r="C69" s="124"/>
      <c r="D69" s="319"/>
      <c r="E69" s="317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7</v>
      </c>
      <c r="B70" s="455"/>
      <c r="C70" s="124"/>
      <c r="D70" s="319"/>
      <c r="E70" s="317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8</v>
      </c>
      <c r="B71" s="455"/>
      <c r="C71" s="124"/>
      <c r="D71" s="319"/>
      <c r="E71" s="317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6.25" customHeight="1" thickBot="1">
      <c r="A72" s="460" t="s">
        <v>849</v>
      </c>
      <c r="B72" s="460"/>
      <c r="C72" s="460"/>
      <c r="D72" s="460"/>
      <c r="E72" s="46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1" t="s">
        <v>115</v>
      </c>
      <c r="B73" s="462"/>
      <c r="C73" s="318" t="s">
        <v>2</v>
      </c>
      <c r="D73" s="318" t="s">
        <v>38</v>
      </c>
      <c r="E73" s="318" t="s">
        <v>3</v>
      </c>
      <c r="F73" s="462" t="s">
        <v>39</v>
      </c>
      <c r="G73" s="462"/>
      <c r="H73" s="462"/>
      <c r="I73" s="462"/>
      <c r="J73" s="462"/>
      <c r="K73" s="463" t="s">
        <v>60</v>
      </c>
      <c r="L73" s="464"/>
      <c r="M73" s="464"/>
      <c r="N73" s="464"/>
      <c r="O73" s="464"/>
      <c r="P73" s="464"/>
      <c r="Q73" s="464"/>
      <c r="R73" s="464"/>
      <c r="S73" s="465"/>
      <c r="T73" s="462" t="s">
        <v>50</v>
      </c>
      <c r="U73" s="462"/>
      <c r="V73" s="463" t="s">
        <v>51</v>
      </c>
      <c r="W73" s="465"/>
      <c r="X73" s="464" t="s">
        <v>52</v>
      </c>
      <c r="Y73" s="464"/>
      <c r="Z73" s="464"/>
      <c r="AA73" s="464"/>
      <c r="AB73" s="464"/>
      <c r="AC73" s="464"/>
      <c r="AD73" s="466"/>
      <c r="AF73" s="53"/>
    </row>
    <row r="74" spans="1:32" ht="33.75" customHeight="1">
      <c r="A74" s="475">
        <v>1</v>
      </c>
      <c r="B74" s="476"/>
      <c r="C74" s="320" t="s">
        <v>118</v>
      </c>
      <c r="D74" s="320"/>
      <c r="E74" s="71" t="s">
        <v>126</v>
      </c>
      <c r="F74" s="477" t="s">
        <v>127</v>
      </c>
      <c r="G74" s="478"/>
      <c r="H74" s="478"/>
      <c r="I74" s="478"/>
      <c r="J74" s="479"/>
      <c r="K74" s="480" t="s">
        <v>120</v>
      </c>
      <c r="L74" s="481"/>
      <c r="M74" s="481"/>
      <c r="N74" s="481"/>
      <c r="O74" s="481"/>
      <c r="P74" s="481"/>
      <c r="Q74" s="481"/>
      <c r="R74" s="481"/>
      <c r="S74" s="482"/>
      <c r="T74" s="483">
        <v>42901</v>
      </c>
      <c r="U74" s="484"/>
      <c r="V74" s="485"/>
      <c r="W74" s="485"/>
      <c r="X74" s="486"/>
      <c r="Y74" s="486"/>
      <c r="Z74" s="486"/>
      <c r="AA74" s="486"/>
      <c r="AB74" s="486"/>
      <c r="AC74" s="486"/>
      <c r="AD74" s="487"/>
      <c r="AF74" s="53"/>
    </row>
    <row r="75" spans="1:32" ht="30" customHeight="1">
      <c r="A75" s="467">
        <f>A74+1</f>
        <v>2</v>
      </c>
      <c r="B75" s="468"/>
      <c r="C75" s="319" t="s">
        <v>118</v>
      </c>
      <c r="D75" s="319"/>
      <c r="E75" s="35" t="s">
        <v>123</v>
      </c>
      <c r="F75" s="468" t="s">
        <v>124</v>
      </c>
      <c r="G75" s="468"/>
      <c r="H75" s="468"/>
      <c r="I75" s="468"/>
      <c r="J75" s="468"/>
      <c r="K75" s="469" t="s">
        <v>125</v>
      </c>
      <c r="L75" s="470"/>
      <c r="M75" s="470"/>
      <c r="N75" s="470"/>
      <c r="O75" s="470"/>
      <c r="P75" s="470"/>
      <c r="Q75" s="470"/>
      <c r="R75" s="470"/>
      <c r="S75" s="471"/>
      <c r="T75" s="472">
        <v>42867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ref="A76:A82" si="19">A75+1</f>
        <v>3</v>
      </c>
      <c r="B76" s="468"/>
      <c r="C76" s="319" t="s">
        <v>163</v>
      </c>
      <c r="D76" s="319"/>
      <c r="E76" s="35" t="s">
        <v>151</v>
      </c>
      <c r="F76" s="468" t="s">
        <v>168</v>
      </c>
      <c r="G76" s="468"/>
      <c r="H76" s="468"/>
      <c r="I76" s="468"/>
      <c r="J76" s="468"/>
      <c r="K76" s="469" t="s">
        <v>120</v>
      </c>
      <c r="L76" s="470"/>
      <c r="M76" s="470"/>
      <c r="N76" s="470"/>
      <c r="O76" s="470"/>
      <c r="P76" s="470"/>
      <c r="Q76" s="470"/>
      <c r="R76" s="470"/>
      <c r="S76" s="471"/>
      <c r="T76" s="472">
        <v>42937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9"/>
        <v>4</v>
      </c>
      <c r="B77" s="468"/>
      <c r="C77" s="319" t="s">
        <v>119</v>
      </c>
      <c r="D77" s="319"/>
      <c r="E77" s="35" t="s">
        <v>148</v>
      </c>
      <c r="F77" s="468" t="s">
        <v>149</v>
      </c>
      <c r="G77" s="468"/>
      <c r="H77" s="468"/>
      <c r="I77" s="468"/>
      <c r="J77" s="468"/>
      <c r="K77" s="469" t="s">
        <v>153</v>
      </c>
      <c r="L77" s="470"/>
      <c r="M77" s="470"/>
      <c r="N77" s="470"/>
      <c r="O77" s="470"/>
      <c r="P77" s="470"/>
      <c r="Q77" s="470"/>
      <c r="R77" s="470"/>
      <c r="S77" s="471"/>
      <c r="T77" s="472">
        <v>42920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9"/>
        <v>5</v>
      </c>
      <c r="B78" s="468"/>
      <c r="C78" s="319" t="s">
        <v>118</v>
      </c>
      <c r="D78" s="319"/>
      <c r="E78" s="35" t="s">
        <v>850</v>
      </c>
      <c r="F78" s="468" t="s">
        <v>851</v>
      </c>
      <c r="G78" s="468"/>
      <c r="H78" s="468"/>
      <c r="I78" s="468"/>
      <c r="J78" s="468"/>
      <c r="K78" s="469" t="s">
        <v>852</v>
      </c>
      <c r="L78" s="470"/>
      <c r="M78" s="470"/>
      <c r="N78" s="470"/>
      <c r="O78" s="470"/>
      <c r="P78" s="470"/>
      <c r="Q78" s="470"/>
      <c r="R78" s="470"/>
      <c r="S78" s="471"/>
      <c r="T78" s="472">
        <v>42970</v>
      </c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9"/>
        <v>6</v>
      </c>
      <c r="B79" s="468"/>
      <c r="C79" s="319"/>
      <c r="D79" s="319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9"/>
        <v>7</v>
      </c>
      <c r="B80" s="468"/>
      <c r="C80" s="319"/>
      <c r="D80" s="319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9"/>
        <v>8</v>
      </c>
      <c r="B81" s="468"/>
      <c r="C81" s="319"/>
      <c r="D81" s="319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19"/>
        <v>9</v>
      </c>
      <c r="B82" s="468"/>
      <c r="C82" s="319"/>
      <c r="D82" s="319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6" thickBot="1">
      <c r="A83" s="460" t="s">
        <v>853</v>
      </c>
      <c r="B83" s="460"/>
      <c r="C83" s="460"/>
      <c r="D83" s="460"/>
      <c r="E83" s="46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88" t="s">
        <v>37</v>
      </c>
      <c r="B84" s="489"/>
      <c r="C84" s="489" t="s">
        <v>53</v>
      </c>
      <c r="D84" s="489"/>
      <c r="E84" s="489" t="s">
        <v>54</v>
      </c>
      <c r="F84" s="489"/>
      <c r="G84" s="489"/>
      <c r="H84" s="489"/>
      <c r="I84" s="489"/>
      <c r="J84" s="489"/>
      <c r="K84" s="489" t="s">
        <v>55</v>
      </c>
      <c r="L84" s="489"/>
      <c r="M84" s="489"/>
      <c r="N84" s="489"/>
      <c r="O84" s="489"/>
      <c r="P84" s="489"/>
      <c r="Q84" s="489"/>
      <c r="R84" s="489"/>
      <c r="S84" s="489"/>
      <c r="T84" s="489" t="s">
        <v>56</v>
      </c>
      <c r="U84" s="489"/>
      <c r="V84" s="489" t="s">
        <v>57</v>
      </c>
      <c r="W84" s="489"/>
      <c r="X84" s="489"/>
      <c r="Y84" s="489" t="s">
        <v>52</v>
      </c>
      <c r="Z84" s="489"/>
      <c r="AA84" s="489"/>
      <c r="AB84" s="489"/>
      <c r="AC84" s="489"/>
      <c r="AD84" s="490"/>
      <c r="AF84" s="53"/>
    </row>
    <row r="85" spans="1:32" ht="30.75" customHeight="1">
      <c r="A85" s="475">
        <v>1</v>
      </c>
      <c r="B85" s="476"/>
      <c r="C85" s="491">
        <v>1</v>
      </c>
      <c r="D85" s="491"/>
      <c r="E85" s="491" t="s">
        <v>133</v>
      </c>
      <c r="F85" s="491"/>
      <c r="G85" s="491"/>
      <c r="H85" s="491"/>
      <c r="I85" s="491"/>
      <c r="J85" s="491"/>
      <c r="K85" s="491" t="s">
        <v>134</v>
      </c>
      <c r="L85" s="491"/>
      <c r="M85" s="491"/>
      <c r="N85" s="491"/>
      <c r="O85" s="491"/>
      <c r="P85" s="491"/>
      <c r="Q85" s="491"/>
      <c r="R85" s="491"/>
      <c r="S85" s="491"/>
      <c r="T85" s="491" t="s">
        <v>135</v>
      </c>
      <c r="U85" s="491"/>
      <c r="V85" s="492">
        <v>1500000</v>
      </c>
      <c r="W85" s="492"/>
      <c r="X85" s="492"/>
      <c r="Y85" s="493" t="s">
        <v>136</v>
      </c>
      <c r="Z85" s="493"/>
      <c r="AA85" s="493"/>
      <c r="AB85" s="493"/>
      <c r="AC85" s="493"/>
      <c r="AD85" s="494"/>
      <c r="AF85" s="53"/>
    </row>
    <row r="86" spans="1:32" ht="30.75" customHeight="1">
      <c r="A86" s="467">
        <v>2</v>
      </c>
      <c r="B86" s="468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502"/>
      <c r="Q86" s="502"/>
      <c r="R86" s="502"/>
      <c r="S86" s="502"/>
      <c r="T86" s="503"/>
      <c r="U86" s="503"/>
      <c r="V86" s="504"/>
      <c r="W86" s="504"/>
      <c r="X86" s="504"/>
      <c r="Y86" s="495"/>
      <c r="Z86" s="495"/>
      <c r="AA86" s="495"/>
      <c r="AB86" s="495"/>
      <c r="AC86" s="495"/>
      <c r="AD86" s="496"/>
      <c r="AF86" s="53"/>
    </row>
    <row r="87" spans="1:32" ht="30.75" customHeight="1" thickBot="1">
      <c r="A87" s="497">
        <v>3</v>
      </c>
      <c r="B87" s="498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500"/>
      <c r="Z87" s="500"/>
      <c r="AA87" s="500"/>
      <c r="AB87" s="500"/>
      <c r="AC87" s="500"/>
      <c r="AD87" s="50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J10" sqref="J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854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32" t="s">
        <v>17</v>
      </c>
      <c r="L5" s="332" t="s">
        <v>18</v>
      </c>
      <c r="M5" s="332" t="s">
        <v>19</v>
      </c>
      <c r="N5" s="33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0.48488145559992596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855</v>
      </c>
      <c r="D7" s="55" t="s">
        <v>856</v>
      </c>
      <c r="E7" s="56" t="s">
        <v>857</v>
      </c>
      <c r="F7" s="12">
        <v>7301</v>
      </c>
      <c r="G7" s="36">
        <v>2</v>
      </c>
      <c r="H7" s="38">
        <v>25</v>
      </c>
      <c r="I7" s="7">
        <v>1000</v>
      </c>
      <c r="J7" s="14">
        <v>2100</v>
      </c>
      <c r="K7" s="15">
        <f>L7</f>
        <v>2100</v>
      </c>
      <c r="L7" s="15">
        <f>1050*2</f>
        <v>2100</v>
      </c>
      <c r="M7" s="16">
        <f t="shared" si="0"/>
        <v>2100</v>
      </c>
      <c r="N7" s="16">
        <v>0</v>
      </c>
      <c r="O7" s="62">
        <f t="shared" si="1"/>
        <v>0</v>
      </c>
      <c r="P7" s="42">
        <f t="shared" si="2"/>
        <v>6</v>
      </c>
      <c r="Q7" s="43">
        <f t="shared" si="3"/>
        <v>18</v>
      </c>
      <c r="R7" s="7"/>
      <c r="S7" s="6"/>
      <c r="T7" s="17"/>
      <c r="U7" s="17"/>
      <c r="V7" s="18"/>
      <c r="W7" s="19">
        <v>18</v>
      </c>
      <c r="X7" s="17"/>
      <c r="Y7" s="20"/>
      <c r="Z7" s="20"/>
      <c r="AA7" s="21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9">
        <f t="shared" si="7"/>
        <v>0.48488145559992596</v>
      </c>
      <c r="AF7" s="94">
        <f>A7</f>
        <v>2</v>
      </c>
    </row>
    <row r="8" spans="1:36" ht="27" customHeight="1">
      <c r="A8" s="109">
        <v>3</v>
      </c>
      <c r="B8" s="11" t="s">
        <v>867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30000</v>
      </c>
      <c r="J8" s="14">
        <v>3840</v>
      </c>
      <c r="K8" s="15">
        <f>L8</f>
        <v>3831</v>
      </c>
      <c r="L8" s="15">
        <f>1536+2295</f>
        <v>3831</v>
      </c>
      <c r="M8" s="16">
        <f t="shared" si="0"/>
        <v>3831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0.99765625000000002</v>
      </c>
      <c r="AC8" s="9">
        <f t="shared" si="5"/>
        <v>1</v>
      </c>
      <c r="AD8" s="10">
        <f t="shared" si="6"/>
        <v>0.99765625000000002</v>
      </c>
      <c r="AE8" s="39">
        <f t="shared" si="7"/>
        <v>0.48488145559992596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37" t="s">
        <v>858</v>
      </c>
      <c r="D9" s="55" t="s">
        <v>859</v>
      </c>
      <c r="E9" s="57" t="s">
        <v>860</v>
      </c>
      <c r="F9" s="12" t="s">
        <v>861</v>
      </c>
      <c r="G9" s="12">
        <v>1</v>
      </c>
      <c r="H9" s="13">
        <v>25</v>
      </c>
      <c r="I9" s="34">
        <v>500</v>
      </c>
      <c r="J9" s="5">
        <v>610</v>
      </c>
      <c r="K9" s="15">
        <f>L9</f>
        <v>610</v>
      </c>
      <c r="L9" s="15">
        <v>610</v>
      </c>
      <c r="M9" s="16">
        <f t="shared" si="0"/>
        <v>610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0.48488145559992596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163</v>
      </c>
      <c r="D10" s="55" t="s">
        <v>151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30000</v>
      </c>
      <c r="J10" s="14">
        <v>2350</v>
      </c>
      <c r="K10" s="15">
        <f>L10+4291+3710+5240+2559+4147+4772+5285+4429+3228</f>
        <v>40003</v>
      </c>
      <c r="L10" s="15">
        <f>1661+681</f>
        <v>2342</v>
      </c>
      <c r="M10" s="16">
        <f t="shared" si="0"/>
        <v>2342</v>
      </c>
      <c r="N10" s="16">
        <v>0</v>
      </c>
      <c r="O10" s="62">
        <f t="shared" si="1"/>
        <v>0</v>
      </c>
      <c r="P10" s="42">
        <f t="shared" si="2"/>
        <v>18</v>
      </c>
      <c r="Q10" s="43">
        <f t="shared" si="3"/>
        <v>6</v>
      </c>
      <c r="R10" s="7"/>
      <c r="S10" s="6">
        <v>6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0.9965957446808511</v>
      </c>
      <c r="AC10" s="9">
        <f t="shared" si="5"/>
        <v>0.75</v>
      </c>
      <c r="AD10" s="10">
        <f t="shared" si="6"/>
        <v>0.74744680851063827</v>
      </c>
      <c r="AE10" s="39">
        <f t="shared" si="7"/>
        <v>0.48488145559992596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770</v>
      </c>
      <c r="E11" s="56" t="s">
        <v>771</v>
      </c>
      <c r="F11" s="12" t="s">
        <v>150</v>
      </c>
      <c r="G11" s="12">
        <v>1</v>
      </c>
      <c r="H11" s="13">
        <v>25</v>
      </c>
      <c r="I11" s="34">
        <v>500</v>
      </c>
      <c r="J11" s="14">
        <v>671</v>
      </c>
      <c r="K11" s="15">
        <f>L11+671</f>
        <v>671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0.48488145559992596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862</v>
      </c>
      <c r="E12" s="57" t="s">
        <v>863</v>
      </c>
      <c r="F12" s="12" t="s">
        <v>864</v>
      </c>
      <c r="G12" s="12">
        <v>1</v>
      </c>
      <c r="H12" s="13">
        <v>25</v>
      </c>
      <c r="I12" s="7">
        <v>17000</v>
      </c>
      <c r="J12" s="14">
        <v>810</v>
      </c>
      <c r="K12" s="15">
        <f>L12</f>
        <v>806</v>
      </c>
      <c r="L12" s="15">
        <f>806</f>
        <v>806</v>
      </c>
      <c r="M12" s="16">
        <f t="shared" si="0"/>
        <v>806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>
        <v>17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0.99506172839506168</v>
      </c>
      <c r="AC12" s="9">
        <f t="shared" si="5"/>
        <v>0.29166666666666669</v>
      </c>
      <c r="AD12" s="10">
        <f t="shared" si="6"/>
        <v>0.29022633744855969</v>
      </c>
      <c r="AE12" s="39">
        <f t="shared" si="7"/>
        <v>0.48488145559992596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235</v>
      </c>
      <c r="E13" s="57" t="s">
        <v>735</v>
      </c>
      <c r="F13" s="12">
        <v>7301</v>
      </c>
      <c r="G13" s="12">
        <v>1</v>
      </c>
      <c r="H13" s="13">
        <v>25</v>
      </c>
      <c r="I13" s="7">
        <v>7000</v>
      </c>
      <c r="J13" s="14">
        <v>840</v>
      </c>
      <c r="K13" s="15">
        <f>L13+1701+599</f>
        <v>3136</v>
      </c>
      <c r="L13" s="15">
        <v>836</v>
      </c>
      <c r="M13" s="16">
        <f t="shared" si="0"/>
        <v>836</v>
      </c>
      <c r="N13" s="16">
        <v>0</v>
      </c>
      <c r="O13" s="62">
        <f t="shared" si="1"/>
        <v>0</v>
      </c>
      <c r="P13" s="42">
        <f t="shared" si="2"/>
        <v>8</v>
      </c>
      <c r="Q13" s="43">
        <f t="shared" si="3"/>
        <v>16</v>
      </c>
      <c r="R13" s="7"/>
      <c r="S13" s="6">
        <v>16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0.99523809523809526</v>
      </c>
      <c r="AC13" s="9">
        <f t="shared" si="5"/>
        <v>0.33333333333333331</v>
      </c>
      <c r="AD13" s="10">
        <f t="shared" si="6"/>
        <v>0.33174603174603173</v>
      </c>
      <c r="AE13" s="39">
        <f t="shared" si="7"/>
        <v>0.48488145559992596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865</v>
      </c>
      <c r="F14" s="33" t="s">
        <v>866</v>
      </c>
      <c r="G14" s="36">
        <v>1</v>
      </c>
      <c r="H14" s="38">
        <v>40</v>
      </c>
      <c r="I14" s="7">
        <v>200</v>
      </c>
      <c r="J14" s="5">
        <v>110</v>
      </c>
      <c r="K14" s="15">
        <f>L14</f>
        <v>106</v>
      </c>
      <c r="L14" s="15">
        <v>106</v>
      </c>
      <c r="M14" s="16">
        <f t="shared" si="0"/>
        <v>106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>
        <v>20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0.96363636363636362</v>
      </c>
      <c r="AC14" s="9">
        <f t="shared" si="5"/>
        <v>0.16666666666666666</v>
      </c>
      <c r="AD14" s="10">
        <f t="shared" si="6"/>
        <v>0.16060606060606059</v>
      </c>
      <c r="AE14" s="39">
        <f t="shared" si="7"/>
        <v>0.48488145559992596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148</v>
      </c>
      <c r="E15" s="57" t="s">
        <v>631</v>
      </c>
      <c r="F15" s="12" t="s">
        <v>162</v>
      </c>
      <c r="G15" s="12">
        <v>1</v>
      </c>
      <c r="H15" s="13">
        <v>25</v>
      </c>
      <c r="I15" s="34">
        <v>2000</v>
      </c>
      <c r="J15" s="14">
        <v>2730</v>
      </c>
      <c r="K15" s="15">
        <f>L15</f>
        <v>2727</v>
      </c>
      <c r="L15" s="15">
        <v>2727</v>
      </c>
      <c r="M15" s="16">
        <f t="shared" si="0"/>
        <v>2727</v>
      </c>
      <c r="N15" s="16">
        <v>0</v>
      </c>
      <c r="O15" s="62">
        <f t="shared" si="1"/>
        <v>0</v>
      </c>
      <c r="P15" s="42">
        <f t="shared" si="2"/>
        <v>14</v>
      </c>
      <c r="Q15" s="43">
        <f t="shared" si="3"/>
        <v>10</v>
      </c>
      <c r="R15" s="7"/>
      <c r="S15" s="6"/>
      <c r="T15" s="17"/>
      <c r="U15" s="17"/>
      <c r="V15" s="18"/>
      <c r="W15" s="19">
        <v>10</v>
      </c>
      <c r="X15" s="17"/>
      <c r="Y15" s="20"/>
      <c r="Z15" s="20"/>
      <c r="AA15" s="21"/>
      <c r="AB15" s="8">
        <f t="shared" si="4"/>
        <v>0.99890109890109891</v>
      </c>
      <c r="AC15" s="9">
        <f t="shared" si="5"/>
        <v>0.58333333333333337</v>
      </c>
      <c r="AD15" s="10">
        <f t="shared" si="6"/>
        <v>0.58269230769230773</v>
      </c>
      <c r="AE15" s="39">
        <f t="shared" si="7"/>
        <v>0.48488145559992596</v>
      </c>
      <c r="AF15" s="94">
        <f t="shared" si="8"/>
        <v>10</v>
      </c>
    </row>
    <row r="16" spans="1:36" ht="27.75" customHeight="1">
      <c r="A16" s="109">
        <v>11</v>
      </c>
      <c r="B16" s="11" t="s">
        <v>867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5070</v>
      </c>
      <c r="K16" s="15">
        <f>L16</f>
        <v>5063</v>
      </c>
      <c r="L16" s="15">
        <f>3070+1993</f>
        <v>5063</v>
      </c>
      <c r="M16" s="16">
        <f t="shared" si="0"/>
        <v>5063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0.99861932938856013</v>
      </c>
      <c r="AC16" s="9">
        <f t="shared" si="5"/>
        <v>1</v>
      </c>
      <c r="AD16" s="10">
        <f t="shared" si="6"/>
        <v>0.99861932938856013</v>
      </c>
      <c r="AE16" s="39">
        <f t="shared" si="7"/>
        <v>0.48488145559992596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742</v>
      </c>
      <c r="E17" s="56" t="s">
        <v>744</v>
      </c>
      <c r="F17" s="12">
        <v>8301</v>
      </c>
      <c r="G17" s="12">
        <v>1</v>
      </c>
      <c r="H17" s="13">
        <v>25</v>
      </c>
      <c r="I17" s="34">
        <v>6500</v>
      </c>
      <c r="J17" s="5">
        <v>6520</v>
      </c>
      <c r="K17" s="15">
        <f>L17+3715+6518</f>
        <v>10233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0.48488145559992596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139</v>
      </c>
      <c r="E18" s="57" t="s">
        <v>868</v>
      </c>
      <c r="F18" s="33" t="s">
        <v>140</v>
      </c>
      <c r="G18" s="12">
        <v>1</v>
      </c>
      <c r="H18" s="13">
        <v>25</v>
      </c>
      <c r="I18" s="34">
        <v>10000</v>
      </c>
      <c r="J18" s="5">
        <v>4200</v>
      </c>
      <c r="K18" s="15">
        <f>L18</f>
        <v>4191</v>
      </c>
      <c r="L18" s="15">
        <f>2963+1228</f>
        <v>4191</v>
      </c>
      <c r="M18" s="16">
        <f t="shared" si="0"/>
        <v>4191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0.99785714285714289</v>
      </c>
      <c r="AC18" s="9">
        <f t="shared" si="5"/>
        <v>0.875</v>
      </c>
      <c r="AD18" s="10">
        <f t="shared" si="6"/>
        <v>0.87312500000000004</v>
      </c>
      <c r="AE18" s="39">
        <f t="shared" si="7"/>
        <v>0.48488145559992596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30000</v>
      </c>
      <c r="J19" s="5">
        <v>5110</v>
      </c>
      <c r="K19" s="15">
        <f>L19+4545+5031+1956+1665+1855+908+4098</f>
        <v>25166</v>
      </c>
      <c r="L19" s="15">
        <f>2713+2395</f>
        <v>5108</v>
      </c>
      <c r="M19" s="16">
        <f t="shared" si="0"/>
        <v>5108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0.99960861056751471</v>
      </c>
      <c r="AC19" s="9">
        <f t="shared" si="5"/>
        <v>1</v>
      </c>
      <c r="AD19" s="10">
        <f t="shared" si="6"/>
        <v>0.99960861056751471</v>
      </c>
      <c r="AE19" s="39">
        <f t="shared" si="7"/>
        <v>0.48488145559992596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869</v>
      </c>
      <c r="F20" s="12" t="s">
        <v>117</v>
      </c>
      <c r="G20" s="12">
        <v>4</v>
      </c>
      <c r="H20" s="38">
        <v>20</v>
      </c>
      <c r="I20" s="7">
        <v>200000</v>
      </c>
      <c r="J20" s="14">
        <v>40800</v>
      </c>
      <c r="K20" s="15">
        <f>L20</f>
        <v>40792</v>
      </c>
      <c r="L20" s="15">
        <f>2174*4+8024*4</f>
        <v>40792</v>
      </c>
      <c r="M20" s="16">
        <f t="shared" si="0"/>
        <v>40792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0.99980392156862741</v>
      </c>
      <c r="AC20" s="9">
        <f t="shared" si="5"/>
        <v>0.875</v>
      </c>
      <c r="AD20" s="10">
        <f t="shared" si="6"/>
        <v>0.87482843137254895</v>
      </c>
      <c r="AE20" s="39">
        <f t="shared" si="7"/>
        <v>0.48488145559992596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365700</v>
      </c>
      <c r="J21" s="22">
        <f t="shared" si="9"/>
        <v>77731</v>
      </c>
      <c r="K21" s="23">
        <f t="shared" si="9"/>
        <v>141397</v>
      </c>
      <c r="L21" s="24">
        <f t="shared" si="9"/>
        <v>68512</v>
      </c>
      <c r="M21" s="23">
        <f t="shared" si="9"/>
        <v>68512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175</v>
      </c>
      <c r="Q21" s="46">
        <f t="shared" si="10"/>
        <v>185</v>
      </c>
      <c r="R21" s="26">
        <f t="shared" si="10"/>
        <v>24</v>
      </c>
      <c r="S21" s="27">
        <f t="shared" si="10"/>
        <v>65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0.7961985523488877</v>
      </c>
      <c r="AC21" s="4">
        <f>SUM(AC6:AC20)/15</f>
        <v>0.4861111111111111</v>
      </c>
      <c r="AD21" s="4">
        <f>SUM(AD6:AD20)/15</f>
        <v>0.48488145559992596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870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885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331" t="s">
        <v>47</v>
      </c>
      <c r="D50" s="331" t="s">
        <v>48</v>
      </c>
      <c r="E50" s="331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331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45" t="s">
        <v>871</v>
      </c>
      <c r="B51" s="446"/>
      <c r="C51" s="330" t="s">
        <v>872</v>
      </c>
      <c r="D51" s="327" t="s">
        <v>856</v>
      </c>
      <c r="E51" s="330" t="s">
        <v>857</v>
      </c>
      <c r="F51" s="437" t="s">
        <v>873</v>
      </c>
      <c r="G51" s="437"/>
      <c r="H51" s="437"/>
      <c r="I51" s="437"/>
      <c r="J51" s="437"/>
      <c r="K51" s="437"/>
      <c r="L51" s="437"/>
      <c r="M51" s="438"/>
      <c r="N51" s="326" t="s">
        <v>118</v>
      </c>
      <c r="O51" s="74" t="s">
        <v>142</v>
      </c>
      <c r="P51" s="439" t="s">
        <v>834</v>
      </c>
      <c r="Q51" s="440"/>
      <c r="R51" s="436" t="s">
        <v>835</v>
      </c>
      <c r="S51" s="436"/>
      <c r="T51" s="436"/>
      <c r="U51" s="436"/>
      <c r="V51" s="437" t="s">
        <v>181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855</v>
      </c>
      <c r="B52" s="446"/>
      <c r="C52" s="330" t="s">
        <v>142</v>
      </c>
      <c r="D52" s="327" t="s">
        <v>874</v>
      </c>
      <c r="E52" s="330" t="s">
        <v>875</v>
      </c>
      <c r="F52" s="437" t="s">
        <v>876</v>
      </c>
      <c r="G52" s="437"/>
      <c r="H52" s="437"/>
      <c r="I52" s="437"/>
      <c r="J52" s="437"/>
      <c r="K52" s="437"/>
      <c r="L52" s="437"/>
      <c r="M52" s="438"/>
      <c r="N52" s="326" t="s">
        <v>118</v>
      </c>
      <c r="O52" s="74" t="s">
        <v>443</v>
      </c>
      <c r="P52" s="439" t="s">
        <v>122</v>
      </c>
      <c r="Q52" s="440"/>
      <c r="R52" s="436" t="s">
        <v>735</v>
      </c>
      <c r="S52" s="436"/>
      <c r="T52" s="436"/>
      <c r="U52" s="436"/>
      <c r="V52" s="437" t="s">
        <v>758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858</v>
      </c>
      <c r="B53" s="446"/>
      <c r="C53" s="330" t="s">
        <v>142</v>
      </c>
      <c r="D53" s="327" t="s">
        <v>859</v>
      </c>
      <c r="E53" s="330" t="s">
        <v>877</v>
      </c>
      <c r="F53" s="437" t="s">
        <v>873</v>
      </c>
      <c r="G53" s="437"/>
      <c r="H53" s="437"/>
      <c r="I53" s="437"/>
      <c r="J53" s="437"/>
      <c r="K53" s="437"/>
      <c r="L53" s="437"/>
      <c r="M53" s="438"/>
      <c r="N53" s="326" t="s">
        <v>119</v>
      </c>
      <c r="O53" s="74" t="s">
        <v>836</v>
      </c>
      <c r="P53" s="439" t="s">
        <v>837</v>
      </c>
      <c r="Q53" s="440"/>
      <c r="R53" s="436" t="s">
        <v>838</v>
      </c>
      <c r="S53" s="436"/>
      <c r="T53" s="436"/>
      <c r="U53" s="436"/>
      <c r="V53" s="437" t="s">
        <v>882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330" t="s">
        <v>878</v>
      </c>
      <c r="D54" s="327" t="s">
        <v>129</v>
      </c>
      <c r="E54" s="330" t="s">
        <v>863</v>
      </c>
      <c r="F54" s="437" t="s">
        <v>879</v>
      </c>
      <c r="G54" s="437"/>
      <c r="H54" s="437"/>
      <c r="I54" s="437"/>
      <c r="J54" s="437"/>
      <c r="K54" s="437"/>
      <c r="L54" s="437"/>
      <c r="M54" s="438"/>
      <c r="N54" s="326" t="s">
        <v>855</v>
      </c>
      <c r="O54" s="74" t="s">
        <v>889</v>
      </c>
      <c r="P54" s="439" t="s">
        <v>58</v>
      </c>
      <c r="Q54" s="440"/>
      <c r="R54" s="436" t="s">
        <v>884</v>
      </c>
      <c r="S54" s="436"/>
      <c r="T54" s="436"/>
      <c r="U54" s="436"/>
      <c r="V54" s="437" t="s">
        <v>890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788</v>
      </c>
      <c r="B55" s="446"/>
      <c r="C55" s="330" t="s">
        <v>785</v>
      </c>
      <c r="D55" s="327" t="s">
        <v>789</v>
      </c>
      <c r="E55" s="330" t="s">
        <v>790</v>
      </c>
      <c r="F55" s="437" t="s">
        <v>880</v>
      </c>
      <c r="G55" s="437"/>
      <c r="H55" s="437"/>
      <c r="I55" s="437"/>
      <c r="J55" s="437"/>
      <c r="K55" s="437"/>
      <c r="L55" s="437"/>
      <c r="M55" s="438"/>
      <c r="N55" s="326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118</v>
      </c>
      <c r="B56" s="436"/>
      <c r="C56" s="327" t="s">
        <v>825</v>
      </c>
      <c r="D56" s="327" t="s">
        <v>122</v>
      </c>
      <c r="E56" s="330" t="s">
        <v>826</v>
      </c>
      <c r="F56" s="437" t="s">
        <v>881</v>
      </c>
      <c r="G56" s="437"/>
      <c r="H56" s="437"/>
      <c r="I56" s="437"/>
      <c r="J56" s="437"/>
      <c r="K56" s="437"/>
      <c r="L56" s="437"/>
      <c r="M56" s="438"/>
      <c r="N56" s="326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 t="s">
        <v>119</v>
      </c>
      <c r="B57" s="446"/>
      <c r="C57" s="330" t="s">
        <v>828</v>
      </c>
      <c r="D57" s="327" t="s">
        <v>829</v>
      </c>
      <c r="E57" s="330" t="s">
        <v>830</v>
      </c>
      <c r="F57" s="437" t="s">
        <v>882</v>
      </c>
      <c r="G57" s="437"/>
      <c r="H57" s="437"/>
      <c r="I57" s="437"/>
      <c r="J57" s="437"/>
      <c r="K57" s="437"/>
      <c r="L57" s="437"/>
      <c r="M57" s="438"/>
      <c r="N57" s="326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 t="s">
        <v>855</v>
      </c>
      <c r="B58" s="446"/>
      <c r="C58" s="330" t="s">
        <v>883</v>
      </c>
      <c r="D58" s="327" t="s">
        <v>58</v>
      </c>
      <c r="E58" s="330" t="s">
        <v>884</v>
      </c>
      <c r="F58" s="437" t="s">
        <v>876</v>
      </c>
      <c r="G58" s="437"/>
      <c r="H58" s="437"/>
      <c r="I58" s="437"/>
      <c r="J58" s="437"/>
      <c r="K58" s="437"/>
      <c r="L58" s="437"/>
      <c r="M58" s="438"/>
      <c r="N58" s="326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 t="s">
        <v>886</v>
      </c>
      <c r="B59" s="436"/>
      <c r="C59" s="327" t="s">
        <v>887</v>
      </c>
      <c r="D59" s="327"/>
      <c r="E59" s="327" t="s">
        <v>888</v>
      </c>
      <c r="F59" s="437" t="s">
        <v>873</v>
      </c>
      <c r="G59" s="437"/>
      <c r="H59" s="437"/>
      <c r="I59" s="437"/>
      <c r="J59" s="437"/>
      <c r="K59" s="437"/>
      <c r="L59" s="437"/>
      <c r="M59" s="438"/>
      <c r="N59" s="326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329"/>
      <c r="D60" s="329"/>
      <c r="E60" s="329"/>
      <c r="F60" s="443"/>
      <c r="G60" s="443"/>
      <c r="H60" s="443"/>
      <c r="I60" s="443"/>
      <c r="J60" s="443"/>
      <c r="K60" s="443"/>
      <c r="L60" s="443"/>
      <c r="M60" s="444"/>
      <c r="N60" s="328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891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325" t="s">
        <v>2</v>
      </c>
      <c r="D62" s="325" t="s">
        <v>38</v>
      </c>
      <c r="E62" s="325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325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 t="s">
        <v>858</v>
      </c>
      <c r="D63" s="321"/>
      <c r="E63" s="323" t="s">
        <v>892</v>
      </c>
      <c r="F63" s="456" t="s">
        <v>893</v>
      </c>
      <c r="G63" s="457"/>
      <c r="H63" s="457"/>
      <c r="I63" s="457"/>
      <c r="J63" s="457"/>
      <c r="K63" s="457" t="s">
        <v>894</v>
      </c>
      <c r="L63" s="457"/>
      <c r="M63" s="54" t="s">
        <v>895</v>
      </c>
      <c r="N63" s="457">
        <v>4</v>
      </c>
      <c r="O63" s="457"/>
      <c r="P63" s="458">
        <v>50</v>
      </c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 t="s">
        <v>896</v>
      </c>
      <c r="D64" s="321"/>
      <c r="E64" s="323" t="s">
        <v>897</v>
      </c>
      <c r="F64" s="456" t="s">
        <v>898</v>
      </c>
      <c r="G64" s="457"/>
      <c r="H64" s="457"/>
      <c r="I64" s="457"/>
      <c r="J64" s="457"/>
      <c r="K64" s="457" t="s">
        <v>899</v>
      </c>
      <c r="L64" s="457"/>
      <c r="M64" s="54" t="s">
        <v>900</v>
      </c>
      <c r="N64" s="457">
        <v>2</v>
      </c>
      <c r="O64" s="457"/>
      <c r="P64" s="458">
        <v>1000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321"/>
      <c r="E65" s="323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321"/>
      <c r="E66" s="323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321"/>
      <c r="E67" s="323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321"/>
      <c r="E68" s="323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321"/>
      <c r="E69" s="323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321"/>
      <c r="E70" s="323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901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324" t="s">
        <v>2</v>
      </c>
      <c r="D72" s="324" t="s">
        <v>38</v>
      </c>
      <c r="E72" s="324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322" t="s">
        <v>118</v>
      </c>
      <c r="D73" s="322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321" t="s">
        <v>118</v>
      </c>
      <c r="D74" s="321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321" t="s">
        <v>163</v>
      </c>
      <c r="D75" s="321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321" t="s">
        <v>119</v>
      </c>
      <c r="D76" s="321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321" t="s">
        <v>118</v>
      </c>
      <c r="D77" s="321"/>
      <c r="E77" s="35" t="s">
        <v>850</v>
      </c>
      <c r="F77" s="468" t="s">
        <v>851</v>
      </c>
      <c r="G77" s="468"/>
      <c r="H77" s="468"/>
      <c r="I77" s="468"/>
      <c r="J77" s="468"/>
      <c r="K77" s="469" t="s">
        <v>903</v>
      </c>
      <c r="L77" s="470"/>
      <c r="M77" s="470"/>
      <c r="N77" s="470"/>
      <c r="O77" s="470"/>
      <c r="P77" s="470"/>
      <c r="Q77" s="470"/>
      <c r="R77" s="470"/>
      <c r="S77" s="471"/>
      <c r="T77" s="472">
        <v>42971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321"/>
      <c r="D78" s="321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321"/>
      <c r="D79" s="321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321"/>
      <c r="D80" s="321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321"/>
      <c r="D81" s="321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902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904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33" t="s">
        <v>17</v>
      </c>
      <c r="L5" s="333" t="s">
        <v>18</v>
      </c>
      <c r="M5" s="333" t="s">
        <v>19</v>
      </c>
      <c r="N5" s="33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0.56605060848734889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905</v>
      </c>
      <c r="D7" s="55" t="s">
        <v>906</v>
      </c>
      <c r="E7" s="56" t="s">
        <v>907</v>
      </c>
      <c r="F7" s="12" t="s">
        <v>908</v>
      </c>
      <c r="G7" s="36">
        <v>4</v>
      </c>
      <c r="H7" s="38">
        <v>25</v>
      </c>
      <c r="I7" s="7">
        <v>5000</v>
      </c>
      <c r="J7" s="14">
        <v>9920</v>
      </c>
      <c r="K7" s="15">
        <f>L7</f>
        <v>9916</v>
      </c>
      <c r="L7" s="15">
        <f>2479*4</f>
        <v>9916</v>
      </c>
      <c r="M7" s="16">
        <f t="shared" si="0"/>
        <v>9916</v>
      </c>
      <c r="N7" s="16">
        <v>0</v>
      </c>
      <c r="O7" s="62">
        <f t="shared" si="1"/>
        <v>0</v>
      </c>
      <c r="P7" s="42">
        <f t="shared" si="2"/>
        <v>17</v>
      </c>
      <c r="Q7" s="43">
        <f t="shared" si="3"/>
        <v>7</v>
      </c>
      <c r="R7" s="7"/>
      <c r="S7" s="6"/>
      <c r="T7" s="17">
        <v>7</v>
      </c>
      <c r="U7" s="17"/>
      <c r="V7" s="18"/>
      <c r="W7" s="19"/>
      <c r="X7" s="17"/>
      <c r="Y7" s="20"/>
      <c r="Z7" s="20"/>
      <c r="AA7" s="21"/>
      <c r="AB7" s="8">
        <f t="shared" si="4"/>
        <v>0.99959677419354842</v>
      </c>
      <c r="AC7" s="9">
        <f t="shared" si="5"/>
        <v>0.70833333333333337</v>
      </c>
      <c r="AD7" s="10">
        <f t="shared" si="6"/>
        <v>0.70804771505376352</v>
      </c>
      <c r="AE7" s="39">
        <f t="shared" si="7"/>
        <v>0.56605060848734889</v>
      </c>
      <c r="AF7" s="94">
        <f>A7</f>
        <v>2</v>
      </c>
    </row>
    <row r="8" spans="1:32" ht="27" customHeight="1">
      <c r="A8" s="109">
        <v>3</v>
      </c>
      <c r="B8" s="11" t="s">
        <v>867</v>
      </c>
      <c r="C8" s="11" t="s">
        <v>119</v>
      </c>
      <c r="D8" s="55" t="s">
        <v>216</v>
      </c>
      <c r="E8" s="56" t="s">
        <v>217</v>
      </c>
      <c r="F8" s="12" t="s">
        <v>128</v>
      </c>
      <c r="G8" s="36">
        <v>1</v>
      </c>
      <c r="H8" s="38">
        <v>25</v>
      </c>
      <c r="I8" s="7">
        <v>30000</v>
      </c>
      <c r="J8" s="14">
        <v>4790</v>
      </c>
      <c r="K8" s="15">
        <f>L8+3831</f>
        <v>8616</v>
      </c>
      <c r="L8" s="15">
        <f>2718+2067</f>
        <v>4785</v>
      </c>
      <c r="M8" s="16">
        <f t="shared" si="0"/>
        <v>4785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0.9989561586638831</v>
      </c>
      <c r="AC8" s="9">
        <f t="shared" si="5"/>
        <v>1</v>
      </c>
      <c r="AD8" s="10">
        <f t="shared" si="6"/>
        <v>0.9989561586638831</v>
      </c>
      <c r="AE8" s="39">
        <f t="shared" si="7"/>
        <v>0.56605060848734889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37" t="s">
        <v>154</v>
      </c>
      <c r="D9" s="55" t="s">
        <v>909</v>
      </c>
      <c r="E9" s="57" t="s">
        <v>910</v>
      </c>
      <c r="F9" s="12" t="s">
        <v>911</v>
      </c>
      <c r="G9" s="12">
        <v>1</v>
      </c>
      <c r="H9" s="13">
        <v>25</v>
      </c>
      <c r="I9" s="34">
        <v>1000</v>
      </c>
      <c r="J9" s="5">
        <v>1320</v>
      </c>
      <c r="K9" s="15">
        <f>L9</f>
        <v>1320</v>
      </c>
      <c r="L9" s="15">
        <v>1320</v>
      </c>
      <c r="M9" s="16">
        <f t="shared" si="0"/>
        <v>1320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 t="shared" si="7"/>
        <v>0.56605060848734889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154</v>
      </c>
      <c r="D10" s="55" t="s">
        <v>912</v>
      </c>
      <c r="E10" s="57" t="s">
        <v>913</v>
      </c>
      <c r="F10" s="12" t="s">
        <v>914</v>
      </c>
      <c r="G10" s="12">
        <v>1</v>
      </c>
      <c r="H10" s="13">
        <v>25</v>
      </c>
      <c r="I10" s="34">
        <v>1000</v>
      </c>
      <c r="J10" s="5">
        <v>1980</v>
      </c>
      <c r="K10" s="15">
        <f>L10</f>
        <v>1974</v>
      </c>
      <c r="L10" s="15">
        <v>1974</v>
      </c>
      <c r="M10" s="16">
        <f t="shared" ref="M10" si="9">L10-N10</f>
        <v>1974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12</v>
      </c>
      <c r="Q10" s="43">
        <f t="shared" ref="Q10" si="12">SUM(R10:AA10)</f>
        <v>12</v>
      </c>
      <c r="R10" s="7"/>
      <c r="S10" s="6"/>
      <c r="T10" s="17"/>
      <c r="U10" s="17"/>
      <c r="V10" s="18"/>
      <c r="W10" s="19">
        <v>12</v>
      </c>
      <c r="X10" s="17"/>
      <c r="Y10" s="20"/>
      <c r="Z10" s="20"/>
      <c r="AA10" s="21"/>
      <c r="AB10" s="8">
        <f t="shared" ref="AB10" si="13">IF(J10=0,"0",(L10/J10))</f>
        <v>0.99696969696969695</v>
      </c>
      <c r="AC10" s="9">
        <f t="shared" ref="AC10" si="14">IF(P10=0,"0",(P10/24))</f>
        <v>0.5</v>
      </c>
      <c r="AD10" s="10">
        <f t="shared" ref="AD10" si="15">AC10*AB10*(1-O10)</f>
        <v>0.49848484848484848</v>
      </c>
      <c r="AE10" s="39">
        <f t="shared" si="7"/>
        <v>0.56605060848734889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59</v>
      </c>
      <c r="C11" s="11" t="s">
        <v>163</v>
      </c>
      <c r="D11" s="55" t="s">
        <v>151</v>
      </c>
      <c r="E11" s="57" t="s">
        <v>484</v>
      </c>
      <c r="F11" s="12" t="s">
        <v>261</v>
      </c>
      <c r="G11" s="12">
        <v>1</v>
      </c>
      <c r="H11" s="13">
        <v>25</v>
      </c>
      <c r="I11" s="34">
        <v>30000</v>
      </c>
      <c r="J11" s="14">
        <v>2350</v>
      </c>
      <c r="K11" s="15">
        <f>L11+4291+3710+5240+2559+4147+4772+5285+4429+3228+2342</f>
        <v>40003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0.56605060848734889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118</v>
      </c>
      <c r="D12" s="55" t="s">
        <v>770</v>
      </c>
      <c r="E12" s="56" t="s">
        <v>771</v>
      </c>
      <c r="F12" s="12" t="s">
        <v>150</v>
      </c>
      <c r="G12" s="12">
        <v>1</v>
      </c>
      <c r="H12" s="13">
        <v>25</v>
      </c>
      <c r="I12" s="34">
        <v>500</v>
      </c>
      <c r="J12" s="14">
        <v>671</v>
      </c>
      <c r="K12" s="15">
        <f>L12+671</f>
        <v>671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0.56605060848734889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119</v>
      </c>
      <c r="D13" s="55" t="s">
        <v>862</v>
      </c>
      <c r="E13" s="57" t="s">
        <v>863</v>
      </c>
      <c r="F13" s="12" t="s">
        <v>864</v>
      </c>
      <c r="G13" s="12">
        <v>1</v>
      </c>
      <c r="H13" s="13">
        <v>25</v>
      </c>
      <c r="I13" s="7">
        <v>17000</v>
      </c>
      <c r="J13" s="14">
        <v>4510</v>
      </c>
      <c r="K13" s="15">
        <f>L13+806</f>
        <v>5316</v>
      </c>
      <c r="L13" s="15">
        <f>2317+2193</f>
        <v>4510</v>
      </c>
      <c r="M13" s="16">
        <f t="shared" si="0"/>
        <v>4510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/>
      <c r="T13" s="17"/>
      <c r="U13" s="17"/>
      <c r="V13" s="18">
        <v>1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9">
        <f t="shared" si="7"/>
        <v>0.56605060848734889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118</v>
      </c>
      <c r="D14" s="55" t="s">
        <v>235</v>
      </c>
      <c r="E14" s="57" t="s">
        <v>735</v>
      </c>
      <c r="F14" s="12">
        <v>7301</v>
      </c>
      <c r="G14" s="12">
        <v>1</v>
      </c>
      <c r="H14" s="13">
        <v>25</v>
      </c>
      <c r="I14" s="7">
        <v>7000</v>
      </c>
      <c r="J14" s="14">
        <v>2850</v>
      </c>
      <c r="K14" s="15">
        <f>L14+1701+599+836</f>
        <v>5977</v>
      </c>
      <c r="L14" s="15">
        <f>1172+1669</f>
        <v>2841</v>
      </c>
      <c r="M14" s="16">
        <f t="shared" si="0"/>
        <v>2841</v>
      </c>
      <c r="N14" s="16">
        <v>0</v>
      </c>
      <c r="O14" s="62">
        <f t="shared" si="1"/>
        <v>0</v>
      </c>
      <c r="P14" s="42">
        <f t="shared" si="2"/>
        <v>16</v>
      </c>
      <c r="Q14" s="43">
        <f t="shared" si="3"/>
        <v>8</v>
      </c>
      <c r="R14" s="7"/>
      <c r="S14" s="6">
        <v>8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0.99684210526315786</v>
      </c>
      <c r="AC14" s="9">
        <f t="shared" si="5"/>
        <v>0.66666666666666663</v>
      </c>
      <c r="AD14" s="10">
        <f t="shared" si="6"/>
        <v>0.66456140350877191</v>
      </c>
      <c r="AE14" s="39">
        <f t="shared" si="7"/>
        <v>0.56605060848734889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58</v>
      </c>
      <c r="E15" s="57" t="s">
        <v>865</v>
      </c>
      <c r="F15" s="33" t="s">
        <v>866</v>
      </c>
      <c r="G15" s="36">
        <v>1</v>
      </c>
      <c r="H15" s="38">
        <v>40</v>
      </c>
      <c r="I15" s="7">
        <v>200</v>
      </c>
      <c r="J15" s="5">
        <v>556</v>
      </c>
      <c r="K15" s="15">
        <f>L15+106</f>
        <v>662</v>
      </c>
      <c r="L15" s="15">
        <f>556</f>
        <v>556</v>
      </c>
      <c r="M15" s="16">
        <f t="shared" si="0"/>
        <v>556</v>
      </c>
      <c r="N15" s="16">
        <v>0</v>
      </c>
      <c r="O15" s="62">
        <f t="shared" si="1"/>
        <v>0</v>
      </c>
      <c r="P15" s="42">
        <f t="shared" si="2"/>
        <v>10</v>
      </c>
      <c r="Q15" s="43">
        <f t="shared" si="3"/>
        <v>14</v>
      </c>
      <c r="R15" s="7"/>
      <c r="S15" s="6"/>
      <c r="T15" s="17"/>
      <c r="U15" s="17"/>
      <c r="V15" s="18"/>
      <c r="W15" s="19">
        <v>14</v>
      </c>
      <c r="X15" s="17"/>
      <c r="Y15" s="20"/>
      <c r="Z15" s="20"/>
      <c r="AA15" s="21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9">
        <f t="shared" si="7"/>
        <v>0.56605060848734889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148</v>
      </c>
      <c r="E16" s="57" t="s">
        <v>631</v>
      </c>
      <c r="F16" s="12" t="s">
        <v>162</v>
      </c>
      <c r="G16" s="12">
        <v>1</v>
      </c>
      <c r="H16" s="13">
        <v>25</v>
      </c>
      <c r="I16" s="34">
        <v>2000</v>
      </c>
      <c r="J16" s="14">
        <v>2730</v>
      </c>
      <c r="K16" s="15">
        <f>L16+2727</f>
        <v>2727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0.56605060848734889</v>
      </c>
      <c r="AF16" s="94">
        <f t="shared" si="8"/>
        <v>10</v>
      </c>
    </row>
    <row r="17" spans="1:36" ht="27.75" customHeight="1">
      <c r="A17" s="109">
        <v>11</v>
      </c>
      <c r="B17" s="11" t="s">
        <v>867</v>
      </c>
      <c r="C17" s="11" t="s">
        <v>119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30000</v>
      </c>
      <c r="J17" s="14">
        <v>5040</v>
      </c>
      <c r="K17" s="15">
        <f>L17+5063</f>
        <v>10096</v>
      </c>
      <c r="L17" s="15">
        <f>3303+1730</f>
        <v>5033</v>
      </c>
      <c r="M17" s="16">
        <f t="shared" si="0"/>
        <v>5033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>
        <v>2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0.99861111111111112</v>
      </c>
      <c r="AC17" s="9">
        <f t="shared" si="5"/>
        <v>0.91666666666666663</v>
      </c>
      <c r="AD17" s="10">
        <f t="shared" si="6"/>
        <v>0.91539351851851847</v>
      </c>
      <c r="AE17" s="39">
        <f t="shared" si="7"/>
        <v>0.56605060848734889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118</v>
      </c>
      <c r="D18" s="55" t="s">
        <v>742</v>
      </c>
      <c r="E18" s="56" t="s">
        <v>744</v>
      </c>
      <c r="F18" s="12">
        <v>8301</v>
      </c>
      <c r="G18" s="12">
        <v>1</v>
      </c>
      <c r="H18" s="13">
        <v>25</v>
      </c>
      <c r="I18" s="34">
        <v>6500</v>
      </c>
      <c r="J18" s="5">
        <v>6520</v>
      </c>
      <c r="K18" s="15">
        <f>L18+3715+6518</f>
        <v>10233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0.56605060848734889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119</v>
      </c>
      <c r="D19" s="55" t="s">
        <v>139</v>
      </c>
      <c r="E19" s="57" t="s">
        <v>868</v>
      </c>
      <c r="F19" s="33" t="s">
        <v>140</v>
      </c>
      <c r="G19" s="12">
        <v>1</v>
      </c>
      <c r="H19" s="13">
        <v>25</v>
      </c>
      <c r="I19" s="34">
        <v>10000</v>
      </c>
      <c r="J19" s="5">
        <v>5550</v>
      </c>
      <c r="K19" s="15">
        <f>L19+4191</f>
        <v>9734</v>
      </c>
      <c r="L19" s="15">
        <f>2848+2695</f>
        <v>5543</v>
      </c>
      <c r="M19" s="16">
        <f t="shared" si="0"/>
        <v>5543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0.99873873873873875</v>
      </c>
      <c r="AC19" s="9">
        <f t="shared" si="5"/>
        <v>1</v>
      </c>
      <c r="AD19" s="10">
        <f t="shared" si="6"/>
        <v>0.99873873873873875</v>
      </c>
      <c r="AE19" s="39">
        <f t="shared" si="7"/>
        <v>0.56605060848734889</v>
      </c>
      <c r="AF19" s="94">
        <f t="shared" si="8"/>
        <v>13</v>
      </c>
    </row>
    <row r="20" spans="1:36" ht="27" customHeight="1">
      <c r="A20" s="110">
        <v>14</v>
      </c>
      <c r="B20" s="11" t="s">
        <v>59</v>
      </c>
      <c r="C20" s="37" t="s">
        <v>119</v>
      </c>
      <c r="D20" s="55" t="s">
        <v>58</v>
      </c>
      <c r="E20" s="57" t="s">
        <v>143</v>
      </c>
      <c r="F20" s="33" t="s">
        <v>147</v>
      </c>
      <c r="G20" s="36">
        <v>1</v>
      </c>
      <c r="H20" s="38">
        <v>25</v>
      </c>
      <c r="I20" s="7">
        <v>30000</v>
      </c>
      <c r="J20" s="5">
        <v>5210</v>
      </c>
      <c r="K20" s="15">
        <f>L20+4545+5031+1956+1665+1855+908+4098+5108</f>
        <v>30367</v>
      </c>
      <c r="L20" s="15">
        <f>2739+2462</f>
        <v>5201</v>
      </c>
      <c r="M20" s="16">
        <f t="shared" si="0"/>
        <v>5201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0.99827255278310945</v>
      </c>
      <c r="AC20" s="9">
        <f t="shared" si="5"/>
        <v>1</v>
      </c>
      <c r="AD20" s="10">
        <f t="shared" si="6"/>
        <v>0.99827255278310945</v>
      </c>
      <c r="AE20" s="39">
        <f t="shared" si="7"/>
        <v>0.56605060848734889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869</v>
      </c>
      <c r="F21" s="12" t="s">
        <v>117</v>
      </c>
      <c r="G21" s="12">
        <v>4</v>
      </c>
      <c r="H21" s="38">
        <v>20</v>
      </c>
      <c r="I21" s="7">
        <v>200000</v>
      </c>
      <c r="J21" s="14">
        <v>68630</v>
      </c>
      <c r="K21" s="15">
        <f>L21+40792</f>
        <v>109420</v>
      </c>
      <c r="L21" s="15">
        <f>9514*4+7643*4</f>
        <v>68628</v>
      </c>
      <c r="M21" s="16">
        <f t="shared" si="0"/>
        <v>68628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0.99997085822526588</v>
      </c>
      <c r="AC21" s="9">
        <f t="shared" si="5"/>
        <v>1</v>
      </c>
      <c r="AD21" s="10">
        <f t="shared" si="6"/>
        <v>0.99997085822526588</v>
      </c>
      <c r="AE21" s="39">
        <f t="shared" si="7"/>
        <v>0.56605060848734889</v>
      </c>
      <c r="AF21" s="94">
        <f t="shared" si="8"/>
        <v>15</v>
      </c>
    </row>
    <row r="22" spans="1:36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5">
        <f t="shared" ref="I22:N22" si="17">SUM(I6:I21)</f>
        <v>371200</v>
      </c>
      <c r="J22" s="22">
        <f t="shared" si="17"/>
        <v>124597</v>
      </c>
      <c r="K22" s="23">
        <f t="shared" si="17"/>
        <v>248994</v>
      </c>
      <c r="L22" s="24">
        <f t="shared" si="17"/>
        <v>110307</v>
      </c>
      <c r="M22" s="23">
        <f t="shared" si="17"/>
        <v>110307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204</v>
      </c>
      <c r="Q22" s="46">
        <f t="shared" si="18"/>
        <v>180</v>
      </c>
      <c r="R22" s="26">
        <f t="shared" si="18"/>
        <v>24</v>
      </c>
      <c r="S22" s="27">
        <f t="shared" si="18"/>
        <v>10</v>
      </c>
      <c r="T22" s="27">
        <f t="shared" si="18"/>
        <v>7</v>
      </c>
      <c r="U22" s="27">
        <f t="shared" si="18"/>
        <v>0</v>
      </c>
      <c r="V22" s="28">
        <f t="shared" si="18"/>
        <v>1</v>
      </c>
      <c r="W22" s="29">
        <f t="shared" si="18"/>
        <v>138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0.73253053306323423</v>
      </c>
      <c r="AC22" s="4">
        <f>SUM(AC6:AC21)/15</f>
        <v>0.56666666666666665</v>
      </c>
      <c r="AD22" s="4">
        <f>SUM(AD6:AD21)/15</f>
        <v>0.56605060848734889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1" t="s">
        <v>46</v>
      </c>
      <c r="B49" s="411"/>
      <c r="C49" s="411"/>
      <c r="D49" s="411"/>
      <c r="E49" s="41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2" t="s">
        <v>915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922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334" t="s">
        <v>47</v>
      </c>
      <c r="D51" s="334" t="s">
        <v>48</v>
      </c>
      <c r="E51" s="334" t="s">
        <v>110</v>
      </c>
      <c r="F51" s="419" t="s">
        <v>109</v>
      </c>
      <c r="G51" s="419"/>
      <c r="H51" s="419"/>
      <c r="I51" s="419"/>
      <c r="J51" s="419"/>
      <c r="K51" s="419"/>
      <c r="L51" s="419"/>
      <c r="M51" s="420"/>
      <c r="N51" s="73" t="s">
        <v>114</v>
      </c>
      <c r="O51" s="334" t="s">
        <v>47</v>
      </c>
      <c r="P51" s="421" t="s">
        <v>48</v>
      </c>
      <c r="Q51" s="422"/>
      <c r="R51" s="421" t="s">
        <v>39</v>
      </c>
      <c r="S51" s="423"/>
      <c r="T51" s="423"/>
      <c r="U51" s="422"/>
      <c r="V51" s="421" t="s">
        <v>49</v>
      </c>
      <c r="W51" s="423"/>
      <c r="X51" s="423"/>
      <c r="Y51" s="423"/>
      <c r="Z51" s="423"/>
      <c r="AA51" s="423"/>
      <c r="AB51" s="423"/>
      <c r="AC51" s="423"/>
      <c r="AD51" s="424"/>
    </row>
    <row r="52" spans="1:32" ht="27" customHeight="1">
      <c r="A52" s="445" t="s">
        <v>916</v>
      </c>
      <c r="B52" s="446"/>
      <c r="C52" s="339" t="s">
        <v>872</v>
      </c>
      <c r="D52" s="336" t="s">
        <v>906</v>
      </c>
      <c r="E52" s="339" t="s">
        <v>907</v>
      </c>
      <c r="F52" s="437" t="s">
        <v>873</v>
      </c>
      <c r="G52" s="437"/>
      <c r="H52" s="437"/>
      <c r="I52" s="437"/>
      <c r="J52" s="437"/>
      <c r="K52" s="437"/>
      <c r="L52" s="437"/>
      <c r="M52" s="438"/>
      <c r="N52" s="335" t="s">
        <v>923</v>
      </c>
      <c r="O52" s="74" t="s">
        <v>924</v>
      </c>
      <c r="P52" s="439" t="s">
        <v>927</v>
      </c>
      <c r="Q52" s="440"/>
      <c r="R52" s="436" t="s">
        <v>925</v>
      </c>
      <c r="S52" s="436"/>
      <c r="T52" s="436"/>
      <c r="U52" s="436"/>
      <c r="V52" s="437" t="s">
        <v>926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855</v>
      </c>
      <c r="B53" s="446"/>
      <c r="C53" s="339" t="s">
        <v>142</v>
      </c>
      <c r="D53" s="336" t="s">
        <v>874</v>
      </c>
      <c r="E53" s="339" t="s">
        <v>875</v>
      </c>
      <c r="F53" s="437" t="s">
        <v>917</v>
      </c>
      <c r="G53" s="437"/>
      <c r="H53" s="437"/>
      <c r="I53" s="437"/>
      <c r="J53" s="437"/>
      <c r="K53" s="437"/>
      <c r="L53" s="437"/>
      <c r="M53" s="438"/>
      <c r="N53" s="335" t="s">
        <v>118</v>
      </c>
      <c r="O53" s="74" t="s">
        <v>443</v>
      </c>
      <c r="P53" s="439" t="s">
        <v>216</v>
      </c>
      <c r="Q53" s="440"/>
      <c r="R53" s="436" t="s">
        <v>928</v>
      </c>
      <c r="S53" s="436"/>
      <c r="T53" s="436"/>
      <c r="U53" s="436"/>
      <c r="V53" s="437" t="s">
        <v>926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918</v>
      </c>
      <c r="B54" s="446"/>
      <c r="C54" s="339" t="s">
        <v>142</v>
      </c>
      <c r="D54" s="336" t="s">
        <v>909</v>
      </c>
      <c r="E54" s="339" t="s">
        <v>910</v>
      </c>
      <c r="F54" s="437" t="s">
        <v>873</v>
      </c>
      <c r="G54" s="437"/>
      <c r="H54" s="437"/>
      <c r="I54" s="437"/>
      <c r="J54" s="437"/>
      <c r="K54" s="437"/>
      <c r="L54" s="437"/>
      <c r="M54" s="438"/>
      <c r="N54" s="335" t="s">
        <v>154</v>
      </c>
      <c r="O54" s="74" t="s">
        <v>929</v>
      </c>
      <c r="P54" s="439" t="s">
        <v>930</v>
      </c>
      <c r="Q54" s="440"/>
      <c r="R54" s="436" t="s">
        <v>931</v>
      </c>
      <c r="S54" s="436"/>
      <c r="T54" s="436"/>
      <c r="U54" s="436"/>
      <c r="V54" s="437" t="s">
        <v>882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119</v>
      </c>
      <c r="B55" s="446"/>
      <c r="C55" s="339" t="s">
        <v>878</v>
      </c>
      <c r="D55" s="336" t="s">
        <v>129</v>
      </c>
      <c r="E55" s="339" t="s">
        <v>863</v>
      </c>
      <c r="F55" s="437" t="s">
        <v>919</v>
      </c>
      <c r="G55" s="437"/>
      <c r="H55" s="437"/>
      <c r="I55" s="437"/>
      <c r="J55" s="437"/>
      <c r="K55" s="437"/>
      <c r="L55" s="437"/>
      <c r="M55" s="438"/>
      <c r="N55" s="335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118</v>
      </c>
      <c r="B56" s="436"/>
      <c r="C56" s="336" t="s">
        <v>825</v>
      </c>
      <c r="D56" s="336" t="s">
        <v>122</v>
      </c>
      <c r="E56" s="339" t="s">
        <v>826</v>
      </c>
      <c r="F56" s="437" t="s">
        <v>920</v>
      </c>
      <c r="G56" s="437"/>
      <c r="H56" s="437"/>
      <c r="I56" s="437"/>
      <c r="J56" s="437"/>
      <c r="K56" s="437"/>
      <c r="L56" s="437"/>
      <c r="M56" s="438"/>
      <c r="N56" s="335"/>
      <c r="O56" s="74"/>
      <c r="P56" s="439"/>
      <c r="Q56" s="440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 t="s">
        <v>855</v>
      </c>
      <c r="B57" s="446"/>
      <c r="C57" s="339" t="s">
        <v>883</v>
      </c>
      <c r="D57" s="336" t="s">
        <v>58</v>
      </c>
      <c r="E57" s="339" t="s">
        <v>884</v>
      </c>
      <c r="F57" s="437" t="s">
        <v>921</v>
      </c>
      <c r="G57" s="437"/>
      <c r="H57" s="437"/>
      <c r="I57" s="437"/>
      <c r="J57" s="437"/>
      <c r="K57" s="437"/>
      <c r="L57" s="437"/>
      <c r="M57" s="438"/>
      <c r="N57" s="335"/>
      <c r="O57" s="74"/>
      <c r="P57" s="436"/>
      <c r="Q57" s="436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339"/>
      <c r="D58" s="336"/>
      <c r="E58" s="339"/>
      <c r="F58" s="437"/>
      <c r="G58" s="437"/>
      <c r="H58" s="437"/>
      <c r="I58" s="437"/>
      <c r="J58" s="437"/>
      <c r="K58" s="437"/>
      <c r="L58" s="437"/>
      <c r="M58" s="438"/>
      <c r="N58" s="335"/>
      <c r="O58" s="74"/>
      <c r="P58" s="439"/>
      <c r="Q58" s="440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/>
      <c r="B59" s="446"/>
      <c r="C59" s="339"/>
      <c r="D59" s="336"/>
      <c r="E59" s="339"/>
      <c r="F59" s="437"/>
      <c r="G59" s="437"/>
      <c r="H59" s="437"/>
      <c r="I59" s="437"/>
      <c r="J59" s="437"/>
      <c r="K59" s="437"/>
      <c r="L59" s="437"/>
      <c r="M59" s="438"/>
      <c r="N59" s="335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35"/>
      <c r="B60" s="436"/>
      <c r="C60" s="336"/>
      <c r="D60" s="336"/>
      <c r="E60" s="336"/>
      <c r="F60" s="437"/>
      <c r="G60" s="437"/>
      <c r="H60" s="437"/>
      <c r="I60" s="437"/>
      <c r="J60" s="437"/>
      <c r="K60" s="437"/>
      <c r="L60" s="437"/>
      <c r="M60" s="438"/>
      <c r="N60" s="335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  <c r="AF60" s="94">
        <f>8*3000</f>
        <v>24000</v>
      </c>
    </row>
    <row r="61" spans="1:32" ht="27" customHeight="1" thickBot="1">
      <c r="A61" s="441"/>
      <c r="B61" s="442"/>
      <c r="C61" s="338"/>
      <c r="D61" s="338"/>
      <c r="E61" s="338"/>
      <c r="F61" s="443"/>
      <c r="G61" s="443"/>
      <c r="H61" s="443"/>
      <c r="I61" s="443"/>
      <c r="J61" s="443"/>
      <c r="K61" s="443"/>
      <c r="L61" s="443"/>
      <c r="M61" s="444"/>
      <c r="N61" s="337"/>
      <c r="O61" s="121"/>
      <c r="P61" s="442"/>
      <c r="Q61" s="442"/>
      <c r="R61" s="442"/>
      <c r="S61" s="442"/>
      <c r="T61" s="442"/>
      <c r="U61" s="442"/>
      <c r="V61" s="443"/>
      <c r="W61" s="443"/>
      <c r="X61" s="443"/>
      <c r="Y61" s="443"/>
      <c r="Z61" s="443"/>
      <c r="AA61" s="443"/>
      <c r="AB61" s="443"/>
      <c r="AC61" s="443"/>
      <c r="AD61" s="444"/>
      <c r="AF61" s="94">
        <f>16*3000</f>
        <v>48000</v>
      </c>
    </row>
    <row r="62" spans="1:32" ht="27.75" thickBot="1">
      <c r="A62" s="447" t="s">
        <v>932</v>
      </c>
      <c r="B62" s="447"/>
      <c r="C62" s="447"/>
      <c r="D62" s="447"/>
      <c r="E62" s="44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8" t="s">
        <v>115</v>
      </c>
      <c r="B63" s="449"/>
      <c r="C63" s="340" t="s">
        <v>2</v>
      </c>
      <c r="D63" s="340" t="s">
        <v>38</v>
      </c>
      <c r="E63" s="340" t="s">
        <v>3</v>
      </c>
      <c r="F63" s="449" t="s">
        <v>112</v>
      </c>
      <c r="G63" s="449"/>
      <c r="H63" s="449"/>
      <c r="I63" s="449"/>
      <c r="J63" s="449"/>
      <c r="K63" s="449" t="s">
        <v>40</v>
      </c>
      <c r="L63" s="449"/>
      <c r="M63" s="340" t="s">
        <v>41</v>
      </c>
      <c r="N63" s="449" t="s">
        <v>42</v>
      </c>
      <c r="O63" s="449"/>
      <c r="P63" s="450" t="s">
        <v>43</v>
      </c>
      <c r="Q63" s="451"/>
      <c r="R63" s="450" t="s">
        <v>44</v>
      </c>
      <c r="S63" s="452"/>
      <c r="T63" s="452"/>
      <c r="U63" s="452"/>
      <c r="V63" s="452"/>
      <c r="W63" s="452"/>
      <c r="X63" s="452"/>
      <c r="Y63" s="452"/>
      <c r="Z63" s="452"/>
      <c r="AA63" s="451"/>
      <c r="AB63" s="449" t="s">
        <v>45</v>
      </c>
      <c r="AC63" s="449"/>
      <c r="AD63" s="453"/>
      <c r="AF63" s="94">
        <f>SUM(AF60:AF62)</f>
        <v>96000</v>
      </c>
    </row>
    <row r="64" spans="1:32" ht="25.5" customHeight="1">
      <c r="A64" s="454">
        <v>1</v>
      </c>
      <c r="B64" s="455"/>
      <c r="C64" s="124" t="s">
        <v>180</v>
      </c>
      <c r="D64" s="343"/>
      <c r="E64" s="341" t="s">
        <v>912</v>
      </c>
      <c r="F64" s="456" t="s">
        <v>933</v>
      </c>
      <c r="G64" s="457"/>
      <c r="H64" s="457"/>
      <c r="I64" s="457"/>
      <c r="J64" s="457"/>
      <c r="K64" s="457" t="s">
        <v>934</v>
      </c>
      <c r="L64" s="457"/>
      <c r="M64" s="54" t="s">
        <v>935</v>
      </c>
      <c r="N64" s="457">
        <v>12</v>
      </c>
      <c r="O64" s="457"/>
      <c r="P64" s="458">
        <v>50</v>
      </c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2</v>
      </c>
      <c r="B65" s="455"/>
      <c r="C65" s="124"/>
      <c r="D65" s="343"/>
      <c r="E65" s="341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3</v>
      </c>
      <c r="B66" s="455"/>
      <c r="C66" s="124"/>
      <c r="D66" s="343"/>
      <c r="E66" s="341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4</v>
      </c>
      <c r="B67" s="455"/>
      <c r="C67" s="124"/>
      <c r="D67" s="343"/>
      <c r="E67" s="341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5</v>
      </c>
      <c r="B68" s="455"/>
      <c r="C68" s="124"/>
      <c r="D68" s="343"/>
      <c r="E68" s="341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6</v>
      </c>
      <c r="B69" s="455"/>
      <c r="C69" s="124"/>
      <c r="D69" s="343"/>
      <c r="E69" s="341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7</v>
      </c>
      <c r="B70" s="455"/>
      <c r="C70" s="124"/>
      <c r="D70" s="343"/>
      <c r="E70" s="341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8</v>
      </c>
      <c r="B71" s="455"/>
      <c r="C71" s="124"/>
      <c r="D71" s="343"/>
      <c r="E71" s="341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6.25" customHeight="1" thickBot="1">
      <c r="A72" s="460" t="s">
        <v>936</v>
      </c>
      <c r="B72" s="460"/>
      <c r="C72" s="460"/>
      <c r="D72" s="460"/>
      <c r="E72" s="46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1" t="s">
        <v>115</v>
      </c>
      <c r="B73" s="462"/>
      <c r="C73" s="342" t="s">
        <v>2</v>
      </c>
      <c r="D73" s="342" t="s">
        <v>38</v>
      </c>
      <c r="E73" s="342" t="s">
        <v>3</v>
      </c>
      <c r="F73" s="462" t="s">
        <v>39</v>
      </c>
      <c r="G73" s="462"/>
      <c r="H73" s="462"/>
      <c r="I73" s="462"/>
      <c r="J73" s="462"/>
      <c r="K73" s="463" t="s">
        <v>60</v>
      </c>
      <c r="L73" s="464"/>
      <c r="M73" s="464"/>
      <c r="N73" s="464"/>
      <c r="O73" s="464"/>
      <c r="P73" s="464"/>
      <c r="Q73" s="464"/>
      <c r="R73" s="464"/>
      <c r="S73" s="465"/>
      <c r="T73" s="462" t="s">
        <v>50</v>
      </c>
      <c r="U73" s="462"/>
      <c r="V73" s="463" t="s">
        <v>51</v>
      </c>
      <c r="W73" s="465"/>
      <c r="X73" s="464" t="s">
        <v>52</v>
      </c>
      <c r="Y73" s="464"/>
      <c r="Z73" s="464"/>
      <c r="AA73" s="464"/>
      <c r="AB73" s="464"/>
      <c r="AC73" s="464"/>
      <c r="AD73" s="466"/>
      <c r="AF73" s="53"/>
    </row>
    <row r="74" spans="1:32" ht="33.75" customHeight="1">
      <c r="A74" s="475">
        <v>1</v>
      </c>
      <c r="B74" s="476"/>
      <c r="C74" s="344" t="s">
        <v>118</v>
      </c>
      <c r="D74" s="344"/>
      <c r="E74" s="71" t="s">
        <v>126</v>
      </c>
      <c r="F74" s="477" t="s">
        <v>127</v>
      </c>
      <c r="G74" s="478"/>
      <c r="H74" s="478"/>
      <c r="I74" s="478"/>
      <c r="J74" s="479"/>
      <c r="K74" s="480" t="s">
        <v>120</v>
      </c>
      <c r="L74" s="481"/>
      <c r="M74" s="481"/>
      <c r="N74" s="481"/>
      <c r="O74" s="481"/>
      <c r="P74" s="481"/>
      <c r="Q74" s="481"/>
      <c r="R74" s="481"/>
      <c r="S74" s="482"/>
      <c r="T74" s="483">
        <v>42901</v>
      </c>
      <c r="U74" s="484"/>
      <c r="V74" s="485"/>
      <c r="W74" s="485"/>
      <c r="X74" s="486"/>
      <c r="Y74" s="486"/>
      <c r="Z74" s="486"/>
      <c r="AA74" s="486"/>
      <c r="AB74" s="486"/>
      <c r="AC74" s="486"/>
      <c r="AD74" s="487"/>
      <c r="AF74" s="53"/>
    </row>
    <row r="75" spans="1:32" ht="30" customHeight="1">
      <c r="A75" s="467">
        <f>A74+1</f>
        <v>2</v>
      </c>
      <c r="B75" s="468"/>
      <c r="C75" s="343" t="s">
        <v>118</v>
      </c>
      <c r="D75" s="343"/>
      <c r="E75" s="35" t="s">
        <v>123</v>
      </c>
      <c r="F75" s="468" t="s">
        <v>124</v>
      </c>
      <c r="G75" s="468"/>
      <c r="H75" s="468"/>
      <c r="I75" s="468"/>
      <c r="J75" s="468"/>
      <c r="K75" s="469" t="s">
        <v>125</v>
      </c>
      <c r="L75" s="470"/>
      <c r="M75" s="470"/>
      <c r="N75" s="470"/>
      <c r="O75" s="470"/>
      <c r="P75" s="470"/>
      <c r="Q75" s="470"/>
      <c r="R75" s="470"/>
      <c r="S75" s="471"/>
      <c r="T75" s="472">
        <v>42867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ref="A76:A82" si="19">A75+1</f>
        <v>3</v>
      </c>
      <c r="B76" s="468"/>
      <c r="C76" s="343" t="s">
        <v>163</v>
      </c>
      <c r="D76" s="343"/>
      <c r="E76" s="35" t="s">
        <v>151</v>
      </c>
      <c r="F76" s="468" t="s">
        <v>168</v>
      </c>
      <c r="G76" s="468"/>
      <c r="H76" s="468"/>
      <c r="I76" s="468"/>
      <c r="J76" s="468"/>
      <c r="K76" s="469" t="s">
        <v>120</v>
      </c>
      <c r="L76" s="470"/>
      <c r="M76" s="470"/>
      <c r="N76" s="470"/>
      <c r="O76" s="470"/>
      <c r="P76" s="470"/>
      <c r="Q76" s="470"/>
      <c r="R76" s="470"/>
      <c r="S76" s="471"/>
      <c r="T76" s="472">
        <v>42937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9"/>
        <v>4</v>
      </c>
      <c r="B77" s="468"/>
      <c r="C77" s="343" t="s">
        <v>119</v>
      </c>
      <c r="D77" s="343"/>
      <c r="E77" s="35" t="s">
        <v>148</v>
      </c>
      <c r="F77" s="468" t="s">
        <v>149</v>
      </c>
      <c r="G77" s="468"/>
      <c r="H77" s="468"/>
      <c r="I77" s="468"/>
      <c r="J77" s="468"/>
      <c r="K77" s="469" t="s">
        <v>153</v>
      </c>
      <c r="L77" s="470"/>
      <c r="M77" s="470"/>
      <c r="N77" s="470"/>
      <c r="O77" s="470"/>
      <c r="P77" s="470"/>
      <c r="Q77" s="470"/>
      <c r="R77" s="470"/>
      <c r="S77" s="471"/>
      <c r="T77" s="472">
        <v>42920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9"/>
        <v>5</v>
      </c>
      <c r="B78" s="468"/>
      <c r="C78" s="343" t="s">
        <v>118</v>
      </c>
      <c r="D78" s="343"/>
      <c r="E78" s="35" t="s">
        <v>850</v>
      </c>
      <c r="F78" s="468" t="s">
        <v>851</v>
      </c>
      <c r="G78" s="468"/>
      <c r="H78" s="468"/>
      <c r="I78" s="468"/>
      <c r="J78" s="468"/>
      <c r="K78" s="469" t="s">
        <v>937</v>
      </c>
      <c r="L78" s="470"/>
      <c r="M78" s="470"/>
      <c r="N78" s="470"/>
      <c r="O78" s="470"/>
      <c r="P78" s="470"/>
      <c r="Q78" s="470"/>
      <c r="R78" s="470"/>
      <c r="S78" s="471"/>
      <c r="T78" s="472">
        <v>42972</v>
      </c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9"/>
        <v>6</v>
      </c>
      <c r="B79" s="468"/>
      <c r="C79" s="343"/>
      <c r="D79" s="343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9"/>
        <v>7</v>
      </c>
      <c r="B80" s="468"/>
      <c r="C80" s="343"/>
      <c r="D80" s="343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9"/>
        <v>8</v>
      </c>
      <c r="B81" s="468"/>
      <c r="C81" s="343"/>
      <c r="D81" s="343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19"/>
        <v>9</v>
      </c>
      <c r="B82" s="468"/>
      <c r="C82" s="343"/>
      <c r="D82" s="343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6" thickBot="1">
      <c r="A83" s="460" t="s">
        <v>938</v>
      </c>
      <c r="B83" s="460"/>
      <c r="C83" s="460"/>
      <c r="D83" s="460"/>
      <c r="E83" s="46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88" t="s">
        <v>37</v>
      </c>
      <c r="B84" s="489"/>
      <c r="C84" s="489" t="s">
        <v>53</v>
      </c>
      <c r="D84" s="489"/>
      <c r="E84" s="489" t="s">
        <v>54</v>
      </c>
      <c r="F84" s="489"/>
      <c r="G84" s="489"/>
      <c r="H84" s="489"/>
      <c r="I84" s="489"/>
      <c r="J84" s="489"/>
      <c r="K84" s="489" t="s">
        <v>55</v>
      </c>
      <c r="L84" s="489"/>
      <c r="M84" s="489"/>
      <c r="N84" s="489"/>
      <c r="O84" s="489"/>
      <c r="P84" s="489"/>
      <c r="Q84" s="489"/>
      <c r="R84" s="489"/>
      <c r="S84" s="489"/>
      <c r="T84" s="489" t="s">
        <v>56</v>
      </c>
      <c r="U84" s="489"/>
      <c r="V84" s="489" t="s">
        <v>57</v>
      </c>
      <c r="W84" s="489"/>
      <c r="X84" s="489"/>
      <c r="Y84" s="489" t="s">
        <v>52</v>
      </c>
      <c r="Z84" s="489"/>
      <c r="AA84" s="489"/>
      <c r="AB84" s="489"/>
      <c r="AC84" s="489"/>
      <c r="AD84" s="490"/>
      <c r="AF84" s="53"/>
    </row>
    <row r="85" spans="1:32" ht="30.75" customHeight="1">
      <c r="A85" s="475">
        <v>1</v>
      </c>
      <c r="B85" s="476"/>
      <c r="C85" s="491">
        <v>1</v>
      </c>
      <c r="D85" s="491"/>
      <c r="E85" s="491" t="s">
        <v>133</v>
      </c>
      <c r="F85" s="491"/>
      <c r="G85" s="491"/>
      <c r="H85" s="491"/>
      <c r="I85" s="491"/>
      <c r="J85" s="491"/>
      <c r="K85" s="491" t="s">
        <v>134</v>
      </c>
      <c r="L85" s="491"/>
      <c r="M85" s="491"/>
      <c r="N85" s="491"/>
      <c r="O85" s="491"/>
      <c r="P85" s="491"/>
      <c r="Q85" s="491"/>
      <c r="R85" s="491"/>
      <c r="S85" s="491"/>
      <c r="T85" s="491" t="s">
        <v>135</v>
      </c>
      <c r="U85" s="491"/>
      <c r="V85" s="492">
        <v>1500000</v>
      </c>
      <c r="W85" s="492"/>
      <c r="X85" s="492"/>
      <c r="Y85" s="493" t="s">
        <v>136</v>
      </c>
      <c r="Z85" s="493"/>
      <c r="AA85" s="493"/>
      <c r="AB85" s="493"/>
      <c r="AC85" s="493"/>
      <c r="AD85" s="494"/>
      <c r="AF85" s="53"/>
    </row>
    <row r="86" spans="1:32" ht="30.75" customHeight="1">
      <c r="A86" s="467">
        <v>2</v>
      </c>
      <c r="B86" s="468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502"/>
      <c r="Q86" s="502"/>
      <c r="R86" s="502"/>
      <c r="S86" s="502"/>
      <c r="T86" s="503"/>
      <c r="U86" s="503"/>
      <c r="V86" s="504"/>
      <c r="W86" s="504"/>
      <c r="X86" s="504"/>
      <c r="Y86" s="495"/>
      <c r="Z86" s="495"/>
      <c r="AA86" s="495"/>
      <c r="AB86" s="495"/>
      <c r="AC86" s="495"/>
      <c r="AD86" s="496"/>
      <c r="AF86" s="53"/>
    </row>
    <row r="87" spans="1:32" ht="30.75" customHeight="1" thickBot="1">
      <c r="A87" s="497">
        <v>3</v>
      </c>
      <c r="B87" s="498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500"/>
      <c r="Z87" s="500"/>
      <c r="AA87" s="500"/>
      <c r="AB87" s="500"/>
      <c r="AC87" s="500"/>
      <c r="AD87" s="50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K80" sqref="K80:S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939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56" t="s">
        <v>17</v>
      </c>
      <c r="L5" s="356" t="s">
        <v>18</v>
      </c>
      <c r="M5" s="356" t="s">
        <v>19</v>
      </c>
      <c r="N5" s="35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0.34673696955901895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459</v>
      </c>
      <c r="D7" s="55" t="s">
        <v>906</v>
      </c>
      <c r="E7" s="56" t="s">
        <v>907</v>
      </c>
      <c r="F7" s="12" t="s">
        <v>908</v>
      </c>
      <c r="G7" s="36">
        <v>4</v>
      </c>
      <c r="H7" s="38">
        <v>25</v>
      </c>
      <c r="I7" s="7">
        <v>5000</v>
      </c>
      <c r="J7" s="14">
        <v>3330</v>
      </c>
      <c r="K7" s="15">
        <f>L7+9916</f>
        <v>13242</v>
      </c>
      <c r="L7" s="15">
        <f>1663*2</f>
        <v>3326</v>
      </c>
      <c r="M7" s="16">
        <f t="shared" si="0"/>
        <v>3326</v>
      </c>
      <c r="N7" s="16">
        <v>0</v>
      </c>
      <c r="O7" s="62">
        <f t="shared" si="1"/>
        <v>0</v>
      </c>
      <c r="P7" s="42">
        <f t="shared" si="2"/>
        <v>6</v>
      </c>
      <c r="Q7" s="43">
        <f t="shared" si="3"/>
        <v>18</v>
      </c>
      <c r="R7" s="7"/>
      <c r="S7" s="6"/>
      <c r="T7" s="17"/>
      <c r="U7" s="17"/>
      <c r="V7" s="18"/>
      <c r="W7" s="19">
        <v>18</v>
      </c>
      <c r="X7" s="17"/>
      <c r="Y7" s="20"/>
      <c r="Z7" s="20"/>
      <c r="AA7" s="21"/>
      <c r="AB7" s="8">
        <f t="shared" si="4"/>
        <v>0.99879879879879885</v>
      </c>
      <c r="AC7" s="9">
        <f t="shared" si="5"/>
        <v>0.25</v>
      </c>
      <c r="AD7" s="10">
        <f t="shared" si="6"/>
        <v>0.24969969969969971</v>
      </c>
      <c r="AE7" s="39">
        <f t="shared" si="7"/>
        <v>0.34673696955901895</v>
      </c>
      <c r="AF7" s="94">
        <f>A7</f>
        <v>2</v>
      </c>
    </row>
    <row r="8" spans="1:32" ht="27" customHeight="1">
      <c r="A8" s="109">
        <v>3</v>
      </c>
      <c r="B8" s="11" t="s">
        <v>940</v>
      </c>
      <c r="C8" s="11" t="s">
        <v>941</v>
      </c>
      <c r="D8" s="55" t="s">
        <v>942</v>
      </c>
      <c r="E8" s="56" t="s">
        <v>943</v>
      </c>
      <c r="F8" s="12" t="s">
        <v>944</v>
      </c>
      <c r="G8" s="36" t="s">
        <v>945</v>
      </c>
      <c r="H8" s="38">
        <v>25</v>
      </c>
      <c r="I8" s="7">
        <v>4000</v>
      </c>
      <c r="J8" s="14">
        <v>1720</v>
      </c>
      <c r="K8" s="15">
        <f>L8</f>
        <v>1714</v>
      </c>
      <c r="L8" s="15">
        <f>1714</f>
        <v>1714</v>
      </c>
      <c r="M8" s="16">
        <f t="shared" si="0"/>
        <v>1714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/>
      <c r="T8" s="17"/>
      <c r="U8" s="17"/>
      <c r="V8" s="18">
        <v>18</v>
      </c>
      <c r="W8" s="19"/>
      <c r="X8" s="17"/>
      <c r="Y8" s="20"/>
      <c r="Z8" s="20"/>
      <c r="AA8" s="21"/>
      <c r="AB8" s="8">
        <f t="shared" si="4"/>
        <v>0.99651162790697678</v>
      </c>
      <c r="AC8" s="9">
        <f t="shared" si="5"/>
        <v>0.25</v>
      </c>
      <c r="AD8" s="10">
        <f t="shared" si="6"/>
        <v>0.2491279069767442</v>
      </c>
      <c r="AE8" s="39">
        <f t="shared" si="7"/>
        <v>0.34673696955901895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11" t="s">
        <v>941</v>
      </c>
      <c r="D9" s="55" t="s">
        <v>942</v>
      </c>
      <c r="E9" s="56" t="s">
        <v>943</v>
      </c>
      <c r="F9" s="12" t="s">
        <v>944</v>
      </c>
      <c r="G9" s="36" t="s">
        <v>945</v>
      </c>
      <c r="H9" s="38">
        <v>25</v>
      </c>
      <c r="I9" s="34">
        <v>4000</v>
      </c>
      <c r="J9" s="5">
        <v>3220</v>
      </c>
      <c r="K9" s="15">
        <f>L9+1714</f>
        <v>4933</v>
      </c>
      <c r="L9" s="15">
        <f>3219</f>
        <v>3219</v>
      </c>
      <c r="M9" s="16">
        <f t="shared" si="0"/>
        <v>3219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/>
      <c r="T9" s="17">
        <v>8</v>
      </c>
      <c r="U9" s="17"/>
      <c r="V9" s="18"/>
      <c r="W9" s="19"/>
      <c r="X9" s="17"/>
      <c r="Y9" s="20"/>
      <c r="Z9" s="20"/>
      <c r="AA9" s="21"/>
      <c r="AB9" s="8">
        <f t="shared" si="4"/>
        <v>0.99968944099378887</v>
      </c>
      <c r="AC9" s="9">
        <f t="shared" si="5"/>
        <v>0.66666666666666663</v>
      </c>
      <c r="AD9" s="10">
        <f t="shared" si="6"/>
        <v>0.66645962732919251</v>
      </c>
      <c r="AE9" s="39">
        <f t="shared" si="7"/>
        <v>0.34673696955901895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946</v>
      </c>
      <c r="D10" s="55" t="s">
        <v>947</v>
      </c>
      <c r="E10" s="57" t="s">
        <v>948</v>
      </c>
      <c r="F10" s="12" t="s">
        <v>949</v>
      </c>
      <c r="G10" s="12">
        <v>1</v>
      </c>
      <c r="H10" s="13">
        <v>25</v>
      </c>
      <c r="I10" s="34">
        <v>500</v>
      </c>
      <c r="J10" s="5">
        <v>341</v>
      </c>
      <c r="K10" s="15">
        <f>L10</f>
        <v>341</v>
      </c>
      <c r="L10" s="15">
        <v>341</v>
      </c>
      <c r="M10" s="16">
        <f t="shared" si="0"/>
        <v>341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si="4"/>
        <v>1</v>
      </c>
      <c r="AC10" s="9">
        <f t="shared" si="5"/>
        <v>0.25</v>
      </c>
      <c r="AD10" s="10">
        <f t="shared" si="6"/>
        <v>0.25</v>
      </c>
      <c r="AE10" s="39">
        <f t="shared" si="7"/>
        <v>0.34673696955901895</v>
      </c>
      <c r="AF10" s="94">
        <f t="shared" si="8"/>
        <v>4</v>
      </c>
    </row>
    <row r="11" spans="1:32" ht="27" customHeight="1">
      <c r="A11" s="110">
        <v>5</v>
      </c>
      <c r="B11" s="11" t="s">
        <v>59</v>
      </c>
      <c r="C11" s="11" t="s">
        <v>163</v>
      </c>
      <c r="D11" s="55" t="s">
        <v>151</v>
      </c>
      <c r="E11" s="57" t="s">
        <v>484</v>
      </c>
      <c r="F11" s="12" t="s">
        <v>261</v>
      </c>
      <c r="G11" s="12">
        <v>1</v>
      </c>
      <c r="H11" s="13">
        <v>25</v>
      </c>
      <c r="I11" s="34">
        <v>30000</v>
      </c>
      <c r="J11" s="14">
        <v>2350</v>
      </c>
      <c r="K11" s="15">
        <f>L11+4291+3710+5240+2559+4147+4772+5285+4429+3228+2342</f>
        <v>40003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0.34673696955901895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118</v>
      </c>
      <c r="D12" s="55" t="s">
        <v>770</v>
      </c>
      <c r="E12" s="56" t="s">
        <v>771</v>
      </c>
      <c r="F12" s="12" t="s">
        <v>150</v>
      </c>
      <c r="G12" s="12">
        <v>1</v>
      </c>
      <c r="H12" s="13">
        <v>25</v>
      </c>
      <c r="I12" s="34">
        <v>500</v>
      </c>
      <c r="J12" s="14">
        <v>671</v>
      </c>
      <c r="K12" s="15">
        <f>L12+671</f>
        <v>671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0.34673696955901895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119</v>
      </c>
      <c r="D13" s="55" t="s">
        <v>862</v>
      </c>
      <c r="E13" s="57" t="s">
        <v>863</v>
      </c>
      <c r="F13" s="12" t="s">
        <v>864</v>
      </c>
      <c r="G13" s="12">
        <v>1</v>
      </c>
      <c r="H13" s="13">
        <v>25</v>
      </c>
      <c r="I13" s="7">
        <v>17000</v>
      </c>
      <c r="J13" s="14">
        <v>5400</v>
      </c>
      <c r="K13" s="15">
        <f>L13+806+4510</f>
        <v>10710</v>
      </c>
      <c r="L13" s="15">
        <f>3207+2187</f>
        <v>5394</v>
      </c>
      <c r="M13" s="16">
        <f t="shared" si="0"/>
        <v>5394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0.99888888888888894</v>
      </c>
      <c r="AC13" s="9">
        <f t="shared" si="5"/>
        <v>1</v>
      </c>
      <c r="AD13" s="10">
        <f t="shared" si="6"/>
        <v>0.99888888888888894</v>
      </c>
      <c r="AE13" s="39">
        <f t="shared" si="7"/>
        <v>0.34673696955901895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118</v>
      </c>
      <c r="D14" s="55" t="s">
        <v>950</v>
      </c>
      <c r="E14" s="57" t="s">
        <v>951</v>
      </c>
      <c r="F14" s="12">
        <v>7301</v>
      </c>
      <c r="G14" s="12">
        <v>1</v>
      </c>
      <c r="H14" s="13">
        <v>25</v>
      </c>
      <c r="I14" s="7">
        <v>800</v>
      </c>
      <c r="J14" s="14">
        <v>990</v>
      </c>
      <c r="K14" s="15">
        <f>L14</f>
        <v>987</v>
      </c>
      <c r="L14" s="15">
        <v>987</v>
      </c>
      <c r="M14" s="16">
        <f t="shared" si="0"/>
        <v>987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0.99696969696969695</v>
      </c>
      <c r="AC14" s="9">
        <f t="shared" si="5"/>
        <v>0.25</v>
      </c>
      <c r="AD14" s="10">
        <f t="shared" si="6"/>
        <v>0.24924242424242424</v>
      </c>
      <c r="AE14" s="39">
        <f t="shared" si="7"/>
        <v>0.34673696955901895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58</v>
      </c>
      <c r="E15" s="57" t="s">
        <v>865</v>
      </c>
      <c r="F15" s="33" t="s">
        <v>866</v>
      </c>
      <c r="G15" s="36">
        <v>1</v>
      </c>
      <c r="H15" s="38">
        <v>40</v>
      </c>
      <c r="I15" s="7">
        <v>200</v>
      </c>
      <c r="J15" s="5">
        <v>556</v>
      </c>
      <c r="K15" s="15">
        <f>L15+106+556</f>
        <v>662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0.34673696955901895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148</v>
      </c>
      <c r="E16" s="57" t="s">
        <v>631</v>
      </c>
      <c r="F16" s="12" t="s">
        <v>162</v>
      </c>
      <c r="G16" s="12">
        <v>1</v>
      </c>
      <c r="H16" s="13">
        <v>25</v>
      </c>
      <c r="I16" s="34">
        <v>2000</v>
      </c>
      <c r="J16" s="14">
        <v>2730</v>
      </c>
      <c r="K16" s="15">
        <f>L16+2727</f>
        <v>2727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0.34673696955901895</v>
      </c>
      <c r="AF16" s="94">
        <f t="shared" si="8"/>
        <v>10</v>
      </c>
    </row>
    <row r="17" spans="1:36" ht="27.75" customHeight="1">
      <c r="A17" s="109">
        <v>11</v>
      </c>
      <c r="B17" s="11" t="s">
        <v>867</v>
      </c>
      <c r="C17" s="11" t="s">
        <v>119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30000</v>
      </c>
      <c r="J17" s="14">
        <v>4770</v>
      </c>
      <c r="K17" s="15">
        <f>L17+5063+5033</f>
        <v>14862</v>
      </c>
      <c r="L17" s="15">
        <f>2612+2154</f>
        <v>4766</v>
      </c>
      <c r="M17" s="16">
        <f t="shared" si="0"/>
        <v>4766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0.99916142557651988</v>
      </c>
      <c r="AC17" s="9">
        <f t="shared" si="5"/>
        <v>1</v>
      </c>
      <c r="AD17" s="10">
        <f t="shared" si="6"/>
        <v>0.99916142557651988</v>
      </c>
      <c r="AE17" s="39">
        <f t="shared" si="7"/>
        <v>0.34673696955901895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118</v>
      </c>
      <c r="D18" s="55" t="s">
        <v>742</v>
      </c>
      <c r="E18" s="56" t="s">
        <v>744</v>
      </c>
      <c r="F18" s="12">
        <v>8301</v>
      </c>
      <c r="G18" s="12">
        <v>1</v>
      </c>
      <c r="H18" s="13">
        <v>25</v>
      </c>
      <c r="I18" s="34">
        <v>6500</v>
      </c>
      <c r="J18" s="5">
        <v>6520</v>
      </c>
      <c r="K18" s="15">
        <f>L18+3715+6518</f>
        <v>10233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0.34673696955901895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118</v>
      </c>
      <c r="D19" s="55" t="s">
        <v>952</v>
      </c>
      <c r="E19" s="57" t="s">
        <v>953</v>
      </c>
      <c r="F19" s="33" t="s">
        <v>954</v>
      </c>
      <c r="G19" s="12">
        <v>1</v>
      </c>
      <c r="H19" s="13">
        <v>25</v>
      </c>
      <c r="I19" s="34">
        <v>1100</v>
      </c>
      <c r="J19" s="5">
        <v>2490</v>
      </c>
      <c r="K19" s="15">
        <f>L19</f>
        <v>2485</v>
      </c>
      <c r="L19" s="15">
        <f>880+1605</f>
        <v>2485</v>
      </c>
      <c r="M19" s="16">
        <f t="shared" si="0"/>
        <v>2485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/>
      <c r="T19" s="17"/>
      <c r="U19" s="17"/>
      <c r="V19" s="18"/>
      <c r="W19" s="19">
        <v>10</v>
      </c>
      <c r="X19" s="17"/>
      <c r="Y19" s="20"/>
      <c r="Z19" s="20"/>
      <c r="AA19" s="21"/>
      <c r="AB19" s="8">
        <f t="shared" si="4"/>
        <v>0.99799196787148592</v>
      </c>
      <c r="AC19" s="9">
        <f t="shared" si="5"/>
        <v>0.58333333333333337</v>
      </c>
      <c r="AD19" s="10">
        <f t="shared" si="6"/>
        <v>0.58216198125836682</v>
      </c>
      <c r="AE19" s="39">
        <f t="shared" si="7"/>
        <v>0.34673696955901895</v>
      </c>
      <c r="AF19" s="94">
        <f t="shared" si="8"/>
        <v>13</v>
      </c>
    </row>
    <row r="20" spans="1:36" ht="27" customHeight="1">
      <c r="A20" s="110">
        <v>14</v>
      </c>
      <c r="B20" s="11" t="s">
        <v>955</v>
      </c>
      <c r="C20" s="37" t="s">
        <v>119</v>
      </c>
      <c r="D20" s="55" t="s">
        <v>58</v>
      </c>
      <c r="E20" s="57" t="s">
        <v>143</v>
      </c>
      <c r="F20" s="33" t="s">
        <v>147</v>
      </c>
      <c r="G20" s="36">
        <v>1</v>
      </c>
      <c r="H20" s="38">
        <v>25</v>
      </c>
      <c r="I20" s="7">
        <v>30000</v>
      </c>
      <c r="J20" s="5">
        <v>1760</v>
      </c>
      <c r="K20" s="15">
        <f>L20</f>
        <v>1752</v>
      </c>
      <c r="L20" s="15">
        <f>1752</f>
        <v>1752</v>
      </c>
      <c r="M20" s="16">
        <f t="shared" si="0"/>
        <v>1752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>
        <v>14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0.99545454545454548</v>
      </c>
      <c r="AC20" s="9">
        <f t="shared" si="5"/>
        <v>0.41666666666666669</v>
      </c>
      <c r="AD20" s="10">
        <f t="shared" si="6"/>
        <v>0.41477272727272729</v>
      </c>
      <c r="AE20" s="39">
        <f t="shared" si="7"/>
        <v>0.34673696955901895</v>
      </c>
      <c r="AF20" s="94">
        <f t="shared" si="8"/>
        <v>14</v>
      </c>
    </row>
    <row r="21" spans="1:36" ht="27" customHeight="1" thickBot="1">
      <c r="A21" s="110">
        <v>15</v>
      </c>
      <c r="B21" s="11" t="s">
        <v>59</v>
      </c>
      <c r="C21" s="11" t="s">
        <v>116</v>
      </c>
      <c r="D21" s="55"/>
      <c r="E21" s="56" t="s">
        <v>869</v>
      </c>
      <c r="F21" s="12" t="s">
        <v>117</v>
      </c>
      <c r="G21" s="12">
        <v>4</v>
      </c>
      <c r="H21" s="38">
        <v>20</v>
      </c>
      <c r="I21" s="7">
        <v>200000</v>
      </c>
      <c r="J21" s="14">
        <v>25630</v>
      </c>
      <c r="K21" s="15">
        <f>L21+40792+68628</f>
        <v>135044</v>
      </c>
      <c r="L21" s="15">
        <f>2175*4+4231*4</f>
        <v>25624</v>
      </c>
      <c r="M21" s="16">
        <f t="shared" si="0"/>
        <v>25624</v>
      </c>
      <c r="N21" s="16">
        <v>0</v>
      </c>
      <c r="O21" s="62">
        <f t="shared" si="1"/>
        <v>0</v>
      </c>
      <c r="P21" s="42">
        <f t="shared" si="2"/>
        <v>13</v>
      </c>
      <c r="Q21" s="43">
        <f t="shared" si="3"/>
        <v>11</v>
      </c>
      <c r="R21" s="7"/>
      <c r="S21" s="6">
        <v>11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0.99976589933671478</v>
      </c>
      <c r="AC21" s="9">
        <f t="shared" si="5"/>
        <v>0.54166666666666663</v>
      </c>
      <c r="AD21" s="10">
        <f t="shared" si="6"/>
        <v>0.54153986214072047</v>
      </c>
      <c r="AE21" s="39">
        <f t="shared" si="7"/>
        <v>0.34673696955901895</v>
      </c>
      <c r="AF21" s="94">
        <f t="shared" si="8"/>
        <v>15</v>
      </c>
    </row>
    <row r="22" spans="1:36" ht="31.5" customHeight="1" thickBot="1">
      <c r="A22" s="408" t="s">
        <v>34</v>
      </c>
      <c r="B22" s="409"/>
      <c r="C22" s="409"/>
      <c r="D22" s="409"/>
      <c r="E22" s="409"/>
      <c r="F22" s="409"/>
      <c r="G22" s="409"/>
      <c r="H22" s="410"/>
      <c r="I22" s="25">
        <f t="shared" ref="I22:N22" si="9">SUM(I6:I21)</f>
        <v>332600</v>
      </c>
      <c r="J22" s="22">
        <f t="shared" si="9"/>
        <v>64448</v>
      </c>
      <c r="K22" s="23">
        <f t="shared" si="9"/>
        <v>242328</v>
      </c>
      <c r="L22" s="24">
        <f t="shared" si="9"/>
        <v>49608</v>
      </c>
      <c r="M22" s="23">
        <f t="shared" si="9"/>
        <v>49608</v>
      </c>
      <c r="N22" s="24">
        <f t="shared" si="9"/>
        <v>0</v>
      </c>
      <c r="O22" s="44">
        <f t="shared" si="1"/>
        <v>0</v>
      </c>
      <c r="P22" s="45">
        <f t="shared" ref="P22:AA22" si="10">SUM(P6:P21)</f>
        <v>125</v>
      </c>
      <c r="Q22" s="46">
        <f t="shared" si="10"/>
        <v>259</v>
      </c>
      <c r="R22" s="26">
        <f t="shared" si="10"/>
        <v>24</v>
      </c>
      <c r="S22" s="27">
        <f t="shared" si="10"/>
        <v>25</v>
      </c>
      <c r="T22" s="27">
        <f t="shared" si="10"/>
        <v>8</v>
      </c>
      <c r="U22" s="27">
        <f t="shared" si="10"/>
        <v>0</v>
      </c>
      <c r="V22" s="28">
        <f t="shared" si="10"/>
        <v>18</v>
      </c>
      <c r="W22" s="29">
        <f t="shared" si="10"/>
        <v>184</v>
      </c>
      <c r="X22" s="30">
        <f t="shared" si="10"/>
        <v>0</v>
      </c>
      <c r="Y22" s="30">
        <f t="shared" si="10"/>
        <v>0</v>
      </c>
      <c r="Z22" s="30">
        <f t="shared" si="10"/>
        <v>0</v>
      </c>
      <c r="AA22" s="30">
        <f t="shared" si="10"/>
        <v>0</v>
      </c>
      <c r="AB22" s="31">
        <f>SUM(AB6:AB21)/15</f>
        <v>0.66554881945316113</v>
      </c>
      <c r="AC22" s="4">
        <f>SUM(AC6:AC21)/15</f>
        <v>0.34722222222222227</v>
      </c>
      <c r="AD22" s="4">
        <f>SUM(AD6:AD21)/15</f>
        <v>0.34673696955901895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1" t="s">
        <v>46</v>
      </c>
      <c r="B49" s="411"/>
      <c r="C49" s="411"/>
      <c r="D49" s="411"/>
      <c r="E49" s="41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12" t="s">
        <v>956</v>
      </c>
      <c r="B50" s="413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4"/>
      <c r="N50" s="415" t="s">
        <v>974</v>
      </c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7"/>
    </row>
    <row r="51" spans="1:32" ht="27" customHeight="1">
      <c r="A51" s="418" t="s">
        <v>2</v>
      </c>
      <c r="B51" s="419"/>
      <c r="C51" s="355" t="s">
        <v>47</v>
      </c>
      <c r="D51" s="355" t="s">
        <v>48</v>
      </c>
      <c r="E51" s="355" t="s">
        <v>110</v>
      </c>
      <c r="F51" s="419" t="s">
        <v>109</v>
      </c>
      <c r="G51" s="419"/>
      <c r="H51" s="419"/>
      <c r="I51" s="419"/>
      <c r="J51" s="419"/>
      <c r="K51" s="419"/>
      <c r="L51" s="419"/>
      <c r="M51" s="420"/>
      <c r="N51" s="73" t="s">
        <v>114</v>
      </c>
      <c r="O51" s="355" t="s">
        <v>47</v>
      </c>
      <c r="P51" s="421" t="s">
        <v>48</v>
      </c>
      <c r="Q51" s="422"/>
      <c r="R51" s="421" t="s">
        <v>39</v>
      </c>
      <c r="S51" s="423"/>
      <c r="T51" s="423"/>
      <c r="U51" s="422"/>
      <c r="V51" s="421" t="s">
        <v>49</v>
      </c>
      <c r="W51" s="423"/>
      <c r="X51" s="423"/>
      <c r="Y51" s="423"/>
      <c r="Z51" s="423"/>
      <c r="AA51" s="423"/>
      <c r="AB51" s="423"/>
      <c r="AC51" s="423"/>
      <c r="AD51" s="424"/>
    </row>
    <row r="52" spans="1:32" ht="27" customHeight="1">
      <c r="A52" s="445" t="s">
        <v>957</v>
      </c>
      <c r="B52" s="446"/>
      <c r="C52" s="354" t="s">
        <v>160</v>
      </c>
      <c r="D52" s="351" t="s">
        <v>958</v>
      </c>
      <c r="E52" s="354" t="s">
        <v>943</v>
      </c>
      <c r="F52" s="437" t="s">
        <v>959</v>
      </c>
      <c r="G52" s="437"/>
      <c r="H52" s="437"/>
      <c r="I52" s="437"/>
      <c r="J52" s="437"/>
      <c r="K52" s="437"/>
      <c r="L52" s="437"/>
      <c r="M52" s="438"/>
      <c r="N52" s="350" t="s">
        <v>923</v>
      </c>
      <c r="O52" s="74" t="s">
        <v>160</v>
      </c>
      <c r="P52" s="439" t="s">
        <v>975</v>
      </c>
      <c r="Q52" s="440"/>
      <c r="R52" s="436" t="s">
        <v>976</v>
      </c>
      <c r="S52" s="436"/>
      <c r="T52" s="436"/>
      <c r="U52" s="436"/>
      <c r="V52" s="437" t="s">
        <v>751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960</v>
      </c>
      <c r="B53" s="446"/>
      <c r="C53" s="354" t="s">
        <v>142</v>
      </c>
      <c r="D53" s="351" t="s">
        <v>947</v>
      </c>
      <c r="E53" s="354" t="s">
        <v>948</v>
      </c>
      <c r="F53" s="437" t="s">
        <v>873</v>
      </c>
      <c r="G53" s="437"/>
      <c r="H53" s="437"/>
      <c r="I53" s="437"/>
      <c r="J53" s="437"/>
      <c r="K53" s="437"/>
      <c r="L53" s="437"/>
      <c r="M53" s="438"/>
      <c r="N53" s="350" t="s">
        <v>941</v>
      </c>
      <c r="O53" s="74" t="s">
        <v>977</v>
      </c>
      <c r="P53" s="439" t="s">
        <v>978</v>
      </c>
      <c r="Q53" s="440"/>
      <c r="R53" s="436" t="s">
        <v>979</v>
      </c>
      <c r="S53" s="436"/>
      <c r="T53" s="436"/>
      <c r="U53" s="436"/>
      <c r="V53" s="437" t="s">
        <v>751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918</v>
      </c>
      <c r="B54" s="446"/>
      <c r="C54" s="354" t="s">
        <v>961</v>
      </c>
      <c r="D54" s="351" t="s">
        <v>962</v>
      </c>
      <c r="E54" s="354" t="s">
        <v>951</v>
      </c>
      <c r="F54" s="437" t="s">
        <v>873</v>
      </c>
      <c r="G54" s="437"/>
      <c r="H54" s="437"/>
      <c r="I54" s="437"/>
      <c r="J54" s="437"/>
      <c r="K54" s="437"/>
      <c r="L54" s="437"/>
      <c r="M54" s="438"/>
      <c r="N54" s="350" t="s">
        <v>941</v>
      </c>
      <c r="O54" s="74" t="s">
        <v>929</v>
      </c>
      <c r="P54" s="439" t="s">
        <v>980</v>
      </c>
      <c r="Q54" s="440"/>
      <c r="R54" s="436" t="s">
        <v>981</v>
      </c>
      <c r="S54" s="436"/>
      <c r="T54" s="436"/>
      <c r="U54" s="436"/>
      <c r="V54" s="437" t="s">
        <v>982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963</v>
      </c>
      <c r="B55" s="446"/>
      <c r="C55" s="354" t="s">
        <v>964</v>
      </c>
      <c r="D55" s="351" t="s">
        <v>965</v>
      </c>
      <c r="E55" s="354" t="s">
        <v>953</v>
      </c>
      <c r="F55" s="437" t="s">
        <v>873</v>
      </c>
      <c r="G55" s="437"/>
      <c r="H55" s="437"/>
      <c r="I55" s="437"/>
      <c r="J55" s="437"/>
      <c r="K55" s="437"/>
      <c r="L55" s="437"/>
      <c r="M55" s="438"/>
      <c r="N55" s="350" t="s">
        <v>983</v>
      </c>
      <c r="O55" s="74" t="s">
        <v>984</v>
      </c>
      <c r="P55" s="439" t="s">
        <v>985</v>
      </c>
      <c r="Q55" s="440"/>
      <c r="R55" s="436" t="s">
        <v>986</v>
      </c>
      <c r="S55" s="436"/>
      <c r="T55" s="436"/>
      <c r="U55" s="436"/>
      <c r="V55" s="437" t="s">
        <v>200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35" t="s">
        <v>966</v>
      </c>
      <c r="B56" s="436"/>
      <c r="C56" s="351" t="s">
        <v>967</v>
      </c>
      <c r="D56" s="351" t="s">
        <v>58</v>
      </c>
      <c r="E56" s="354" t="s">
        <v>968</v>
      </c>
      <c r="F56" s="437" t="s">
        <v>969</v>
      </c>
      <c r="G56" s="437"/>
      <c r="H56" s="437"/>
      <c r="I56" s="437"/>
      <c r="J56" s="437"/>
      <c r="K56" s="437"/>
      <c r="L56" s="437"/>
      <c r="M56" s="438"/>
      <c r="N56" s="350" t="s">
        <v>941</v>
      </c>
      <c r="O56" s="74" t="s">
        <v>155</v>
      </c>
      <c r="P56" s="439" t="s">
        <v>987</v>
      </c>
      <c r="Q56" s="440"/>
      <c r="R56" s="436" t="s">
        <v>988</v>
      </c>
      <c r="S56" s="436"/>
      <c r="T56" s="436"/>
      <c r="U56" s="436"/>
      <c r="V56" s="437" t="s">
        <v>200</v>
      </c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 t="s">
        <v>970</v>
      </c>
      <c r="B57" s="446"/>
      <c r="C57" s="354" t="s">
        <v>971</v>
      </c>
      <c r="D57" s="351"/>
      <c r="E57" s="354" t="s">
        <v>972</v>
      </c>
      <c r="F57" s="437" t="s">
        <v>973</v>
      </c>
      <c r="G57" s="437"/>
      <c r="H57" s="437"/>
      <c r="I57" s="437"/>
      <c r="J57" s="437"/>
      <c r="K57" s="437"/>
      <c r="L57" s="437"/>
      <c r="M57" s="438"/>
      <c r="N57" s="350"/>
      <c r="O57" s="74"/>
      <c r="P57" s="436"/>
      <c r="Q57" s="436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354"/>
      <c r="D58" s="351"/>
      <c r="E58" s="354"/>
      <c r="F58" s="437"/>
      <c r="G58" s="437"/>
      <c r="H58" s="437"/>
      <c r="I58" s="437"/>
      <c r="J58" s="437"/>
      <c r="K58" s="437"/>
      <c r="L58" s="437"/>
      <c r="M58" s="438"/>
      <c r="N58" s="350"/>
      <c r="O58" s="74"/>
      <c r="P58" s="439"/>
      <c r="Q58" s="440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/>
      <c r="B59" s="446"/>
      <c r="C59" s="354"/>
      <c r="D59" s="351"/>
      <c r="E59" s="354"/>
      <c r="F59" s="437"/>
      <c r="G59" s="437"/>
      <c r="H59" s="437"/>
      <c r="I59" s="437"/>
      <c r="J59" s="437"/>
      <c r="K59" s="437"/>
      <c r="L59" s="437"/>
      <c r="M59" s="438"/>
      <c r="N59" s="350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35"/>
      <c r="B60" s="436"/>
      <c r="C60" s="351"/>
      <c r="D60" s="351"/>
      <c r="E60" s="351"/>
      <c r="F60" s="437"/>
      <c r="G60" s="437"/>
      <c r="H60" s="437"/>
      <c r="I60" s="437"/>
      <c r="J60" s="437"/>
      <c r="K60" s="437"/>
      <c r="L60" s="437"/>
      <c r="M60" s="438"/>
      <c r="N60" s="350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  <c r="AF60" s="94">
        <f>8*3000</f>
        <v>24000</v>
      </c>
    </row>
    <row r="61" spans="1:32" ht="27" customHeight="1" thickBot="1">
      <c r="A61" s="441"/>
      <c r="B61" s="442"/>
      <c r="C61" s="353"/>
      <c r="D61" s="353"/>
      <c r="E61" s="353"/>
      <c r="F61" s="443"/>
      <c r="G61" s="443"/>
      <c r="H61" s="443"/>
      <c r="I61" s="443"/>
      <c r="J61" s="443"/>
      <c r="K61" s="443"/>
      <c r="L61" s="443"/>
      <c r="M61" s="444"/>
      <c r="N61" s="352"/>
      <c r="O61" s="121"/>
      <c r="P61" s="442"/>
      <c r="Q61" s="442"/>
      <c r="R61" s="442"/>
      <c r="S61" s="442"/>
      <c r="T61" s="442"/>
      <c r="U61" s="442"/>
      <c r="V61" s="443"/>
      <c r="W61" s="443"/>
      <c r="X61" s="443"/>
      <c r="Y61" s="443"/>
      <c r="Z61" s="443"/>
      <c r="AA61" s="443"/>
      <c r="AB61" s="443"/>
      <c r="AC61" s="443"/>
      <c r="AD61" s="444"/>
      <c r="AF61" s="94">
        <f>16*3000</f>
        <v>48000</v>
      </c>
    </row>
    <row r="62" spans="1:32" ht="27.75" thickBot="1">
      <c r="A62" s="447" t="s">
        <v>989</v>
      </c>
      <c r="B62" s="447"/>
      <c r="C62" s="447"/>
      <c r="D62" s="447"/>
      <c r="E62" s="44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8" t="s">
        <v>115</v>
      </c>
      <c r="B63" s="449"/>
      <c r="C63" s="349" t="s">
        <v>2</v>
      </c>
      <c r="D63" s="349" t="s">
        <v>38</v>
      </c>
      <c r="E63" s="349" t="s">
        <v>3</v>
      </c>
      <c r="F63" s="449" t="s">
        <v>112</v>
      </c>
      <c r="G63" s="449"/>
      <c r="H63" s="449"/>
      <c r="I63" s="449"/>
      <c r="J63" s="449"/>
      <c r="K63" s="449" t="s">
        <v>40</v>
      </c>
      <c r="L63" s="449"/>
      <c r="M63" s="349" t="s">
        <v>41</v>
      </c>
      <c r="N63" s="449" t="s">
        <v>42</v>
      </c>
      <c r="O63" s="449"/>
      <c r="P63" s="450" t="s">
        <v>43</v>
      </c>
      <c r="Q63" s="451"/>
      <c r="R63" s="450" t="s">
        <v>44</v>
      </c>
      <c r="S63" s="452"/>
      <c r="T63" s="452"/>
      <c r="U63" s="452"/>
      <c r="V63" s="452"/>
      <c r="W63" s="452"/>
      <c r="X63" s="452"/>
      <c r="Y63" s="452"/>
      <c r="Z63" s="452"/>
      <c r="AA63" s="451"/>
      <c r="AB63" s="449" t="s">
        <v>45</v>
      </c>
      <c r="AC63" s="449"/>
      <c r="AD63" s="453"/>
      <c r="AF63" s="94">
        <f>SUM(AF60:AF62)</f>
        <v>96000</v>
      </c>
    </row>
    <row r="64" spans="1:32" ht="25.5" customHeight="1">
      <c r="A64" s="454">
        <v>1</v>
      </c>
      <c r="B64" s="455"/>
      <c r="C64" s="124" t="s">
        <v>941</v>
      </c>
      <c r="D64" s="345"/>
      <c r="E64" s="347" t="s">
        <v>990</v>
      </c>
      <c r="F64" s="456" t="s">
        <v>991</v>
      </c>
      <c r="G64" s="457"/>
      <c r="H64" s="457"/>
      <c r="I64" s="457"/>
      <c r="J64" s="457"/>
      <c r="K64" s="457" t="s">
        <v>992</v>
      </c>
      <c r="L64" s="457"/>
      <c r="M64" s="54" t="s">
        <v>211</v>
      </c>
      <c r="N64" s="457">
        <v>8</v>
      </c>
      <c r="O64" s="457"/>
      <c r="P64" s="458"/>
      <c r="Q64" s="458"/>
      <c r="R64" s="437" t="s">
        <v>993</v>
      </c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2</v>
      </c>
      <c r="B65" s="455"/>
      <c r="C65" s="124"/>
      <c r="D65" s="345"/>
      <c r="E65" s="347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3</v>
      </c>
      <c r="B66" s="455"/>
      <c r="C66" s="124"/>
      <c r="D66" s="345"/>
      <c r="E66" s="347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4</v>
      </c>
      <c r="B67" s="455"/>
      <c r="C67" s="124"/>
      <c r="D67" s="345"/>
      <c r="E67" s="347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5</v>
      </c>
      <c r="B68" s="455"/>
      <c r="C68" s="124"/>
      <c r="D68" s="345"/>
      <c r="E68" s="347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6</v>
      </c>
      <c r="B69" s="455"/>
      <c r="C69" s="124"/>
      <c r="D69" s="345"/>
      <c r="E69" s="347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7</v>
      </c>
      <c r="B70" s="455"/>
      <c r="C70" s="124"/>
      <c r="D70" s="345"/>
      <c r="E70" s="347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8</v>
      </c>
      <c r="B71" s="455"/>
      <c r="C71" s="124"/>
      <c r="D71" s="345"/>
      <c r="E71" s="347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6.25" customHeight="1" thickBot="1">
      <c r="A72" s="460" t="s">
        <v>994</v>
      </c>
      <c r="B72" s="460"/>
      <c r="C72" s="460"/>
      <c r="D72" s="460"/>
      <c r="E72" s="46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1" t="s">
        <v>115</v>
      </c>
      <c r="B73" s="462"/>
      <c r="C73" s="348" t="s">
        <v>2</v>
      </c>
      <c r="D73" s="348" t="s">
        <v>38</v>
      </c>
      <c r="E73" s="348" t="s">
        <v>3</v>
      </c>
      <c r="F73" s="462" t="s">
        <v>39</v>
      </c>
      <c r="G73" s="462"/>
      <c r="H73" s="462"/>
      <c r="I73" s="462"/>
      <c r="J73" s="462"/>
      <c r="K73" s="463" t="s">
        <v>60</v>
      </c>
      <c r="L73" s="464"/>
      <c r="M73" s="464"/>
      <c r="N73" s="464"/>
      <c r="O73" s="464"/>
      <c r="P73" s="464"/>
      <c r="Q73" s="464"/>
      <c r="R73" s="464"/>
      <c r="S73" s="465"/>
      <c r="T73" s="462" t="s">
        <v>50</v>
      </c>
      <c r="U73" s="462"/>
      <c r="V73" s="463" t="s">
        <v>51</v>
      </c>
      <c r="W73" s="465"/>
      <c r="X73" s="464" t="s">
        <v>52</v>
      </c>
      <c r="Y73" s="464"/>
      <c r="Z73" s="464"/>
      <c r="AA73" s="464"/>
      <c r="AB73" s="464"/>
      <c r="AC73" s="464"/>
      <c r="AD73" s="466"/>
      <c r="AF73" s="53"/>
    </row>
    <row r="74" spans="1:32" ht="33.75" customHeight="1">
      <c r="A74" s="475">
        <v>1</v>
      </c>
      <c r="B74" s="476"/>
      <c r="C74" s="346" t="s">
        <v>118</v>
      </c>
      <c r="D74" s="346"/>
      <c r="E74" s="71" t="s">
        <v>126</v>
      </c>
      <c r="F74" s="477" t="s">
        <v>127</v>
      </c>
      <c r="G74" s="478"/>
      <c r="H74" s="478"/>
      <c r="I74" s="478"/>
      <c r="J74" s="479"/>
      <c r="K74" s="480" t="s">
        <v>120</v>
      </c>
      <c r="L74" s="481"/>
      <c r="M74" s="481"/>
      <c r="N74" s="481"/>
      <c r="O74" s="481"/>
      <c r="P74" s="481"/>
      <c r="Q74" s="481"/>
      <c r="R74" s="481"/>
      <c r="S74" s="482"/>
      <c r="T74" s="483">
        <v>42901</v>
      </c>
      <c r="U74" s="484"/>
      <c r="V74" s="485"/>
      <c r="W74" s="485"/>
      <c r="X74" s="486"/>
      <c r="Y74" s="486"/>
      <c r="Z74" s="486"/>
      <c r="AA74" s="486"/>
      <c r="AB74" s="486"/>
      <c r="AC74" s="486"/>
      <c r="AD74" s="487"/>
      <c r="AF74" s="53"/>
    </row>
    <row r="75" spans="1:32" ht="30" customHeight="1">
      <c r="A75" s="467">
        <f>A74+1</f>
        <v>2</v>
      </c>
      <c r="B75" s="468"/>
      <c r="C75" s="345" t="s">
        <v>118</v>
      </c>
      <c r="D75" s="345"/>
      <c r="E75" s="35" t="s">
        <v>123</v>
      </c>
      <c r="F75" s="468" t="s">
        <v>124</v>
      </c>
      <c r="G75" s="468"/>
      <c r="H75" s="468"/>
      <c r="I75" s="468"/>
      <c r="J75" s="468"/>
      <c r="K75" s="469" t="s">
        <v>125</v>
      </c>
      <c r="L75" s="470"/>
      <c r="M75" s="470"/>
      <c r="N75" s="470"/>
      <c r="O75" s="470"/>
      <c r="P75" s="470"/>
      <c r="Q75" s="470"/>
      <c r="R75" s="470"/>
      <c r="S75" s="471"/>
      <c r="T75" s="472">
        <v>42867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ref="A76:A82" si="11">A75+1</f>
        <v>3</v>
      </c>
      <c r="B76" s="468"/>
      <c r="C76" s="345" t="s">
        <v>163</v>
      </c>
      <c r="D76" s="345"/>
      <c r="E76" s="35" t="s">
        <v>151</v>
      </c>
      <c r="F76" s="468" t="s">
        <v>168</v>
      </c>
      <c r="G76" s="468"/>
      <c r="H76" s="468"/>
      <c r="I76" s="468"/>
      <c r="J76" s="468"/>
      <c r="K76" s="469" t="s">
        <v>120</v>
      </c>
      <c r="L76" s="470"/>
      <c r="M76" s="470"/>
      <c r="N76" s="470"/>
      <c r="O76" s="470"/>
      <c r="P76" s="470"/>
      <c r="Q76" s="470"/>
      <c r="R76" s="470"/>
      <c r="S76" s="471"/>
      <c r="T76" s="472">
        <v>42937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4</v>
      </c>
      <c r="B77" s="468"/>
      <c r="C77" s="345" t="s">
        <v>119</v>
      </c>
      <c r="D77" s="345"/>
      <c r="E77" s="35" t="s">
        <v>148</v>
      </c>
      <c r="F77" s="468" t="s">
        <v>149</v>
      </c>
      <c r="G77" s="468"/>
      <c r="H77" s="468"/>
      <c r="I77" s="468"/>
      <c r="J77" s="468"/>
      <c r="K77" s="469" t="s">
        <v>153</v>
      </c>
      <c r="L77" s="470"/>
      <c r="M77" s="470"/>
      <c r="N77" s="470"/>
      <c r="O77" s="470"/>
      <c r="P77" s="470"/>
      <c r="Q77" s="470"/>
      <c r="R77" s="470"/>
      <c r="S77" s="471"/>
      <c r="T77" s="472">
        <v>42920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5</v>
      </c>
      <c r="B78" s="468"/>
      <c r="C78" s="345" t="s">
        <v>118</v>
      </c>
      <c r="D78" s="345"/>
      <c r="E78" s="35" t="s">
        <v>850</v>
      </c>
      <c r="F78" s="468" t="s">
        <v>851</v>
      </c>
      <c r="G78" s="468"/>
      <c r="H78" s="468"/>
      <c r="I78" s="468"/>
      <c r="J78" s="468"/>
      <c r="K78" s="469" t="s">
        <v>937</v>
      </c>
      <c r="L78" s="470"/>
      <c r="M78" s="470"/>
      <c r="N78" s="470"/>
      <c r="O78" s="470"/>
      <c r="P78" s="470"/>
      <c r="Q78" s="470"/>
      <c r="R78" s="470"/>
      <c r="S78" s="471"/>
      <c r="T78" s="472">
        <v>42972</v>
      </c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6</v>
      </c>
      <c r="B79" s="468"/>
      <c r="C79" s="345"/>
      <c r="D79" s="345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7</v>
      </c>
      <c r="B80" s="468"/>
      <c r="C80" s="345"/>
      <c r="D80" s="345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8</v>
      </c>
      <c r="B81" s="468"/>
      <c r="C81" s="345"/>
      <c r="D81" s="345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11"/>
        <v>9</v>
      </c>
      <c r="B82" s="468"/>
      <c r="C82" s="345"/>
      <c r="D82" s="345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6" thickBot="1">
      <c r="A83" s="460" t="s">
        <v>995</v>
      </c>
      <c r="B83" s="460"/>
      <c r="C83" s="460"/>
      <c r="D83" s="460"/>
      <c r="E83" s="46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88" t="s">
        <v>37</v>
      </c>
      <c r="B84" s="489"/>
      <c r="C84" s="489" t="s">
        <v>53</v>
      </c>
      <c r="D84" s="489"/>
      <c r="E84" s="489" t="s">
        <v>54</v>
      </c>
      <c r="F84" s="489"/>
      <c r="G84" s="489"/>
      <c r="H84" s="489"/>
      <c r="I84" s="489"/>
      <c r="J84" s="489"/>
      <c r="K84" s="489" t="s">
        <v>55</v>
      </c>
      <c r="L84" s="489"/>
      <c r="M84" s="489"/>
      <c r="N84" s="489"/>
      <c r="O84" s="489"/>
      <c r="P84" s="489"/>
      <c r="Q84" s="489"/>
      <c r="R84" s="489"/>
      <c r="S84" s="489"/>
      <c r="T84" s="489" t="s">
        <v>56</v>
      </c>
      <c r="U84" s="489"/>
      <c r="V84" s="489" t="s">
        <v>57</v>
      </c>
      <c r="W84" s="489"/>
      <c r="X84" s="489"/>
      <c r="Y84" s="489" t="s">
        <v>52</v>
      </c>
      <c r="Z84" s="489"/>
      <c r="AA84" s="489"/>
      <c r="AB84" s="489"/>
      <c r="AC84" s="489"/>
      <c r="AD84" s="490"/>
      <c r="AF84" s="53"/>
    </row>
    <row r="85" spans="1:32" ht="30.75" customHeight="1">
      <c r="A85" s="475">
        <v>1</v>
      </c>
      <c r="B85" s="476"/>
      <c r="C85" s="491">
        <v>1</v>
      </c>
      <c r="D85" s="491"/>
      <c r="E85" s="491" t="s">
        <v>133</v>
      </c>
      <c r="F85" s="491"/>
      <c r="G85" s="491"/>
      <c r="H85" s="491"/>
      <c r="I85" s="491"/>
      <c r="J85" s="491"/>
      <c r="K85" s="491" t="s">
        <v>134</v>
      </c>
      <c r="L85" s="491"/>
      <c r="M85" s="491"/>
      <c r="N85" s="491"/>
      <c r="O85" s="491"/>
      <c r="P85" s="491"/>
      <c r="Q85" s="491"/>
      <c r="R85" s="491"/>
      <c r="S85" s="491"/>
      <c r="T85" s="491" t="s">
        <v>135</v>
      </c>
      <c r="U85" s="491"/>
      <c r="V85" s="492">
        <v>1500000</v>
      </c>
      <c r="W85" s="492"/>
      <c r="X85" s="492"/>
      <c r="Y85" s="493" t="s">
        <v>136</v>
      </c>
      <c r="Z85" s="493"/>
      <c r="AA85" s="493"/>
      <c r="AB85" s="493"/>
      <c r="AC85" s="493"/>
      <c r="AD85" s="494"/>
      <c r="AF85" s="53"/>
    </row>
    <row r="86" spans="1:32" ht="30.75" customHeight="1">
      <c r="A86" s="467">
        <v>2</v>
      </c>
      <c r="B86" s="468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502"/>
      <c r="Q86" s="502"/>
      <c r="R86" s="502"/>
      <c r="S86" s="502"/>
      <c r="T86" s="503"/>
      <c r="U86" s="503"/>
      <c r="V86" s="504"/>
      <c r="W86" s="504"/>
      <c r="X86" s="504"/>
      <c r="Y86" s="495"/>
      <c r="Z86" s="495"/>
      <c r="AA86" s="495"/>
      <c r="AB86" s="495"/>
      <c r="AC86" s="495"/>
      <c r="AD86" s="496"/>
      <c r="AF86" s="53"/>
    </row>
    <row r="87" spans="1:32" ht="30.75" customHeight="1" thickBot="1">
      <c r="A87" s="497">
        <v>3</v>
      </c>
      <c r="B87" s="498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500"/>
      <c r="Z87" s="500"/>
      <c r="AA87" s="500"/>
      <c r="AB87" s="500"/>
      <c r="AC87" s="500"/>
      <c r="AD87" s="50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8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94" t="s">
        <v>996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2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57" t="s">
        <v>17</v>
      </c>
      <c r="L5" s="357" t="s">
        <v>18</v>
      </c>
      <c r="M5" s="357" t="s">
        <v>19</v>
      </c>
      <c r="N5" s="35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2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0.48529813669279459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459</v>
      </c>
      <c r="D7" s="55" t="s">
        <v>906</v>
      </c>
      <c r="E7" s="56" t="s">
        <v>907</v>
      </c>
      <c r="F7" s="12" t="s">
        <v>908</v>
      </c>
      <c r="G7" s="36">
        <v>4</v>
      </c>
      <c r="H7" s="38">
        <v>25</v>
      </c>
      <c r="I7" s="7">
        <v>5000</v>
      </c>
      <c r="J7" s="14">
        <v>3330</v>
      </c>
      <c r="K7" s="15">
        <f>L7+9916+3326</f>
        <v>13242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0.48529813669279459</v>
      </c>
      <c r="AF7" s="94">
        <f>A7</f>
        <v>2</v>
      </c>
    </row>
    <row r="8" spans="1:32" ht="27" customHeight="1">
      <c r="A8" s="109">
        <v>3</v>
      </c>
      <c r="B8" s="11" t="s">
        <v>940</v>
      </c>
      <c r="C8" s="11" t="s">
        <v>180</v>
      </c>
      <c r="D8" s="55" t="s">
        <v>997</v>
      </c>
      <c r="E8" s="56" t="s">
        <v>998</v>
      </c>
      <c r="F8" s="12" t="s">
        <v>999</v>
      </c>
      <c r="G8" s="36">
        <v>1</v>
      </c>
      <c r="H8" s="38">
        <v>25</v>
      </c>
      <c r="I8" s="7">
        <v>40000</v>
      </c>
      <c r="J8" s="14">
        <v>4120</v>
      </c>
      <c r="K8" s="15">
        <f>L8</f>
        <v>4113</v>
      </c>
      <c r="L8" s="15">
        <f>2791+1322</f>
        <v>4113</v>
      </c>
      <c r="M8" s="16">
        <f t="shared" si="0"/>
        <v>4113</v>
      </c>
      <c r="N8" s="16">
        <v>0</v>
      </c>
      <c r="O8" s="62">
        <f t="shared" si="1"/>
        <v>0</v>
      </c>
      <c r="P8" s="42">
        <f t="shared" si="2"/>
        <v>20</v>
      </c>
      <c r="Q8" s="43">
        <f t="shared" si="3"/>
        <v>4</v>
      </c>
      <c r="R8" s="7"/>
      <c r="S8" s="6"/>
      <c r="T8" s="17">
        <v>4</v>
      </c>
      <c r="U8" s="17"/>
      <c r="V8" s="18"/>
      <c r="W8" s="19"/>
      <c r="X8" s="17"/>
      <c r="Y8" s="20"/>
      <c r="Z8" s="20"/>
      <c r="AA8" s="21"/>
      <c r="AB8" s="8">
        <f t="shared" si="4"/>
        <v>0.99830097087378644</v>
      </c>
      <c r="AC8" s="9">
        <f t="shared" si="5"/>
        <v>0.83333333333333337</v>
      </c>
      <c r="AD8" s="10">
        <f t="shared" si="6"/>
        <v>0.83191747572815544</v>
      </c>
      <c r="AE8" s="39">
        <f t="shared" si="7"/>
        <v>0.48529813669279459</v>
      </c>
      <c r="AF8" s="94">
        <f>A8</f>
        <v>3</v>
      </c>
    </row>
    <row r="9" spans="1:32" ht="27" customHeight="1">
      <c r="A9" s="110">
        <v>4</v>
      </c>
      <c r="B9" s="11" t="s">
        <v>59</v>
      </c>
      <c r="C9" s="11" t="s">
        <v>259</v>
      </c>
      <c r="D9" s="55" t="s">
        <v>942</v>
      </c>
      <c r="E9" s="56" t="s">
        <v>943</v>
      </c>
      <c r="F9" s="12" t="s">
        <v>944</v>
      </c>
      <c r="G9" s="36" t="s">
        <v>945</v>
      </c>
      <c r="H9" s="38">
        <v>25</v>
      </c>
      <c r="I9" s="34">
        <v>4000</v>
      </c>
      <c r="J9" s="5">
        <v>781</v>
      </c>
      <c r="K9" s="15">
        <f>L9+1714+3219</f>
        <v>5714</v>
      </c>
      <c r="L9" s="15">
        <f>781</f>
        <v>781</v>
      </c>
      <c r="M9" s="16">
        <f t="shared" si="0"/>
        <v>781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0.48529813669279459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1011</v>
      </c>
      <c r="D10" s="55" t="s">
        <v>1012</v>
      </c>
      <c r="E10" s="57" t="s">
        <v>1013</v>
      </c>
      <c r="F10" s="12" t="s">
        <v>1007</v>
      </c>
      <c r="G10" s="12">
        <v>2</v>
      </c>
      <c r="H10" s="13">
        <v>25</v>
      </c>
      <c r="I10" s="34">
        <v>1000</v>
      </c>
      <c r="J10" s="5">
        <v>1090</v>
      </c>
      <c r="K10" s="15">
        <f>L10</f>
        <v>1090</v>
      </c>
      <c r="L10" s="15">
        <f>545*2</f>
        <v>1090</v>
      </c>
      <c r="M10" s="16">
        <f t="shared" si="0"/>
        <v>1090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si="4"/>
        <v>1</v>
      </c>
      <c r="AC10" s="9">
        <f t="shared" si="5"/>
        <v>0.25</v>
      </c>
      <c r="AD10" s="10">
        <f t="shared" si="6"/>
        <v>0.25</v>
      </c>
      <c r="AE10" s="39">
        <f t="shared" si="7"/>
        <v>0.48529813669279459</v>
      </c>
      <c r="AF10" s="94">
        <f t="shared" si="8"/>
        <v>4</v>
      </c>
    </row>
    <row r="11" spans="1:32" ht="27" customHeight="1">
      <c r="A11" s="110">
        <v>5</v>
      </c>
      <c r="B11" s="11" t="s">
        <v>59</v>
      </c>
      <c r="C11" s="11" t="s">
        <v>163</v>
      </c>
      <c r="D11" s="55" t="s">
        <v>151</v>
      </c>
      <c r="E11" s="57" t="s">
        <v>484</v>
      </c>
      <c r="F11" s="12" t="s">
        <v>261</v>
      </c>
      <c r="G11" s="12">
        <v>1</v>
      </c>
      <c r="H11" s="13">
        <v>25</v>
      </c>
      <c r="I11" s="34">
        <v>5000</v>
      </c>
      <c r="J11" s="14">
        <v>1730</v>
      </c>
      <c r="K11" s="15">
        <f>L11</f>
        <v>1723</v>
      </c>
      <c r="L11" s="15">
        <f>958+765</f>
        <v>1723</v>
      </c>
      <c r="M11" s="16">
        <f t="shared" si="0"/>
        <v>1723</v>
      </c>
      <c r="N11" s="16">
        <v>0</v>
      </c>
      <c r="O11" s="62">
        <f t="shared" si="1"/>
        <v>0</v>
      </c>
      <c r="P11" s="42">
        <f t="shared" si="2"/>
        <v>11</v>
      </c>
      <c r="Q11" s="43">
        <f t="shared" si="3"/>
        <v>13</v>
      </c>
      <c r="R11" s="7"/>
      <c r="S11" s="6">
        <v>13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0.99595375722543356</v>
      </c>
      <c r="AC11" s="9">
        <f t="shared" si="5"/>
        <v>0.45833333333333331</v>
      </c>
      <c r="AD11" s="10">
        <f t="shared" si="6"/>
        <v>0.45647880539499036</v>
      </c>
      <c r="AE11" s="39">
        <f t="shared" si="7"/>
        <v>0.48529813669279459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118</v>
      </c>
      <c r="D12" s="55" t="s">
        <v>1000</v>
      </c>
      <c r="E12" s="56" t="s">
        <v>1001</v>
      </c>
      <c r="F12" s="12" t="s">
        <v>1002</v>
      </c>
      <c r="G12" s="12">
        <v>1</v>
      </c>
      <c r="H12" s="13">
        <v>25</v>
      </c>
      <c r="I12" s="34">
        <v>1000</v>
      </c>
      <c r="J12" s="14">
        <v>4250</v>
      </c>
      <c r="K12" s="15">
        <f>L12</f>
        <v>4246</v>
      </c>
      <c r="L12" s="15">
        <f>2682+1564</f>
        <v>4246</v>
      </c>
      <c r="M12" s="16">
        <f t="shared" si="0"/>
        <v>4246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/>
      <c r="T12" s="17">
        <v>2</v>
      </c>
      <c r="U12" s="17"/>
      <c r="V12" s="18"/>
      <c r="W12" s="19"/>
      <c r="X12" s="17"/>
      <c r="Y12" s="20"/>
      <c r="Z12" s="20"/>
      <c r="AA12" s="21"/>
      <c r="AB12" s="8">
        <f t="shared" si="4"/>
        <v>0.99905882352941178</v>
      </c>
      <c r="AC12" s="9">
        <f t="shared" si="5"/>
        <v>0.91666666666666663</v>
      </c>
      <c r="AD12" s="10">
        <f t="shared" si="6"/>
        <v>0.91580392156862744</v>
      </c>
      <c r="AE12" s="39">
        <f t="shared" si="7"/>
        <v>0.48529813669279459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11" t="s">
        <v>119</v>
      </c>
      <c r="D13" s="55" t="s">
        <v>862</v>
      </c>
      <c r="E13" s="57" t="s">
        <v>863</v>
      </c>
      <c r="F13" s="12" t="s">
        <v>864</v>
      </c>
      <c r="G13" s="12">
        <v>1</v>
      </c>
      <c r="H13" s="13">
        <v>25</v>
      </c>
      <c r="I13" s="7">
        <v>17000</v>
      </c>
      <c r="J13" s="14">
        <v>4100</v>
      </c>
      <c r="K13" s="15">
        <f>L13+806+4510+5394</f>
        <v>14805</v>
      </c>
      <c r="L13" s="15">
        <f>2972+1123</f>
        <v>4095</v>
      </c>
      <c r="M13" s="16">
        <f t="shared" si="0"/>
        <v>4095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0.99878048780487805</v>
      </c>
      <c r="AC13" s="9">
        <f t="shared" si="5"/>
        <v>0.83333333333333337</v>
      </c>
      <c r="AD13" s="10">
        <f t="shared" si="6"/>
        <v>0.83231707317073178</v>
      </c>
      <c r="AE13" s="39">
        <f t="shared" si="7"/>
        <v>0.48529813669279459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259</v>
      </c>
      <c r="D14" s="55" t="s">
        <v>1003</v>
      </c>
      <c r="E14" s="57" t="s">
        <v>1004</v>
      </c>
      <c r="F14" s="12">
        <v>7301</v>
      </c>
      <c r="G14" s="12">
        <v>1</v>
      </c>
      <c r="H14" s="13">
        <v>25</v>
      </c>
      <c r="I14" s="7">
        <v>1000</v>
      </c>
      <c r="J14" s="14">
        <v>1040</v>
      </c>
      <c r="K14" s="15">
        <f>L14</f>
        <v>1033</v>
      </c>
      <c r="L14" s="15">
        <v>1033</v>
      </c>
      <c r="M14" s="16">
        <f t="shared" si="0"/>
        <v>1033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/>
      <c r="T14" s="17"/>
      <c r="U14" s="17"/>
      <c r="V14" s="18"/>
      <c r="W14" s="19">
        <v>14</v>
      </c>
      <c r="X14" s="17"/>
      <c r="Y14" s="20"/>
      <c r="Z14" s="20"/>
      <c r="AA14" s="21"/>
      <c r="AB14" s="8">
        <f t="shared" si="4"/>
        <v>0.99326923076923079</v>
      </c>
      <c r="AC14" s="9">
        <f t="shared" si="5"/>
        <v>0.41666666666666669</v>
      </c>
      <c r="AD14" s="10">
        <f t="shared" si="6"/>
        <v>0.41386217948717952</v>
      </c>
      <c r="AE14" s="39">
        <f t="shared" si="7"/>
        <v>0.48529813669279459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118</v>
      </c>
      <c r="D15" s="55" t="s">
        <v>58</v>
      </c>
      <c r="E15" s="57" t="s">
        <v>865</v>
      </c>
      <c r="F15" s="33" t="s">
        <v>866</v>
      </c>
      <c r="G15" s="36">
        <v>1</v>
      </c>
      <c r="H15" s="38">
        <v>40</v>
      </c>
      <c r="I15" s="7">
        <v>200</v>
      </c>
      <c r="J15" s="5">
        <v>556</v>
      </c>
      <c r="K15" s="15">
        <f>L15+106+556</f>
        <v>662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0.48529813669279459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11" t="s">
        <v>158</v>
      </c>
      <c r="D16" s="55" t="s">
        <v>148</v>
      </c>
      <c r="E16" s="57" t="s">
        <v>631</v>
      </c>
      <c r="F16" s="12" t="s">
        <v>162</v>
      </c>
      <c r="G16" s="12">
        <v>1</v>
      </c>
      <c r="H16" s="13">
        <v>25</v>
      </c>
      <c r="I16" s="34">
        <v>2000</v>
      </c>
      <c r="J16" s="14">
        <v>2730</v>
      </c>
      <c r="K16" s="15">
        <f>L16+2727</f>
        <v>2727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0.48529813669279459</v>
      </c>
      <c r="AF16" s="94">
        <f t="shared" si="8"/>
        <v>10</v>
      </c>
    </row>
    <row r="17" spans="1:36" ht="27.75" customHeight="1">
      <c r="A17" s="109">
        <v>11</v>
      </c>
      <c r="B17" s="11" t="s">
        <v>59</v>
      </c>
      <c r="C17" s="11" t="s">
        <v>119</v>
      </c>
      <c r="D17" s="55" t="s">
        <v>129</v>
      </c>
      <c r="E17" s="56" t="s">
        <v>145</v>
      </c>
      <c r="F17" s="12">
        <v>7301</v>
      </c>
      <c r="G17" s="36">
        <v>1</v>
      </c>
      <c r="H17" s="38">
        <v>25</v>
      </c>
      <c r="I17" s="7">
        <v>30000</v>
      </c>
      <c r="J17" s="14">
        <v>3370</v>
      </c>
      <c r="K17" s="15">
        <f>L17</f>
        <v>3362</v>
      </c>
      <c r="L17" s="15">
        <f>2979+383</f>
        <v>3362</v>
      </c>
      <c r="M17" s="16">
        <f t="shared" si="0"/>
        <v>3362</v>
      </c>
      <c r="N17" s="16">
        <v>0</v>
      </c>
      <c r="O17" s="62">
        <f t="shared" si="1"/>
        <v>0</v>
      </c>
      <c r="P17" s="42">
        <f t="shared" si="2"/>
        <v>16</v>
      </c>
      <c r="Q17" s="43">
        <f t="shared" si="3"/>
        <v>8</v>
      </c>
      <c r="R17" s="7"/>
      <c r="S17" s="6">
        <v>8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0.99762611275964397</v>
      </c>
      <c r="AC17" s="9">
        <f t="shared" si="5"/>
        <v>0.66666666666666663</v>
      </c>
      <c r="AD17" s="10">
        <f t="shared" si="6"/>
        <v>0.66508407517309598</v>
      </c>
      <c r="AE17" s="39">
        <f t="shared" si="7"/>
        <v>0.48529813669279459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59</v>
      </c>
      <c r="C18" s="37" t="s">
        <v>118</v>
      </c>
      <c r="D18" s="55" t="s">
        <v>742</v>
      </c>
      <c r="E18" s="56" t="s">
        <v>744</v>
      </c>
      <c r="F18" s="12">
        <v>8301</v>
      </c>
      <c r="G18" s="12">
        <v>1</v>
      </c>
      <c r="H18" s="13">
        <v>25</v>
      </c>
      <c r="I18" s="34">
        <v>6500</v>
      </c>
      <c r="J18" s="5">
        <v>6520</v>
      </c>
      <c r="K18" s="15">
        <f>L18+3715+6518</f>
        <v>10233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0.48529813669279459</v>
      </c>
      <c r="AF18" s="94">
        <f t="shared" si="8"/>
        <v>12</v>
      </c>
    </row>
    <row r="19" spans="1:36" ht="27" customHeight="1">
      <c r="A19" s="110">
        <v>13</v>
      </c>
      <c r="B19" s="11" t="s">
        <v>59</v>
      </c>
      <c r="C19" s="37" t="s">
        <v>259</v>
      </c>
      <c r="D19" s="55" t="s">
        <v>1005</v>
      </c>
      <c r="E19" s="57" t="s">
        <v>1006</v>
      </c>
      <c r="F19" s="33" t="s">
        <v>1007</v>
      </c>
      <c r="G19" s="12" t="s">
        <v>1008</v>
      </c>
      <c r="H19" s="13">
        <v>25</v>
      </c>
      <c r="I19" s="34">
        <v>1100</v>
      </c>
      <c r="J19" s="5">
        <v>880</v>
      </c>
      <c r="K19" s="15">
        <f>L19</f>
        <v>877</v>
      </c>
      <c r="L19" s="15">
        <f>877</f>
        <v>877</v>
      </c>
      <c r="M19" s="16">
        <f t="shared" si="0"/>
        <v>877</v>
      </c>
      <c r="N19" s="16">
        <v>0</v>
      </c>
      <c r="O19" s="62">
        <f t="shared" si="1"/>
        <v>0</v>
      </c>
      <c r="P19" s="42">
        <f t="shared" si="2"/>
        <v>7</v>
      </c>
      <c r="Q19" s="43">
        <f t="shared" si="3"/>
        <v>17</v>
      </c>
      <c r="R19" s="7"/>
      <c r="S19" s="6"/>
      <c r="T19" s="17"/>
      <c r="U19" s="17"/>
      <c r="V19" s="18"/>
      <c r="W19" s="19">
        <v>17</v>
      </c>
      <c r="X19" s="17"/>
      <c r="Y19" s="20"/>
      <c r="Z19" s="20"/>
      <c r="AA19" s="21"/>
      <c r="AB19" s="8">
        <f t="shared" si="4"/>
        <v>0.99659090909090908</v>
      </c>
      <c r="AC19" s="9">
        <f t="shared" si="5"/>
        <v>0.29166666666666669</v>
      </c>
      <c r="AD19" s="10">
        <f t="shared" si="6"/>
        <v>0.29067234848484852</v>
      </c>
      <c r="AE19" s="39">
        <f t="shared" si="7"/>
        <v>0.48529813669279459</v>
      </c>
      <c r="AF19" s="94">
        <f t="shared" si="8"/>
        <v>13</v>
      </c>
    </row>
    <row r="20" spans="1:36" ht="27" customHeight="1">
      <c r="A20" s="110">
        <v>13</v>
      </c>
      <c r="B20" s="11" t="s">
        <v>59</v>
      </c>
      <c r="C20" s="37" t="s">
        <v>1009</v>
      </c>
      <c r="D20" s="55" t="s">
        <v>444</v>
      </c>
      <c r="E20" s="57" t="s">
        <v>1010</v>
      </c>
      <c r="F20" s="33" t="s">
        <v>1007</v>
      </c>
      <c r="G20" s="12">
        <v>1</v>
      </c>
      <c r="H20" s="13">
        <v>25</v>
      </c>
      <c r="I20" s="34">
        <v>40000</v>
      </c>
      <c r="J20" s="5">
        <v>3100</v>
      </c>
      <c r="K20" s="15">
        <f>L20</f>
        <v>3100</v>
      </c>
      <c r="L20" s="15">
        <f>3100</f>
        <v>3100</v>
      </c>
      <c r="M20" s="16">
        <f t="shared" ref="M20" si="9">L20-N20</f>
        <v>3100</v>
      </c>
      <c r="N20" s="16">
        <v>0</v>
      </c>
      <c r="O20" s="62">
        <f t="shared" ref="O20" si="10">IF(L20=0,"0",N20/L20)</f>
        <v>0</v>
      </c>
      <c r="P20" s="42">
        <f t="shared" ref="P20" si="11">IF(L20=0,"0",(24-Q20))</f>
        <v>16</v>
      </c>
      <c r="Q20" s="43">
        <f t="shared" ref="Q20" si="12">SUM(R20:AA20)</f>
        <v>8</v>
      </c>
      <c r="R20" s="7"/>
      <c r="S20" s="6"/>
      <c r="T20" s="17">
        <v>8</v>
      </c>
      <c r="U20" s="17"/>
      <c r="V20" s="18"/>
      <c r="W20" s="19"/>
      <c r="X20" s="17"/>
      <c r="Y20" s="20"/>
      <c r="Z20" s="20"/>
      <c r="AA20" s="21"/>
      <c r="AB20" s="8">
        <f t="shared" ref="AB20" si="13">IF(J20=0,"0",(L20/J20))</f>
        <v>1</v>
      </c>
      <c r="AC20" s="9">
        <f t="shared" ref="AC20" si="14">IF(P20=0,"0",(P20/24))</f>
        <v>0.66666666666666663</v>
      </c>
      <c r="AD20" s="10">
        <f t="shared" ref="AD20" si="15">AC20*AB20*(1-O20)</f>
        <v>0.66666666666666663</v>
      </c>
      <c r="AE20" s="39">
        <f t="shared" si="7"/>
        <v>0.48529813669279459</v>
      </c>
      <c r="AF20" s="94">
        <f t="shared" ref="AF20" si="16">A20</f>
        <v>13</v>
      </c>
    </row>
    <row r="21" spans="1:36" ht="27" customHeight="1">
      <c r="A21" s="110">
        <v>14</v>
      </c>
      <c r="B21" s="11" t="s">
        <v>59</v>
      </c>
      <c r="C21" s="37" t="s">
        <v>119</v>
      </c>
      <c r="D21" s="55" t="s">
        <v>58</v>
      </c>
      <c r="E21" s="57" t="s">
        <v>143</v>
      </c>
      <c r="F21" s="33" t="s">
        <v>147</v>
      </c>
      <c r="G21" s="36">
        <v>1</v>
      </c>
      <c r="H21" s="38">
        <v>25</v>
      </c>
      <c r="I21" s="7">
        <v>40000</v>
      </c>
      <c r="J21" s="5">
        <v>4160</v>
      </c>
      <c r="K21" s="15">
        <f>L21+1752</f>
        <v>5904</v>
      </c>
      <c r="L21" s="15">
        <f>2665+1487</f>
        <v>4152</v>
      </c>
      <c r="M21" s="16">
        <f t="shared" si="0"/>
        <v>4152</v>
      </c>
      <c r="N21" s="16">
        <v>0</v>
      </c>
      <c r="O21" s="62">
        <f t="shared" si="1"/>
        <v>0</v>
      </c>
      <c r="P21" s="42">
        <f t="shared" si="2"/>
        <v>19</v>
      </c>
      <c r="Q21" s="43">
        <f t="shared" si="3"/>
        <v>5</v>
      </c>
      <c r="R21" s="7"/>
      <c r="S21" s="6">
        <v>5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0.99807692307692308</v>
      </c>
      <c r="AC21" s="9">
        <f t="shared" si="5"/>
        <v>0.79166666666666663</v>
      </c>
      <c r="AD21" s="10">
        <f t="shared" si="6"/>
        <v>0.79014423076923079</v>
      </c>
      <c r="AE21" s="39">
        <f t="shared" si="7"/>
        <v>0.48529813669279459</v>
      </c>
      <c r="AF21" s="94">
        <f t="shared" si="8"/>
        <v>14</v>
      </c>
    </row>
    <row r="22" spans="1:36" ht="27" customHeight="1" thickBot="1">
      <c r="A22" s="110">
        <v>15</v>
      </c>
      <c r="B22" s="11" t="s">
        <v>59</v>
      </c>
      <c r="C22" s="11" t="s">
        <v>116</v>
      </c>
      <c r="D22" s="55"/>
      <c r="E22" s="56" t="s">
        <v>869</v>
      </c>
      <c r="F22" s="12" t="s">
        <v>117</v>
      </c>
      <c r="G22" s="12">
        <v>4</v>
      </c>
      <c r="H22" s="38">
        <v>20</v>
      </c>
      <c r="I22" s="7">
        <v>200000</v>
      </c>
      <c r="J22" s="14">
        <v>56580</v>
      </c>
      <c r="K22" s="15">
        <f>L22+40792+68628+25624</f>
        <v>191616</v>
      </c>
      <c r="L22" s="15">
        <f>7913*4+6230*4</f>
        <v>56572</v>
      </c>
      <c r="M22" s="16">
        <f t="shared" si="0"/>
        <v>56572</v>
      </c>
      <c r="N22" s="16">
        <v>0</v>
      </c>
      <c r="O22" s="62">
        <f t="shared" si="1"/>
        <v>0</v>
      </c>
      <c r="P22" s="42">
        <f t="shared" si="2"/>
        <v>24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0.99985860728172504</v>
      </c>
      <c r="AC22" s="9">
        <f t="shared" si="5"/>
        <v>1</v>
      </c>
      <c r="AD22" s="10">
        <f t="shared" si="6"/>
        <v>0.99985860728172504</v>
      </c>
      <c r="AE22" s="39">
        <f t="shared" si="7"/>
        <v>0.48529813669279459</v>
      </c>
      <c r="AF22" s="94">
        <f t="shared" si="8"/>
        <v>15</v>
      </c>
    </row>
    <row r="23" spans="1:36" ht="31.5" customHeight="1" thickBot="1">
      <c r="A23" s="408" t="s">
        <v>34</v>
      </c>
      <c r="B23" s="409"/>
      <c r="C23" s="409"/>
      <c r="D23" s="409"/>
      <c r="E23" s="409"/>
      <c r="F23" s="409"/>
      <c r="G23" s="409"/>
      <c r="H23" s="410"/>
      <c r="I23" s="25">
        <f t="shared" ref="I23:N23" si="17">SUM(I6:I22)</f>
        <v>394800</v>
      </c>
      <c r="J23" s="22">
        <f t="shared" si="17"/>
        <v>100307</v>
      </c>
      <c r="K23" s="23">
        <f t="shared" si="17"/>
        <v>266409</v>
      </c>
      <c r="L23" s="24">
        <f t="shared" si="17"/>
        <v>85144</v>
      </c>
      <c r="M23" s="23">
        <f t="shared" si="17"/>
        <v>85144</v>
      </c>
      <c r="N23" s="24">
        <f t="shared" si="17"/>
        <v>0</v>
      </c>
      <c r="O23" s="44">
        <f t="shared" si="1"/>
        <v>0</v>
      </c>
      <c r="P23" s="45">
        <f t="shared" ref="P23:AA23" si="18">SUM(P6:P22)</f>
        <v>175</v>
      </c>
      <c r="Q23" s="46">
        <f t="shared" si="18"/>
        <v>233</v>
      </c>
      <c r="R23" s="26">
        <f t="shared" si="18"/>
        <v>24</v>
      </c>
      <c r="S23" s="27">
        <f t="shared" si="18"/>
        <v>30</v>
      </c>
      <c r="T23" s="27">
        <f t="shared" si="18"/>
        <v>14</v>
      </c>
      <c r="U23" s="27">
        <f t="shared" si="18"/>
        <v>0</v>
      </c>
      <c r="V23" s="28">
        <f t="shared" si="18"/>
        <v>0</v>
      </c>
      <c r="W23" s="29">
        <f t="shared" si="18"/>
        <v>165</v>
      </c>
      <c r="X23" s="30">
        <f t="shared" si="18"/>
        <v>0</v>
      </c>
      <c r="Y23" s="30">
        <f t="shared" si="18"/>
        <v>0</v>
      </c>
      <c r="Z23" s="30">
        <f t="shared" si="18"/>
        <v>0</v>
      </c>
      <c r="AA23" s="30">
        <f t="shared" si="18"/>
        <v>0</v>
      </c>
      <c r="AB23" s="31">
        <f>SUM(AB6:AB22)/15</f>
        <v>0.79850105482746281</v>
      </c>
      <c r="AC23" s="4">
        <f>SUM(AC6:AC22)/15</f>
        <v>0.48611111111111122</v>
      </c>
      <c r="AD23" s="4">
        <f>SUM(AD6:AD22)/15</f>
        <v>0.48529813669279459</v>
      </c>
      <c r="AE23" s="32"/>
    </row>
    <row r="25" spans="1:36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11" t="s">
        <v>46</v>
      </c>
      <c r="B50" s="411"/>
      <c r="C50" s="411"/>
      <c r="D50" s="411"/>
      <c r="E50" s="41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12" t="s">
        <v>1014</v>
      </c>
      <c r="B51" s="413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4"/>
      <c r="N51" s="415" t="s">
        <v>1026</v>
      </c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7"/>
    </row>
    <row r="52" spans="1:32" ht="27" customHeight="1">
      <c r="A52" s="418" t="s">
        <v>2</v>
      </c>
      <c r="B52" s="419"/>
      <c r="C52" s="358" t="s">
        <v>47</v>
      </c>
      <c r="D52" s="358" t="s">
        <v>48</v>
      </c>
      <c r="E52" s="358" t="s">
        <v>110</v>
      </c>
      <c r="F52" s="419" t="s">
        <v>109</v>
      </c>
      <c r="G52" s="419"/>
      <c r="H52" s="419"/>
      <c r="I52" s="419"/>
      <c r="J52" s="419"/>
      <c r="K52" s="419"/>
      <c r="L52" s="419"/>
      <c r="M52" s="420"/>
      <c r="N52" s="73" t="s">
        <v>114</v>
      </c>
      <c r="O52" s="358" t="s">
        <v>47</v>
      </c>
      <c r="P52" s="421" t="s">
        <v>48</v>
      </c>
      <c r="Q52" s="422"/>
      <c r="R52" s="421" t="s">
        <v>39</v>
      </c>
      <c r="S52" s="423"/>
      <c r="T52" s="423"/>
      <c r="U52" s="422"/>
      <c r="V52" s="421" t="s">
        <v>49</v>
      </c>
      <c r="W52" s="423"/>
      <c r="X52" s="423"/>
      <c r="Y52" s="423"/>
      <c r="Z52" s="423"/>
      <c r="AA52" s="423"/>
      <c r="AB52" s="423"/>
      <c r="AC52" s="423"/>
      <c r="AD52" s="424"/>
    </row>
    <row r="53" spans="1:32" ht="27" customHeight="1">
      <c r="A53" s="445" t="s">
        <v>259</v>
      </c>
      <c r="B53" s="446"/>
      <c r="C53" s="363" t="s">
        <v>160</v>
      </c>
      <c r="D53" s="360" t="s">
        <v>1015</v>
      </c>
      <c r="E53" s="363" t="s">
        <v>1013</v>
      </c>
      <c r="F53" s="437" t="s">
        <v>1016</v>
      </c>
      <c r="G53" s="437"/>
      <c r="H53" s="437"/>
      <c r="I53" s="437"/>
      <c r="J53" s="437"/>
      <c r="K53" s="437"/>
      <c r="L53" s="437"/>
      <c r="M53" s="438"/>
      <c r="N53" s="359" t="s">
        <v>1027</v>
      </c>
      <c r="O53" s="74" t="s">
        <v>160</v>
      </c>
      <c r="P53" s="439" t="s">
        <v>897</v>
      </c>
      <c r="Q53" s="440"/>
      <c r="R53" s="436" t="s">
        <v>1028</v>
      </c>
      <c r="S53" s="436"/>
      <c r="T53" s="436"/>
      <c r="U53" s="436"/>
      <c r="V53" s="437" t="s">
        <v>200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1017</v>
      </c>
      <c r="B54" s="446"/>
      <c r="C54" s="363" t="s">
        <v>285</v>
      </c>
      <c r="D54" s="360" t="s">
        <v>997</v>
      </c>
      <c r="E54" s="363" t="s">
        <v>998</v>
      </c>
      <c r="F54" s="437" t="s">
        <v>200</v>
      </c>
      <c r="G54" s="437"/>
      <c r="H54" s="437"/>
      <c r="I54" s="437"/>
      <c r="J54" s="437"/>
      <c r="K54" s="437"/>
      <c r="L54" s="437"/>
      <c r="M54" s="438"/>
      <c r="N54" s="359" t="s">
        <v>259</v>
      </c>
      <c r="O54" s="74" t="s">
        <v>403</v>
      </c>
      <c r="P54" s="439" t="s">
        <v>1029</v>
      </c>
      <c r="Q54" s="440"/>
      <c r="R54" s="436" t="s">
        <v>1030</v>
      </c>
      <c r="S54" s="436"/>
      <c r="T54" s="436"/>
      <c r="U54" s="436"/>
      <c r="V54" s="437" t="s">
        <v>1019</v>
      </c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45" t="s">
        <v>918</v>
      </c>
      <c r="B55" s="446"/>
      <c r="C55" s="363" t="s">
        <v>303</v>
      </c>
      <c r="D55" s="360" t="s">
        <v>185</v>
      </c>
      <c r="E55" s="363" t="s">
        <v>1001</v>
      </c>
      <c r="F55" s="437" t="s">
        <v>200</v>
      </c>
      <c r="G55" s="437"/>
      <c r="H55" s="437"/>
      <c r="I55" s="437"/>
      <c r="J55" s="437"/>
      <c r="K55" s="437"/>
      <c r="L55" s="437"/>
      <c r="M55" s="438"/>
      <c r="N55" s="359" t="s">
        <v>259</v>
      </c>
      <c r="O55" s="74" t="s">
        <v>303</v>
      </c>
      <c r="P55" s="439" t="s">
        <v>1031</v>
      </c>
      <c r="Q55" s="440"/>
      <c r="R55" s="436" t="s">
        <v>1032</v>
      </c>
      <c r="S55" s="436"/>
      <c r="T55" s="436"/>
      <c r="U55" s="436"/>
      <c r="V55" s="437" t="s">
        <v>1033</v>
      </c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45" t="s">
        <v>1017</v>
      </c>
      <c r="B56" s="446"/>
      <c r="C56" s="363" t="s">
        <v>234</v>
      </c>
      <c r="D56" s="360" t="s">
        <v>621</v>
      </c>
      <c r="E56" s="363" t="s">
        <v>1018</v>
      </c>
      <c r="F56" s="437" t="s">
        <v>1019</v>
      </c>
      <c r="G56" s="437"/>
      <c r="H56" s="437"/>
      <c r="I56" s="437"/>
      <c r="J56" s="437"/>
      <c r="K56" s="437"/>
      <c r="L56" s="437"/>
      <c r="M56" s="438"/>
      <c r="N56" s="359"/>
      <c r="O56" s="74"/>
      <c r="P56" s="439"/>
      <c r="Q56" s="440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35" t="s">
        <v>966</v>
      </c>
      <c r="B57" s="436"/>
      <c r="C57" s="360" t="s">
        <v>967</v>
      </c>
      <c r="D57" s="360" t="s">
        <v>58</v>
      </c>
      <c r="E57" s="363" t="s">
        <v>968</v>
      </c>
      <c r="F57" s="437" t="s">
        <v>1020</v>
      </c>
      <c r="G57" s="437"/>
      <c r="H57" s="437"/>
      <c r="I57" s="437"/>
      <c r="J57" s="437"/>
      <c r="K57" s="437"/>
      <c r="L57" s="437"/>
      <c r="M57" s="438"/>
      <c r="N57" s="359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 t="s">
        <v>180</v>
      </c>
      <c r="B58" s="446"/>
      <c r="C58" s="363" t="s">
        <v>193</v>
      </c>
      <c r="D58" s="360" t="s">
        <v>1021</v>
      </c>
      <c r="E58" s="363" t="s">
        <v>1022</v>
      </c>
      <c r="F58" s="437" t="s">
        <v>1019</v>
      </c>
      <c r="G58" s="437"/>
      <c r="H58" s="437"/>
      <c r="I58" s="437"/>
      <c r="J58" s="437"/>
      <c r="K58" s="437"/>
      <c r="L58" s="437"/>
      <c r="M58" s="438"/>
      <c r="N58" s="359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45" t="s">
        <v>259</v>
      </c>
      <c r="B59" s="446"/>
      <c r="C59" s="363" t="s">
        <v>713</v>
      </c>
      <c r="D59" s="360" t="s">
        <v>235</v>
      </c>
      <c r="E59" s="363" t="s">
        <v>1004</v>
      </c>
      <c r="F59" s="437" t="s">
        <v>200</v>
      </c>
      <c r="G59" s="437"/>
      <c r="H59" s="437"/>
      <c r="I59" s="437"/>
      <c r="J59" s="437"/>
      <c r="K59" s="437"/>
      <c r="L59" s="437"/>
      <c r="M59" s="438"/>
      <c r="N59" s="359"/>
      <c r="O59" s="74"/>
      <c r="P59" s="439"/>
      <c r="Q59" s="440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</row>
    <row r="60" spans="1:32" ht="27" customHeight="1">
      <c r="A60" s="445" t="s">
        <v>259</v>
      </c>
      <c r="B60" s="446"/>
      <c r="C60" s="363" t="s">
        <v>403</v>
      </c>
      <c r="D60" s="360" t="s">
        <v>1023</v>
      </c>
      <c r="E60" s="363" t="s">
        <v>1024</v>
      </c>
      <c r="F60" s="437" t="s">
        <v>1025</v>
      </c>
      <c r="G60" s="437"/>
      <c r="H60" s="437"/>
      <c r="I60" s="437"/>
      <c r="J60" s="437"/>
      <c r="K60" s="437"/>
      <c r="L60" s="437"/>
      <c r="M60" s="438"/>
      <c r="N60" s="359"/>
      <c r="O60" s="74"/>
      <c r="P60" s="436"/>
      <c r="Q60" s="436"/>
      <c r="R60" s="436"/>
      <c r="S60" s="436"/>
      <c r="T60" s="436"/>
      <c r="U60" s="436"/>
      <c r="V60" s="437"/>
      <c r="W60" s="437"/>
      <c r="X60" s="437"/>
      <c r="Y60" s="437"/>
      <c r="Z60" s="437"/>
      <c r="AA60" s="437"/>
      <c r="AB60" s="437"/>
      <c r="AC60" s="437"/>
      <c r="AD60" s="438"/>
    </row>
    <row r="61" spans="1:32" ht="27" customHeight="1">
      <c r="A61" s="435"/>
      <c r="B61" s="436"/>
      <c r="C61" s="360"/>
      <c r="D61" s="360"/>
      <c r="E61" s="360"/>
      <c r="F61" s="437"/>
      <c r="G61" s="437"/>
      <c r="H61" s="437"/>
      <c r="I61" s="437"/>
      <c r="J61" s="437"/>
      <c r="K61" s="437"/>
      <c r="L61" s="437"/>
      <c r="M61" s="438"/>
      <c r="N61" s="359"/>
      <c r="O61" s="74"/>
      <c r="P61" s="436"/>
      <c r="Q61" s="436"/>
      <c r="R61" s="436"/>
      <c r="S61" s="436"/>
      <c r="T61" s="436"/>
      <c r="U61" s="436"/>
      <c r="V61" s="437"/>
      <c r="W61" s="437"/>
      <c r="X61" s="437"/>
      <c r="Y61" s="437"/>
      <c r="Z61" s="437"/>
      <c r="AA61" s="437"/>
      <c r="AB61" s="437"/>
      <c r="AC61" s="437"/>
      <c r="AD61" s="438"/>
      <c r="AF61" s="94">
        <f>8*3000</f>
        <v>24000</v>
      </c>
    </row>
    <row r="62" spans="1:32" ht="27" customHeight="1" thickBot="1">
      <c r="A62" s="441"/>
      <c r="B62" s="442"/>
      <c r="C62" s="362"/>
      <c r="D62" s="362"/>
      <c r="E62" s="362"/>
      <c r="F62" s="443"/>
      <c r="G62" s="443"/>
      <c r="H62" s="443"/>
      <c r="I62" s="443"/>
      <c r="J62" s="443"/>
      <c r="K62" s="443"/>
      <c r="L62" s="443"/>
      <c r="M62" s="444"/>
      <c r="N62" s="361"/>
      <c r="O62" s="121"/>
      <c r="P62" s="442"/>
      <c r="Q62" s="442"/>
      <c r="R62" s="442"/>
      <c r="S62" s="442"/>
      <c r="T62" s="442"/>
      <c r="U62" s="442"/>
      <c r="V62" s="443"/>
      <c r="W62" s="443"/>
      <c r="X62" s="443"/>
      <c r="Y62" s="443"/>
      <c r="Z62" s="443"/>
      <c r="AA62" s="443"/>
      <c r="AB62" s="443"/>
      <c r="AC62" s="443"/>
      <c r="AD62" s="444"/>
      <c r="AF62" s="94">
        <f>16*3000</f>
        <v>48000</v>
      </c>
    </row>
    <row r="63" spans="1:32" ht="27.75" thickBot="1">
      <c r="A63" s="447" t="s">
        <v>1034</v>
      </c>
      <c r="B63" s="447"/>
      <c r="C63" s="447"/>
      <c r="D63" s="447"/>
      <c r="E63" s="44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48" t="s">
        <v>115</v>
      </c>
      <c r="B64" s="449"/>
      <c r="C64" s="364" t="s">
        <v>2</v>
      </c>
      <c r="D64" s="364" t="s">
        <v>38</v>
      </c>
      <c r="E64" s="364" t="s">
        <v>3</v>
      </c>
      <c r="F64" s="449" t="s">
        <v>112</v>
      </c>
      <c r="G64" s="449"/>
      <c r="H64" s="449"/>
      <c r="I64" s="449"/>
      <c r="J64" s="449"/>
      <c r="K64" s="449" t="s">
        <v>40</v>
      </c>
      <c r="L64" s="449"/>
      <c r="M64" s="364" t="s">
        <v>41</v>
      </c>
      <c r="N64" s="449" t="s">
        <v>42</v>
      </c>
      <c r="O64" s="449"/>
      <c r="P64" s="450" t="s">
        <v>43</v>
      </c>
      <c r="Q64" s="451"/>
      <c r="R64" s="450" t="s">
        <v>44</v>
      </c>
      <c r="S64" s="452"/>
      <c r="T64" s="452"/>
      <c r="U64" s="452"/>
      <c r="V64" s="452"/>
      <c r="W64" s="452"/>
      <c r="X64" s="452"/>
      <c r="Y64" s="452"/>
      <c r="Z64" s="452"/>
      <c r="AA64" s="451"/>
      <c r="AB64" s="449" t="s">
        <v>45</v>
      </c>
      <c r="AC64" s="449"/>
      <c r="AD64" s="453"/>
      <c r="AF64" s="94">
        <f>SUM(AF61:AF63)</f>
        <v>96000</v>
      </c>
    </row>
    <row r="65" spans="1:32" ht="25.5" customHeight="1">
      <c r="A65" s="454">
        <v>1</v>
      </c>
      <c r="B65" s="455"/>
      <c r="C65" s="124" t="s">
        <v>259</v>
      </c>
      <c r="D65" s="367"/>
      <c r="E65" s="365" t="s">
        <v>990</v>
      </c>
      <c r="F65" s="456" t="s">
        <v>991</v>
      </c>
      <c r="G65" s="457"/>
      <c r="H65" s="457"/>
      <c r="I65" s="457"/>
      <c r="J65" s="457"/>
      <c r="K65" s="457" t="s">
        <v>992</v>
      </c>
      <c r="L65" s="457"/>
      <c r="M65" s="54" t="s">
        <v>211</v>
      </c>
      <c r="N65" s="457">
        <v>8</v>
      </c>
      <c r="O65" s="457"/>
      <c r="P65" s="458">
        <v>50</v>
      </c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2</v>
      </c>
      <c r="B66" s="455"/>
      <c r="C66" s="124" t="s">
        <v>1036</v>
      </c>
      <c r="D66" s="367"/>
      <c r="E66" s="365" t="s">
        <v>1037</v>
      </c>
      <c r="F66" s="456" t="s">
        <v>1035</v>
      </c>
      <c r="G66" s="457"/>
      <c r="H66" s="457"/>
      <c r="I66" s="457"/>
      <c r="J66" s="457"/>
      <c r="K66" s="457" t="s">
        <v>1038</v>
      </c>
      <c r="L66" s="457"/>
      <c r="M66" s="54" t="s">
        <v>1039</v>
      </c>
      <c r="N66" s="457">
        <v>4</v>
      </c>
      <c r="O66" s="457"/>
      <c r="P66" s="458">
        <v>100</v>
      </c>
      <c r="Q66" s="458"/>
      <c r="R66" s="437" t="s">
        <v>1040</v>
      </c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3</v>
      </c>
      <c r="B67" s="455"/>
      <c r="C67" s="124"/>
      <c r="D67" s="367"/>
      <c r="E67" s="365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4</v>
      </c>
      <c r="B68" s="455"/>
      <c r="C68" s="124"/>
      <c r="D68" s="367"/>
      <c r="E68" s="365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5</v>
      </c>
      <c r="B69" s="455"/>
      <c r="C69" s="124"/>
      <c r="D69" s="367"/>
      <c r="E69" s="365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6</v>
      </c>
      <c r="B70" s="455"/>
      <c r="C70" s="124"/>
      <c r="D70" s="367"/>
      <c r="E70" s="365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5.5" customHeight="1">
      <c r="A71" s="454">
        <v>7</v>
      </c>
      <c r="B71" s="455"/>
      <c r="C71" s="124"/>
      <c r="D71" s="367"/>
      <c r="E71" s="365"/>
      <c r="F71" s="456"/>
      <c r="G71" s="457"/>
      <c r="H71" s="457"/>
      <c r="I71" s="457"/>
      <c r="J71" s="457"/>
      <c r="K71" s="457"/>
      <c r="L71" s="457"/>
      <c r="M71" s="54"/>
      <c r="N71" s="457"/>
      <c r="O71" s="457"/>
      <c r="P71" s="458"/>
      <c r="Q71" s="458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57"/>
      <c r="AC71" s="457"/>
      <c r="AD71" s="459"/>
      <c r="AF71" s="53"/>
    </row>
    <row r="72" spans="1:32" ht="25.5" customHeight="1">
      <c r="A72" s="454">
        <v>8</v>
      </c>
      <c r="B72" s="455"/>
      <c r="C72" s="124"/>
      <c r="D72" s="367"/>
      <c r="E72" s="365"/>
      <c r="F72" s="456"/>
      <c r="G72" s="457"/>
      <c r="H72" s="457"/>
      <c r="I72" s="457"/>
      <c r="J72" s="457"/>
      <c r="K72" s="457"/>
      <c r="L72" s="457"/>
      <c r="M72" s="54"/>
      <c r="N72" s="457"/>
      <c r="O72" s="457"/>
      <c r="P72" s="458"/>
      <c r="Q72" s="458"/>
      <c r="R72" s="437"/>
      <c r="S72" s="437"/>
      <c r="T72" s="437"/>
      <c r="U72" s="437"/>
      <c r="V72" s="437"/>
      <c r="W72" s="437"/>
      <c r="X72" s="437"/>
      <c r="Y72" s="437"/>
      <c r="Z72" s="437"/>
      <c r="AA72" s="437"/>
      <c r="AB72" s="457"/>
      <c r="AC72" s="457"/>
      <c r="AD72" s="459"/>
      <c r="AF72" s="53"/>
    </row>
    <row r="73" spans="1:32" ht="26.25" customHeight="1" thickBot="1">
      <c r="A73" s="460" t="s">
        <v>1041</v>
      </c>
      <c r="B73" s="460"/>
      <c r="C73" s="460"/>
      <c r="D73" s="460"/>
      <c r="E73" s="46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61" t="s">
        <v>115</v>
      </c>
      <c r="B74" s="462"/>
      <c r="C74" s="366" t="s">
        <v>2</v>
      </c>
      <c r="D74" s="366" t="s">
        <v>38</v>
      </c>
      <c r="E74" s="366" t="s">
        <v>3</v>
      </c>
      <c r="F74" s="462" t="s">
        <v>39</v>
      </c>
      <c r="G74" s="462"/>
      <c r="H74" s="462"/>
      <c r="I74" s="462"/>
      <c r="J74" s="462"/>
      <c r="K74" s="463" t="s">
        <v>60</v>
      </c>
      <c r="L74" s="464"/>
      <c r="M74" s="464"/>
      <c r="N74" s="464"/>
      <c r="O74" s="464"/>
      <c r="P74" s="464"/>
      <c r="Q74" s="464"/>
      <c r="R74" s="464"/>
      <c r="S74" s="465"/>
      <c r="T74" s="462" t="s">
        <v>50</v>
      </c>
      <c r="U74" s="462"/>
      <c r="V74" s="463" t="s">
        <v>51</v>
      </c>
      <c r="W74" s="465"/>
      <c r="X74" s="464" t="s">
        <v>52</v>
      </c>
      <c r="Y74" s="464"/>
      <c r="Z74" s="464"/>
      <c r="AA74" s="464"/>
      <c r="AB74" s="464"/>
      <c r="AC74" s="464"/>
      <c r="AD74" s="466"/>
      <c r="AF74" s="53"/>
    </row>
    <row r="75" spans="1:32" ht="33.75" customHeight="1">
      <c r="A75" s="475">
        <v>1</v>
      </c>
      <c r="B75" s="476"/>
      <c r="C75" s="368" t="s">
        <v>118</v>
      </c>
      <c r="D75" s="368"/>
      <c r="E75" s="71" t="s">
        <v>126</v>
      </c>
      <c r="F75" s="477" t="s">
        <v>127</v>
      </c>
      <c r="G75" s="478"/>
      <c r="H75" s="478"/>
      <c r="I75" s="478"/>
      <c r="J75" s="479"/>
      <c r="K75" s="480" t="s">
        <v>120</v>
      </c>
      <c r="L75" s="481"/>
      <c r="M75" s="481"/>
      <c r="N75" s="481"/>
      <c r="O75" s="481"/>
      <c r="P75" s="481"/>
      <c r="Q75" s="481"/>
      <c r="R75" s="481"/>
      <c r="S75" s="482"/>
      <c r="T75" s="483">
        <v>42901</v>
      </c>
      <c r="U75" s="484"/>
      <c r="V75" s="485"/>
      <c r="W75" s="485"/>
      <c r="X75" s="486"/>
      <c r="Y75" s="486"/>
      <c r="Z75" s="486"/>
      <c r="AA75" s="486"/>
      <c r="AB75" s="486"/>
      <c r="AC75" s="486"/>
      <c r="AD75" s="487"/>
      <c r="AF75" s="53"/>
    </row>
    <row r="76" spans="1:32" ht="30" customHeight="1">
      <c r="A76" s="467">
        <f>A75+1</f>
        <v>2</v>
      </c>
      <c r="B76" s="468"/>
      <c r="C76" s="367" t="s">
        <v>118</v>
      </c>
      <c r="D76" s="367"/>
      <c r="E76" s="35" t="s">
        <v>123</v>
      </c>
      <c r="F76" s="468" t="s">
        <v>124</v>
      </c>
      <c r="G76" s="468"/>
      <c r="H76" s="468"/>
      <c r="I76" s="468"/>
      <c r="J76" s="468"/>
      <c r="K76" s="469" t="s">
        <v>125</v>
      </c>
      <c r="L76" s="470"/>
      <c r="M76" s="470"/>
      <c r="N76" s="470"/>
      <c r="O76" s="470"/>
      <c r="P76" s="470"/>
      <c r="Q76" s="470"/>
      <c r="R76" s="470"/>
      <c r="S76" s="471"/>
      <c r="T76" s="472">
        <v>42867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ref="A77:A83" si="19">A76+1</f>
        <v>3</v>
      </c>
      <c r="B77" s="468"/>
      <c r="C77" s="367" t="s">
        <v>163</v>
      </c>
      <c r="D77" s="367"/>
      <c r="E77" s="35" t="s">
        <v>151</v>
      </c>
      <c r="F77" s="468" t="s">
        <v>168</v>
      </c>
      <c r="G77" s="468"/>
      <c r="H77" s="468"/>
      <c r="I77" s="468"/>
      <c r="J77" s="468"/>
      <c r="K77" s="469" t="s">
        <v>120</v>
      </c>
      <c r="L77" s="470"/>
      <c r="M77" s="470"/>
      <c r="N77" s="470"/>
      <c r="O77" s="470"/>
      <c r="P77" s="470"/>
      <c r="Q77" s="470"/>
      <c r="R77" s="470"/>
      <c r="S77" s="471"/>
      <c r="T77" s="472">
        <v>42937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9"/>
        <v>4</v>
      </c>
      <c r="B78" s="468"/>
      <c r="C78" s="367" t="s">
        <v>119</v>
      </c>
      <c r="D78" s="367"/>
      <c r="E78" s="35" t="s">
        <v>148</v>
      </c>
      <c r="F78" s="468" t="s">
        <v>149</v>
      </c>
      <c r="G78" s="468"/>
      <c r="H78" s="468"/>
      <c r="I78" s="468"/>
      <c r="J78" s="468"/>
      <c r="K78" s="469" t="s">
        <v>153</v>
      </c>
      <c r="L78" s="470"/>
      <c r="M78" s="470"/>
      <c r="N78" s="470"/>
      <c r="O78" s="470"/>
      <c r="P78" s="470"/>
      <c r="Q78" s="470"/>
      <c r="R78" s="470"/>
      <c r="S78" s="471"/>
      <c r="T78" s="472">
        <v>42920</v>
      </c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9"/>
        <v>5</v>
      </c>
      <c r="B79" s="468"/>
      <c r="C79" s="367" t="s">
        <v>118</v>
      </c>
      <c r="D79" s="367"/>
      <c r="E79" s="35" t="s">
        <v>850</v>
      </c>
      <c r="F79" s="468" t="s">
        <v>735</v>
      </c>
      <c r="G79" s="468"/>
      <c r="H79" s="468"/>
      <c r="I79" s="468"/>
      <c r="J79" s="468"/>
      <c r="K79" s="469" t="s">
        <v>937</v>
      </c>
      <c r="L79" s="470"/>
      <c r="M79" s="470"/>
      <c r="N79" s="470"/>
      <c r="O79" s="470"/>
      <c r="P79" s="470"/>
      <c r="Q79" s="470"/>
      <c r="R79" s="470"/>
      <c r="S79" s="471"/>
      <c r="T79" s="472">
        <v>42972</v>
      </c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9"/>
        <v>6</v>
      </c>
      <c r="B80" s="468"/>
      <c r="C80" s="367" t="s">
        <v>259</v>
      </c>
      <c r="D80" s="367"/>
      <c r="E80" s="35" t="s">
        <v>1029</v>
      </c>
      <c r="F80" s="468" t="s">
        <v>1024</v>
      </c>
      <c r="G80" s="468"/>
      <c r="H80" s="468"/>
      <c r="I80" s="468"/>
      <c r="J80" s="468"/>
      <c r="K80" s="469" t="s">
        <v>1043</v>
      </c>
      <c r="L80" s="470"/>
      <c r="M80" s="470"/>
      <c r="N80" s="470"/>
      <c r="O80" s="470"/>
      <c r="P80" s="470"/>
      <c r="Q80" s="470"/>
      <c r="R80" s="470"/>
      <c r="S80" s="471"/>
      <c r="T80" s="472">
        <v>42976</v>
      </c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9"/>
        <v>7</v>
      </c>
      <c r="B81" s="468"/>
      <c r="C81" s="367"/>
      <c r="D81" s="367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0" customHeight="1">
      <c r="A82" s="467">
        <f t="shared" si="19"/>
        <v>8</v>
      </c>
      <c r="B82" s="468"/>
      <c r="C82" s="367"/>
      <c r="D82" s="367"/>
      <c r="E82" s="35"/>
      <c r="F82" s="468"/>
      <c r="G82" s="468"/>
      <c r="H82" s="468"/>
      <c r="I82" s="468"/>
      <c r="J82" s="468"/>
      <c r="K82" s="469"/>
      <c r="L82" s="470"/>
      <c r="M82" s="470"/>
      <c r="N82" s="470"/>
      <c r="O82" s="470"/>
      <c r="P82" s="470"/>
      <c r="Q82" s="470"/>
      <c r="R82" s="470"/>
      <c r="S82" s="471"/>
      <c r="T82" s="472"/>
      <c r="U82" s="472"/>
      <c r="V82" s="472"/>
      <c r="W82" s="472"/>
      <c r="X82" s="473"/>
      <c r="Y82" s="473"/>
      <c r="Z82" s="473"/>
      <c r="AA82" s="473"/>
      <c r="AB82" s="473"/>
      <c r="AC82" s="473"/>
      <c r="AD82" s="474"/>
      <c r="AF82" s="53"/>
    </row>
    <row r="83" spans="1:32" ht="30" customHeight="1">
      <c r="A83" s="467">
        <f t="shared" si="19"/>
        <v>9</v>
      </c>
      <c r="B83" s="468"/>
      <c r="C83" s="367"/>
      <c r="D83" s="367"/>
      <c r="E83" s="35"/>
      <c r="F83" s="468"/>
      <c r="G83" s="468"/>
      <c r="H83" s="468"/>
      <c r="I83" s="468"/>
      <c r="J83" s="468"/>
      <c r="K83" s="469"/>
      <c r="L83" s="470"/>
      <c r="M83" s="470"/>
      <c r="N83" s="470"/>
      <c r="O83" s="470"/>
      <c r="P83" s="470"/>
      <c r="Q83" s="470"/>
      <c r="R83" s="470"/>
      <c r="S83" s="471"/>
      <c r="T83" s="472"/>
      <c r="U83" s="472"/>
      <c r="V83" s="472"/>
      <c r="W83" s="472"/>
      <c r="X83" s="473"/>
      <c r="Y83" s="473"/>
      <c r="Z83" s="473"/>
      <c r="AA83" s="473"/>
      <c r="AB83" s="473"/>
      <c r="AC83" s="473"/>
      <c r="AD83" s="474"/>
      <c r="AF83" s="53"/>
    </row>
    <row r="84" spans="1:32" ht="36" thickBot="1">
      <c r="A84" s="460" t="s">
        <v>1042</v>
      </c>
      <c r="B84" s="460"/>
      <c r="C84" s="460"/>
      <c r="D84" s="460"/>
      <c r="E84" s="46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88" t="s">
        <v>37</v>
      </c>
      <c r="B85" s="489"/>
      <c r="C85" s="489" t="s">
        <v>53</v>
      </c>
      <c r="D85" s="489"/>
      <c r="E85" s="489" t="s">
        <v>54</v>
      </c>
      <c r="F85" s="489"/>
      <c r="G85" s="489"/>
      <c r="H85" s="489"/>
      <c r="I85" s="489"/>
      <c r="J85" s="489"/>
      <c r="K85" s="489" t="s">
        <v>55</v>
      </c>
      <c r="L85" s="489"/>
      <c r="M85" s="489"/>
      <c r="N85" s="489"/>
      <c r="O85" s="489"/>
      <c r="P85" s="489"/>
      <c r="Q85" s="489"/>
      <c r="R85" s="489"/>
      <c r="S85" s="489"/>
      <c r="T85" s="489" t="s">
        <v>56</v>
      </c>
      <c r="U85" s="489"/>
      <c r="V85" s="489" t="s">
        <v>57</v>
      </c>
      <c r="W85" s="489"/>
      <c r="X85" s="489"/>
      <c r="Y85" s="489" t="s">
        <v>52</v>
      </c>
      <c r="Z85" s="489"/>
      <c r="AA85" s="489"/>
      <c r="AB85" s="489"/>
      <c r="AC85" s="489"/>
      <c r="AD85" s="490"/>
      <c r="AF85" s="53"/>
    </row>
    <row r="86" spans="1:32" ht="30.75" customHeight="1">
      <c r="A86" s="475">
        <v>1</v>
      </c>
      <c r="B86" s="476"/>
      <c r="C86" s="491">
        <v>1</v>
      </c>
      <c r="D86" s="491"/>
      <c r="E86" s="491" t="s">
        <v>133</v>
      </c>
      <c r="F86" s="491"/>
      <c r="G86" s="491"/>
      <c r="H86" s="491"/>
      <c r="I86" s="491"/>
      <c r="J86" s="491"/>
      <c r="K86" s="491" t="s">
        <v>134</v>
      </c>
      <c r="L86" s="491"/>
      <c r="M86" s="491"/>
      <c r="N86" s="491"/>
      <c r="O86" s="491"/>
      <c r="P86" s="491"/>
      <c r="Q86" s="491"/>
      <c r="R86" s="491"/>
      <c r="S86" s="491"/>
      <c r="T86" s="491" t="s">
        <v>135</v>
      </c>
      <c r="U86" s="491"/>
      <c r="V86" s="492">
        <v>1500000</v>
      </c>
      <c r="W86" s="492"/>
      <c r="X86" s="492"/>
      <c r="Y86" s="493" t="s">
        <v>136</v>
      </c>
      <c r="Z86" s="493"/>
      <c r="AA86" s="493"/>
      <c r="AB86" s="493"/>
      <c r="AC86" s="493"/>
      <c r="AD86" s="494"/>
      <c r="AF86" s="53"/>
    </row>
    <row r="87" spans="1:32" ht="30.75" customHeight="1">
      <c r="A87" s="467">
        <v>2</v>
      </c>
      <c r="B87" s="468"/>
      <c r="C87" s="502"/>
      <c r="D87" s="502"/>
      <c r="E87" s="502"/>
      <c r="F87" s="502"/>
      <c r="G87" s="502"/>
      <c r="H87" s="502"/>
      <c r="I87" s="502"/>
      <c r="J87" s="502"/>
      <c r="K87" s="502"/>
      <c r="L87" s="502"/>
      <c r="M87" s="502"/>
      <c r="N87" s="502"/>
      <c r="O87" s="502"/>
      <c r="P87" s="502"/>
      <c r="Q87" s="502"/>
      <c r="R87" s="502"/>
      <c r="S87" s="502"/>
      <c r="T87" s="503"/>
      <c r="U87" s="503"/>
      <c r="V87" s="504"/>
      <c r="W87" s="504"/>
      <c r="X87" s="504"/>
      <c r="Y87" s="495"/>
      <c r="Z87" s="495"/>
      <c r="AA87" s="495"/>
      <c r="AB87" s="495"/>
      <c r="AC87" s="495"/>
      <c r="AD87" s="496"/>
      <c r="AF87" s="53"/>
    </row>
    <row r="88" spans="1:32" ht="30.75" customHeight="1" thickBot="1">
      <c r="A88" s="497">
        <v>3</v>
      </c>
      <c r="B88" s="498"/>
      <c r="C88" s="499"/>
      <c r="D88" s="499"/>
      <c r="E88" s="499"/>
      <c r="F88" s="499"/>
      <c r="G88" s="499"/>
      <c r="H88" s="499"/>
      <c r="I88" s="499"/>
      <c r="J88" s="499"/>
      <c r="K88" s="499"/>
      <c r="L88" s="499"/>
      <c r="M88" s="499"/>
      <c r="N88" s="499"/>
      <c r="O88" s="499"/>
      <c r="P88" s="499"/>
      <c r="Q88" s="499"/>
      <c r="R88" s="499"/>
      <c r="S88" s="499"/>
      <c r="T88" s="499"/>
      <c r="U88" s="499"/>
      <c r="V88" s="499"/>
      <c r="W88" s="499"/>
      <c r="X88" s="499"/>
      <c r="Y88" s="500"/>
      <c r="Z88" s="500"/>
      <c r="AA88" s="500"/>
      <c r="AB88" s="500"/>
      <c r="AC88" s="500"/>
      <c r="AD88" s="501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5" sqref="F55:M5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1044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80" t="s">
        <v>17</v>
      </c>
      <c r="L5" s="380" t="s">
        <v>18</v>
      </c>
      <c r="M5" s="380" t="s">
        <v>19</v>
      </c>
      <c r="N5" s="38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0.48542972736284601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459</v>
      </c>
      <c r="D7" s="55" t="s">
        <v>906</v>
      </c>
      <c r="E7" s="56" t="s">
        <v>907</v>
      </c>
      <c r="F7" s="12" t="s">
        <v>908</v>
      </c>
      <c r="G7" s="36">
        <v>4</v>
      </c>
      <c r="H7" s="38">
        <v>25</v>
      </c>
      <c r="I7" s="7">
        <v>5000</v>
      </c>
      <c r="J7" s="14">
        <v>3330</v>
      </c>
      <c r="K7" s="15">
        <f>L7+9916+3326</f>
        <v>13242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0.48542972736284601</v>
      </c>
      <c r="AF7" s="94">
        <f>A7</f>
        <v>2</v>
      </c>
    </row>
    <row r="8" spans="1:36" ht="27" customHeight="1">
      <c r="A8" s="109">
        <v>3</v>
      </c>
      <c r="B8" s="11" t="s">
        <v>940</v>
      </c>
      <c r="C8" s="11" t="s">
        <v>180</v>
      </c>
      <c r="D8" s="55" t="s">
        <v>997</v>
      </c>
      <c r="E8" s="56" t="s">
        <v>998</v>
      </c>
      <c r="F8" s="12" t="s">
        <v>999</v>
      </c>
      <c r="G8" s="36">
        <v>1</v>
      </c>
      <c r="H8" s="38">
        <v>25</v>
      </c>
      <c r="I8" s="7">
        <v>40000</v>
      </c>
      <c r="J8" s="14">
        <v>5320</v>
      </c>
      <c r="K8" s="15">
        <f>L8+4113</f>
        <v>9427</v>
      </c>
      <c r="L8" s="15">
        <f>2744+2570</f>
        <v>5314</v>
      </c>
      <c r="M8" s="16">
        <f t="shared" si="0"/>
        <v>5314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0.9988721804511278</v>
      </c>
      <c r="AC8" s="9">
        <f t="shared" si="5"/>
        <v>1</v>
      </c>
      <c r="AD8" s="10">
        <f t="shared" si="6"/>
        <v>0.9988721804511278</v>
      </c>
      <c r="AE8" s="39">
        <f t="shared" si="7"/>
        <v>0.48542972736284601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1045</v>
      </c>
      <c r="D9" s="55" t="s">
        <v>1046</v>
      </c>
      <c r="E9" s="56" t="s">
        <v>1047</v>
      </c>
      <c r="F9" s="12" t="s">
        <v>1048</v>
      </c>
      <c r="G9" s="36">
        <v>4</v>
      </c>
      <c r="H9" s="38">
        <v>25</v>
      </c>
      <c r="I9" s="34">
        <v>30000</v>
      </c>
      <c r="J9" s="5">
        <v>9900</v>
      </c>
      <c r="K9" s="15">
        <f>L9</f>
        <v>9832</v>
      </c>
      <c r="L9" s="15">
        <f>623*4+1835*4</f>
        <v>9832</v>
      </c>
      <c r="M9" s="16">
        <f t="shared" si="0"/>
        <v>9832</v>
      </c>
      <c r="N9" s="16">
        <v>0</v>
      </c>
      <c r="O9" s="62">
        <f t="shared" si="1"/>
        <v>0</v>
      </c>
      <c r="P9" s="42">
        <f t="shared" si="2"/>
        <v>15</v>
      </c>
      <c r="Q9" s="43">
        <f t="shared" si="3"/>
        <v>9</v>
      </c>
      <c r="R9" s="7"/>
      <c r="S9" s="6">
        <v>9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0.99313131313131309</v>
      </c>
      <c r="AC9" s="9">
        <f t="shared" si="5"/>
        <v>0.625</v>
      </c>
      <c r="AD9" s="10">
        <f t="shared" si="6"/>
        <v>0.62070707070707065</v>
      </c>
      <c r="AE9" s="39">
        <f t="shared" si="7"/>
        <v>0.48542972736284601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163</v>
      </c>
      <c r="D10" s="55" t="s">
        <v>151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5000</v>
      </c>
      <c r="J10" s="14">
        <v>1690</v>
      </c>
      <c r="K10" s="15">
        <f>L10+1723</f>
        <v>3407</v>
      </c>
      <c r="L10" s="15">
        <v>1684</v>
      </c>
      <c r="M10" s="16">
        <f t="shared" si="0"/>
        <v>1684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>
        <v>14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0.99644970414201184</v>
      </c>
      <c r="AC10" s="9">
        <f t="shared" si="5"/>
        <v>0.41666666666666669</v>
      </c>
      <c r="AD10" s="10">
        <f t="shared" si="6"/>
        <v>0.41518737672583828</v>
      </c>
      <c r="AE10" s="39">
        <f t="shared" si="7"/>
        <v>0.48542972736284601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1000</v>
      </c>
      <c r="E11" s="56" t="s">
        <v>1001</v>
      </c>
      <c r="F11" s="12" t="s">
        <v>1002</v>
      </c>
      <c r="G11" s="12">
        <v>1</v>
      </c>
      <c r="H11" s="13">
        <v>25</v>
      </c>
      <c r="I11" s="34">
        <v>1000</v>
      </c>
      <c r="J11" s="14">
        <v>720</v>
      </c>
      <c r="K11" s="15">
        <f>L11+4246</f>
        <v>4965</v>
      </c>
      <c r="L11" s="15">
        <v>719</v>
      </c>
      <c r="M11" s="16">
        <f t="shared" si="0"/>
        <v>719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0.99861111111111112</v>
      </c>
      <c r="AC11" s="9">
        <f t="shared" si="5"/>
        <v>0.25</v>
      </c>
      <c r="AD11" s="10">
        <f t="shared" si="6"/>
        <v>0.24965277777777778</v>
      </c>
      <c r="AE11" s="39">
        <f t="shared" si="7"/>
        <v>0.48542972736284601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797</v>
      </c>
      <c r="E12" s="57" t="s">
        <v>863</v>
      </c>
      <c r="F12" s="12" t="s">
        <v>864</v>
      </c>
      <c r="G12" s="12">
        <v>1</v>
      </c>
      <c r="H12" s="13">
        <v>25</v>
      </c>
      <c r="I12" s="7">
        <v>17000</v>
      </c>
      <c r="J12" s="14">
        <v>5440</v>
      </c>
      <c r="K12" s="15">
        <f>L12+806+4510+5394+4095</f>
        <v>20238</v>
      </c>
      <c r="L12" s="15">
        <f>2662+2771</f>
        <v>5433</v>
      </c>
      <c r="M12" s="16">
        <f t="shared" si="0"/>
        <v>5433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0.9987132352941176</v>
      </c>
      <c r="AC12" s="9">
        <f t="shared" si="5"/>
        <v>1</v>
      </c>
      <c r="AD12" s="10">
        <f t="shared" si="6"/>
        <v>0.9987132352941176</v>
      </c>
      <c r="AE12" s="39">
        <f t="shared" si="7"/>
        <v>0.48542972736284601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259</v>
      </c>
      <c r="D13" s="55" t="s">
        <v>1003</v>
      </c>
      <c r="E13" s="57" t="s">
        <v>1004</v>
      </c>
      <c r="F13" s="12">
        <v>7301</v>
      </c>
      <c r="G13" s="12">
        <v>1</v>
      </c>
      <c r="H13" s="13">
        <v>25</v>
      </c>
      <c r="I13" s="7">
        <v>1000</v>
      </c>
      <c r="J13" s="14">
        <v>1040</v>
      </c>
      <c r="K13" s="15">
        <f>L13+1033</f>
        <v>1033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0.48542972736284601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865</v>
      </c>
      <c r="F14" s="33" t="s">
        <v>866</v>
      </c>
      <c r="G14" s="36">
        <v>1</v>
      </c>
      <c r="H14" s="38">
        <v>40</v>
      </c>
      <c r="I14" s="7">
        <v>200</v>
      </c>
      <c r="J14" s="5">
        <v>556</v>
      </c>
      <c r="K14" s="15">
        <f>L14+106+556</f>
        <v>662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0.48542972736284601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148</v>
      </c>
      <c r="E15" s="57" t="s">
        <v>631</v>
      </c>
      <c r="F15" s="12" t="s">
        <v>162</v>
      </c>
      <c r="G15" s="12">
        <v>1</v>
      </c>
      <c r="H15" s="13">
        <v>25</v>
      </c>
      <c r="I15" s="34">
        <v>2000</v>
      </c>
      <c r="J15" s="14">
        <v>2730</v>
      </c>
      <c r="K15" s="15">
        <f>L15+2727</f>
        <v>2727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0.48542972736284601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5700</v>
      </c>
      <c r="K16" s="15">
        <f>L16+3362</f>
        <v>9057</v>
      </c>
      <c r="L16" s="15">
        <f>2953+2742</f>
        <v>5695</v>
      </c>
      <c r="M16" s="16">
        <f t="shared" si="0"/>
        <v>5695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0.99912280701754386</v>
      </c>
      <c r="AC16" s="9">
        <f t="shared" si="5"/>
        <v>1</v>
      </c>
      <c r="AD16" s="10">
        <f t="shared" si="6"/>
        <v>0.99912280701754386</v>
      </c>
      <c r="AE16" s="39">
        <f t="shared" si="7"/>
        <v>0.48542972736284601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742</v>
      </c>
      <c r="E17" s="56" t="s">
        <v>744</v>
      </c>
      <c r="F17" s="12">
        <v>8301</v>
      </c>
      <c r="G17" s="12">
        <v>1</v>
      </c>
      <c r="H17" s="13">
        <v>25</v>
      </c>
      <c r="I17" s="34">
        <v>6500</v>
      </c>
      <c r="J17" s="5">
        <v>6520</v>
      </c>
      <c r="K17" s="15">
        <f>L17+3715+6518</f>
        <v>10233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0.48542972736284601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1009</v>
      </c>
      <c r="D18" s="55" t="s">
        <v>444</v>
      </c>
      <c r="E18" s="57" t="s">
        <v>1010</v>
      </c>
      <c r="F18" s="33" t="s">
        <v>1007</v>
      </c>
      <c r="G18" s="12">
        <v>1</v>
      </c>
      <c r="H18" s="13">
        <v>25</v>
      </c>
      <c r="I18" s="34">
        <v>40000</v>
      </c>
      <c r="J18" s="5">
        <v>5640</v>
      </c>
      <c r="K18" s="15">
        <f>L18+3100</f>
        <v>8736</v>
      </c>
      <c r="L18" s="15">
        <f>2907+2729</f>
        <v>5636</v>
      </c>
      <c r="M18" s="16">
        <f t="shared" si="0"/>
        <v>5636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0.99929078014184403</v>
      </c>
      <c r="AC18" s="9">
        <f t="shared" si="5"/>
        <v>1</v>
      </c>
      <c r="AD18" s="10">
        <f t="shared" si="6"/>
        <v>0.99929078014184403</v>
      </c>
      <c r="AE18" s="39">
        <f t="shared" si="7"/>
        <v>0.48542972736284601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40000</v>
      </c>
      <c r="J19" s="5">
        <v>5090</v>
      </c>
      <c r="K19" s="15">
        <f>L19+1752+4152</f>
        <v>10994</v>
      </c>
      <c r="L19" s="15">
        <f>2640+2450</f>
        <v>5090</v>
      </c>
      <c r="M19" s="16">
        <f t="shared" si="0"/>
        <v>5090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0.48542972736284601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869</v>
      </c>
      <c r="F20" s="12" t="s">
        <v>117</v>
      </c>
      <c r="G20" s="12">
        <v>4</v>
      </c>
      <c r="H20" s="38">
        <v>20</v>
      </c>
      <c r="I20" s="7">
        <v>200000</v>
      </c>
      <c r="J20" s="14">
        <v>59810</v>
      </c>
      <c r="K20" s="15">
        <f>L20+40792+68628+25624+56572</f>
        <v>251420</v>
      </c>
      <c r="L20" s="15">
        <f>6751*4+8200*4</f>
        <v>59804</v>
      </c>
      <c r="M20" s="16">
        <f t="shared" si="0"/>
        <v>59804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0.99989968232737003</v>
      </c>
      <c r="AC20" s="9">
        <f t="shared" si="5"/>
        <v>1</v>
      </c>
      <c r="AD20" s="10">
        <f t="shared" si="6"/>
        <v>0.99989968232737003</v>
      </c>
      <c r="AE20" s="39">
        <f t="shared" si="7"/>
        <v>0.48542972736284601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418700</v>
      </c>
      <c r="J21" s="22">
        <f t="shared" si="9"/>
        <v>115456</v>
      </c>
      <c r="K21" s="23">
        <f t="shared" si="9"/>
        <v>357935</v>
      </c>
      <c r="L21" s="24">
        <f t="shared" si="9"/>
        <v>99207</v>
      </c>
      <c r="M21" s="23">
        <f t="shared" si="9"/>
        <v>99207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175</v>
      </c>
      <c r="Q21" s="46">
        <f t="shared" si="10"/>
        <v>185</v>
      </c>
      <c r="R21" s="26">
        <f t="shared" si="10"/>
        <v>24</v>
      </c>
      <c r="S21" s="27">
        <f t="shared" si="10"/>
        <v>23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138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0.59893938757442933</v>
      </c>
      <c r="AC21" s="4">
        <f>SUM(AC6:AC20)/15</f>
        <v>0.48611111111111105</v>
      </c>
      <c r="AD21" s="4">
        <f>SUM(AD6:AD20)/15</f>
        <v>0.48542972736284601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1049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1053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379" t="s">
        <v>47</v>
      </c>
      <c r="D50" s="379" t="s">
        <v>48</v>
      </c>
      <c r="E50" s="379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379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45" t="s">
        <v>1050</v>
      </c>
      <c r="B51" s="446"/>
      <c r="C51" s="378" t="s">
        <v>160</v>
      </c>
      <c r="D51" s="375" t="s">
        <v>1051</v>
      </c>
      <c r="E51" s="378" t="s">
        <v>1047</v>
      </c>
      <c r="F51" s="437" t="s">
        <v>1016</v>
      </c>
      <c r="G51" s="437"/>
      <c r="H51" s="437"/>
      <c r="I51" s="437"/>
      <c r="J51" s="437"/>
      <c r="K51" s="437"/>
      <c r="L51" s="437"/>
      <c r="M51" s="438"/>
      <c r="N51" s="374" t="s">
        <v>1054</v>
      </c>
      <c r="O51" s="74" t="s">
        <v>1055</v>
      </c>
      <c r="P51" s="439" t="s">
        <v>1056</v>
      </c>
      <c r="Q51" s="440"/>
      <c r="R51" s="436" t="s">
        <v>1057</v>
      </c>
      <c r="S51" s="436"/>
      <c r="T51" s="436"/>
      <c r="U51" s="436"/>
      <c r="V51" s="437" t="s">
        <v>1058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259</v>
      </c>
      <c r="B52" s="446"/>
      <c r="C52" s="378" t="s">
        <v>403</v>
      </c>
      <c r="D52" s="375" t="s">
        <v>1023</v>
      </c>
      <c r="E52" s="378" t="s">
        <v>1024</v>
      </c>
      <c r="F52" s="437" t="s">
        <v>1052</v>
      </c>
      <c r="G52" s="437"/>
      <c r="H52" s="437"/>
      <c r="I52" s="437"/>
      <c r="J52" s="437"/>
      <c r="K52" s="437"/>
      <c r="L52" s="437"/>
      <c r="M52" s="438"/>
      <c r="N52" s="374" t="s">
        <v>1060</v>
      </c>
      <c r="O52" s="74" t="s">
        <v>303</v>
      </c>
      <c r="P52" s="439" t="s">
        <v>1061</v>
      </c>
      <c r="Q52" s="440"/>
      <c r="R52" s="436" t="s">
        <v>1062</v>
      </c>
      <c r="S52" s="436"/>
      <c r="T52" s="436"/>
      <c r="U52" s="436"/>
      <c r="V52" s="437" t="s">
        <v>1063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/>
      <c r="B53" s="446"/>
      <c r="C53" s="378"/>
      <c r="D53" s="375"/>
      <c r="E53" s="378"/>
      <c r="F53" s="437"/>
      <c r="G53" s="437"/>
      <c r="H53" s="437"/>
      <c r="I53" s="437"/>
      <c r="J53" s="437"/>
      <c r="K53" s="437"/>
      <c r="L53" s="437"/>
      <c r="M53" s="438"/>
      <c r="N53" s="374"/>
      <c r="O53" s="74"/>
      <c r="P53" s="439"/>
      <c r="Q53" s="440"/>
      <c r="R53" s="436"/>
      <c r="S53" s="436"/>
      <c r="T53" s="436"/>
      <c r="U53" s="436"/>
      <c r="V53" s="437"/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/>
      <c r="B54" s="446"/>
      <c r="C54" s="378"/>
      <c r="D54" s="375"/>
      <c r="E54" s="378"/>
      <c r="F54" s="437"/>
      <c r="G54" s="437"/>
      <c r="H54" s="437"/>
      <c r="I54" s="437"/>
      <c r="J54" s="437"/>
      <c r="K54" s="437"/>
      <c r="L54" s="437"/>
      <c r="M54" s="438"/>
      <c r="N54" s="374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375"/>
      <c r="D55" s="375"/>
      <c r="E55" s="378"/>
      <c r="F55" s="437"/>
      <c r="G55" s="437"/>
      <c r="H55" s="437"/>
      <c r="I55" s="437"/>
      <c r="J55" s="437"/>
      <c r="K55" s="437"/>
      <c r="L55" s="437"/>
      <c r="M55" s="438"/>
      <c r="N55" s="374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45"/>
      <c r="B56" s="446"/>
      <c r="C56" s="378"/>
      <c r="D56" s="375"/>
      <c r="E56" s="378"/>
      <c r="F56" s="437"/>
      <c r="G56" s="437"/>
      <c r="H56" s="437"/>
      <c r="I56" s="437"/>
      <c r="J56" s="437"/>
      <c r="K56" s="437"/>
      <c r="L56" s="437"/>
      <c r="M56" s="438"/>
      <c r="N56" s="374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378"/>
      <c r="D57" s="375"/>
      <c r="E57" s="378"/>
      <c r="F57" s="437"/>
      <c r="G57" s="437"/>
      <c r="H57" s="437"/>
      <c r="I57" s="437"/>
      <c r="J57" s="437"/>
      <c r="K57" s="437"/>
      <c r="L57" s="437"/>
      <c r="M57" s="438"/>
      <c r="N57" s="374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378"/>
      <c r="D58" s="375"/>
      <c r="E58" s="378"/>
      <c r="F58" s="437"/>
      <c r="G58" s="437"/>
      <c r="H58" s="437"/>
      <c r="I58" s="437"/>
      <c r="J58" s="437"/>
      <c r="K58" s="437"/>
      <c r="L58" s="437"/>
      <c r="M58" s="438"/>
      <c r="N58" s="374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375"/>
      <c r="D59" s="375"/>
      <c r="E59" s="375"/>
      <c r="F59" s="437"/>
      <c r="G59" s="437"/>
      <c r="H59" s="437"/>
      <c r="I59" s="437"/>
      <c r="J59" s="437"/>
      <c r="K59" s="437"/>
      <c r="L59" s="437"/>
      <c r="M59" s="438"/>
      <c r="N59" s="374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377"/>
      <c r="D60" s="377"/>
      <c r="E60" s="377"/>
      <c r="F60" s="443"/>
      <c r="G60" s="443"/>
      <c r="H60" s="443"/>
      <c r="I60" s="443"/>
      <c r="J60" s="443"/>
      <c r="K60" s="443"/>
      <c r="L60" s="443"/>
      <c r="M60" s="444"/>
      <c r="N60" s="376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1059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373" t="s">
        <v>2</v>
      </c>
      <c r="D62" s="373" t="s">
        <v>38</v>
      </c>
      <c r="E62" s="373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373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/>
      <c r="D63" s="369"/>
      <c r="E63" s="371"/>
      <c r="F63" s="456"/>
      <c r="G63" s="457"/>
      <c r="H63" s="457"/>
      <c r="I63" s="457"/>
      <c r="J63" s="457"/>
      <c r="K63" s="457"/>
      <c r="L63" s="457"/>
      <c r="M63" s="54"/>
      <c r="N63" s="457"/>
      <c r="O63" s="457"/>
      <c r="P63" s="458"/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/>
      <c r="D64" s="369"/>
      <c r="E64" s="371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369"/>
      <c r="E65" s="371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369"/>
      <c r="E66" s="371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369"/>
      <c r="E67" s="371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369"/>
      <c r="E68" s="371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369"/>
      <c r="E69" s="371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369"/>
      <c r="E70" s="371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1064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372" t="s">
        <v>2</v>
      </c>
      <c r="D72" s="372" t="s">
        <v>38</v>
      </c>
      <c r="E72" s="372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370" t="s">
        <v>118</v>
      </c>
      <c r="D73" s="370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369" t="s">
        <v>118</v>
      </c>
      <c r="D74" s="369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369" t="s">
        <v>163</v>
      </c>
      <c r="D75" s="369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369" t="s">
        <v>119</v>
      </c>
      <c r="D76" s="369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369" t="s">
        <v>259</v>
      </c>
      <c r="D77" s="369"/>
      <c r="E77" s="35" t="s">
        <v>1029</v>
      </c>
      <c r="F77" s="468" t="s">
        <v>1024</v>
      </c>
      <c r="G77" s="468"/>
      <c r="H77" s="468"/>
      <c r="I77" s="468"/>
      <c r="J77" s="468"/>
      <c r="K77" s="469" t="s">
        <v>1043</v>
      </c>
      <c r="L77" s="470"/>
      <c r="M77" s="470"/>
      <c r="N77" s="470"/>
      <c r="O77" s="470"/>
      <c r="P77" s="470"/>
      <c r="Q77" s="470"/>
      <c r="R77" s="470"/>
      <c r="S77" s="471"/>
      <c r="T77" s="472">
        <v>42977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369"/>
      <c r="D78" s="369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369"/>
      <c r="D79" s="369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369"/>
      <c r="D80" s="369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369"/>
      <c r="D81" s="369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1065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abSelected="1" zoomScale="72" zoomScaleNormal="72" zoomScaleSheetLayoutView="70" workbookViewId="0">
      <selection activeCell="L15" sqref="L1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2" width="7.625" style="53" bestFit="1" customWidth="1"/>
    <col min="23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94" t="s">
        <v>1066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94"/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95"/>
      <c r="B3" s="395"/>
      <c r="C3" s="395"/>
      <c r="D3" s="395"/>
      <c r="E3" s="395"/>
      <c r="F3" s="395"/>
      <c r="G3" s="39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96" t="s">
        <v>0</v>
      </c>
      <c r="B4" s="398" t="s">
        <v>1</v>
      </c>
      <c r="C4" s="398" t="s">
        <v>2</v>
      </c>
      <c r="D4" s="401" t="s">
        <v>3</v>
      </c>
      <c r="E4" s="403" t="s">
        <v>4</v>
      </c>
      <c r="F4" s="401" t="s">
        <v>5</v>
      </c>
      <c r="G4" s="398" t="s">
        <v>6</v>
      </c>
      <c r="H4" s="404" t="s">
        <v>7</v>
      </c>
      <c r="I4" s="425" t="s">
        <v>8</v>
      </c>
      <c r="J4" s="426"/>
      <c r="K4" s="426"/>
      <c r="L4" s="426"/>
      <c r="M4" s="426"/>
      <c r="N4" s="426"/>
      <c r="O4" s="427"/>
      <c r="P4" s="428" t="s">
        <v>9</v>
      </c>
      <c r="Q4" s="429"/>
      <c r="R4" s="430" t="s">
        <v>10</v>
      </c>
      <c r="S4" s="430"/>
      <c r="T4" s="430"/>
      <c r="U4" s="430"/>
      <c r="V4" s="430"/>
      <c r="W4" s="431" t="s">
        <v>11</v>
      </c>
      <c r="X4" s="430"/>
      <c r="Y4" s="430"/>
      <c r="Z4" s="430"/>
      <c r="AA4" s="432"/>
      <c r="AB4" s="433" t="s">
        <v>12</v>
      </c>
      <c r="AC4" s="406" t="s">
        <v>13</v>
      </c>
      <c r="AD4" s="406" t="s">
        <v>14</v>
      </c>
      <c r="AE4" s="58"/>
    </row>
    <row r="5" spans="1:36" ht="51" customHeight="1" thickBot="1">
      <c r="A5" s="397"/>
      <c r="B5" s="399"/>
      <c r="C5" s="400"/>
      <c r="D5" s="402"/>
      <c r="E5" s="402"/>
      <c r="F5" s="402"/>
      <c r="G5" s="399"/>
      <c r="H5" s="405"/>
      <c r="I5" s="59" t="s">
        <v>15</v>
      </c>
      <c r="J5" s="60" t="s">
        <v>16</v>
      </c>
      <c r="K5" s="381" t="s">
        <v>17</v>
      </c>
      <c r="L5" s="381" t="s">
        <v>18</v>
      </c>
      <c r="M5" s="381" t="s">
        <v>19</v>
      </c>
      <c r="N5" s="38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34"/>
      <c r="AC5" s="407"/>
      <c r="AD5" s="407"/>
      <c r="AE5" s="58"/>
    </row>
    <row r="6" spans="1:36" ht="27" customHeight="1">
      <c r="A6" s="108">
        <v>1</v>
      </c>
      <c r="B6" s="11" t="s">
        <v>59</v>
      </c>
      <c r="C6" s="11" t="s">
        <v>131</v>
      </c>
      <c r="D6" s="55" t="s">
        <v>132</v>
      </c>
      <c r="E6" s="56"/>
      <c r="F6" s="12">
        <v>7301</v>
      </c>
      <c r="G6" s="36">
        <v>1</v>
      </c>
      <c r="H6" s="38">
        <v>20</v>
      </c>
      <c r="I6" s="7">
        <v>1000</v>
      </c>
      <c r="J6" s="14">
        <v>1970</v>
      </c>
      <c r="K6" s="15">
        <f>L6+1962</f>
        <v>1962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0.52700034748560143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59</v>
      </c>
      <c r="C7" s="11" t="s">
        <v>459</v>
      </c>
      <c r="D7" s="55" t="s">
        <v>906</v>
      </c>
      <c r="E7" s="56" t="s">
        <v>907</v>
      </c>
      <c r="F7" s="12" t="s">
        <v>908</v>
      </c>
      <c r="G7" s="36">
        <v>4</v>
      </c>
      <c r="H7" s="38">
        <v>25</v>
      </c>
      <c r="I7" s="7">
        <v>5000</v>
      </c>
      <c r="J7" s="14">
        <v>3330</v>
      </c>
      <c r="K7" s="15">
        <f>L7+9916+3326</f>
        <v>13242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0.52700034748560143</v>
      </c>
      <c r="AF7" s="94">
        <f>A7</f>
        <v>2</v>
      </c>
    </row>
    <row r="8" spans="1:36" ht="27" customHeight="1">
      <c r="A8" s="109">
        <v>3</v>
      </c>
      <c r="B8" s="11" t="s">
        <v>940</v>
      </c>
      <c r="C8" s="11" t="s">
        <v>180</v>
      </c>
      <c r="D8" s="55" t="s">
        <v>997</v>
      </c>
      <c r="E8" s="56" t="s">
        <v>998</v>
      </c>
      <c r="F8" s="12" t="s">
        <v>999</v>
      </c>
      <c r="G8" s="36">
        <v>1</v>
      </c>
      <c r="H8" s="38">
        <v>25</v>
      </c>
      <c r="I8" s="7">
        <v>40000</v>
      </c>
      <c r="J8" s="14">
        <v>5310</v>
      </c>
      <c r="K8" s="15">
        <f>L8+4113+5314</f>
        <v>14731</v>
      </c>
      <c r="L8" s="15">
        <f>2785+2519</f>
        <v>5304</v>
      </c>
      <c r="M8" s="16">
        <f t="shared" si="0"/>
        <v>5304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0.9988700564971752</v>
      </c>
      <c r="AC8" s="9">
        <f t="shared" si="5"/>
        <v>1</v>
      </c>
      <c r="AD8" s="10">
        <f t="shared" si="6"/>
        <v>0.9988700564971752</v>
      </c>
      <c r="AE8" s="39">
        <f t="shared" si="7"/>
        <v>0.52700034748560143</v>
      </c>
      <c r="AF8" s="94">
        <f>A8</f>
        <v>3</v>
      </c>
    </row>
    <row r="9" spans="1:36" ht="27" customHeight="1">
      <c r="A9" s="110">
        <v>4</v>
      </c>
      <c r="B9" s="11" t="s">
        <v>59</v>
      </c>
      <c r="C9" s="11" t="s">
        <v>896</v>
      </c>
      <c r="D9" s="55" t="s">
        <v>897</v>
      </c>
      <c r="E9" s="56" t="s">
        <v>1047</v>
      </c>
      <c r="F9" s="12" t="s">
        <v>899</v>
      </c>
      <c r="G9" s="36">
        <v>4</v>
      </c>
      <c r="H9" s="38">
        <v>25</v>
      </c>
      <c r="I9" s="34">
        <v>30000</v>
      </c>
      <c r="J9" s="5">
        <v>8260</v>
      </c>
      <c r="K9" s="15">
        <f>L9+9832</f>
        <v>18084</v>
      </c>
      <c r="L9" s="15">
        <f>2063*4</f>
        <v>8252</v>
      </c>
      <c r="M9" s="16">
        <f t="shared" si="0"/>
        <v>8252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>
        <v>14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0.99903147699757866</v>
      </c>
      <c r="AC9" s="9">
        <f t="shared" si="5"/>
        <v>0.41666666666666669</v>
      </c>
      <c r="AD9" s="10">
        <f t="shared" si="6"/>
        <v>0.4162631154156578</v>
      </c>
      <c r="AE9" s="39">
        <f t="shared" si="7"/>
        <v>0.52700034748560143</v>
      </c>
      <c r="AF9" s="94">
        <f t="shared" si="8"/>
        <v>4</v>
      </c>
    </row>
    <row r="10" spans="1:36" ht="27" customHeight="1">
      <c r="A10" s="110">
        <v>5</v>
      </c>
      <c r="B10" s="11" t="s">
        <v>59</v>
      </c>
      <c r="C10" s="11" t="s">
        <v>163</v>
      </c>
      <c r="D10" s="55" t="s">
        <v>151</v>
      </c>
      <c r="E10" s="57" t="s">
        <v>484</v>
      </c>
      <c r="F10" s="12" t="s">
        <v>261</v>
      </c>
      <c r="G10" s="12">
        <v>1</v>
      </c>
      <c r="H10" s="13">
        <v>25</v>
      </c>
      <c r="I10" s="34">
        <v>5000</v>
      </c>
      <c r="J10" s="14">
        <v>4400</v>
      </c>
      <c r="K10" s="15">
        <f>L10+1723+1684</f>
        <v>7781</v>
      </c>
      <c r="L10" s="15">
        <f>2078+2296</f>
        <v>4374</v>
      </c>
      <c r="M10" s="16">
        <f t="shared" si="0"/>
        <v>4374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0.99409090909090914</v>
      </c>
      <c r="AC10" s="9">
        <f t="shared" si="5"/>
        <v>0.83333333333333337</v>
      </c>
      <c r="AD10" s="10">
        <f t="shared" si="6"/>
        <v>0.82840909090909098</v>
      </c>
      <c r="AE10" s="39">
        <f t="shared" si="7"/>
        <v>0.52700034748560143</v>
      </c>
      <c r="AF10" s="94">
        <f t="shared" si="8"/>
        <v>5</v>
      </c>
    </row>
    <row r="11" spans="1:36" ht="27" customHeight="1">
      <c r="A11" s="110">
        <v>6</v>
      </c>
      <c r="B11" s="11" t="s">
        <v>59</v>
      </c>
      <c r="C11" s="11" t="s">
        <v>118</v>
      </c>
      <c r="D11" s="55" t="s">
        <v>1000</v>
      </c>
      <c r="E11" s="56" t="s">
        <v>1001</v>
      </c>
      <c r="F11" s="12" t="s">
        <v>1002</v>
      </c>
      <c r="G11" s="12">
        <v>1</v>
      </c>
      <c r="H11" s="13">
        <v>25</v>
      </c>
      <c r="I11" s="34">
        <v>5000</v>
      </c>
      <c r="J11" s="14">
        <v>2720</v>
      </c>
      <c r="K11" s="15">
        <f>L11</f>
        <v>2712</v>
      </c>
      <c r="L11" s="15">
        <f>2712</f>
        <v>2712</v>
      </c>
      <c r="M11" s="16">
        <f t="shared" si="0"/>
        <v>2712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/>
      <c r="T11" s="17">
        <v>8</v>
      </c>
      <c r="U11" s="17"/>
      <c r="V11" s="18"/>
      <c r="W11" s="19"/>
      <c r="X11" s="17"/>
      <c r="Y11" s="20"/>
      <c r="Z11" s="20"/>
      <c r="AA11" s="21"/>
      <c r="AB11" s="8">
        <f t="shared" si="4"/>
        <v>0.99705882352941178</v>
      </c>
      <c r="AC11" s="9">
        <f t="shared" si="5"/>
        <v>0.66666666666666663</v>
      </c>
      <c r="AD11" s="10">
        <f t="shared" si="6"/>
        <v>0.66470588235294115</v>
      </c>
      <c r="AE11" s="39">
        <f t="shared" si="7"/>
        <v>0.52700034748560143</v>
      </c>
      <c r="AF11" s="94">
        <f t="shared" si="8"/>
        <v>6</v>
      </c>
    </row>
    <row r="12" spans="1:36" ht="27" customHeight="1">
      <c r="A12" s="110">
        <v>7</v>
      </c>
      <c r="B12" s="11" t="s">
        <v>59</v>
      </c>
      <c r="C12" s="11" t="s">
        <v>119</v>
      </c>
      <c r="D12" s="55" t="s">
        <v>797</v>
      </c>
      <c r="E12" s="57" t="s">
        <v>838</v>
      </c>
      <c r="F12" s="12" t="s">
        <v>864</v>
      </c>
      <c r="G12" s="12">
        <v>1</v>
      </c>
      <c r="H12" s="13">
        <v>25</v>
      </c>
      <c r="I12" s="7">
        <v>17000</v>
      </c>
      <c r="J12" s="14">
        <v>5772</v>
      </c>
      <c r="K12" s="15">
        <f>L12+806+4510+5394+4095+5433</f>
        <v>26010</v>
      </c>
      <c r="L12" s="15">
        <f>3032+2740</f>
        <v>5772</v>
      </c>
      <c r="M12" s="16">
        <f t="shared" si="0"/>
        <v>5772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0.52700034748560143</v>
      </c>
      <c r="AF12" s="94">
        <f t="shared" si="8"/>
        <v>7</v>
      </c>
    </row>
    <row r="13" spans="1:36" ht="27" customHeight="1">
      <c r="A13" s="110">
        <v>8</v>
      </c>
      <c r="B13" s="11" t="s">
        <v>59</v>
      </c>
      <c r="C13" s="11" t="s">
        <v>118</v>
      </c>
      <c r="D13" s="55" t="s">
        <v>58</v>
      </c>
      <c r="E13" s="57" t="s">
        <v>1067</v>
      </c>
      <c r="F13" s="12">
        <v>7301</v>
      </c>
      <c r="G13" s="12">
        <v>1</v>
      </c>
      <c r="H13" s="13">
        <v>25</v>
      </c>
      <c r="I13" s="7">
        <v>3000</v>
      </c>
      <c r="J13" s="14">
        <v>2220</v>
      </c>
      <c r="K13" s="15">
        <f>L13</f>
        <v>2219</v>
      </c>
      <c r="L13" s="15">
        <f>1555+664</f>
        <v>2219</v>
      </c>
      <c r="M13" s="16">
        <f t="shared" si="0"/>
        <v>2219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>
        <v>12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0.99954954954954955</v>
      </c>
      <c r="AC13" s="9">
        <f t="shared" si="5"/>
        <v>0.5</v>
      </c>
      <c r="AD13" s="10">
        <f t="shared" si="6"/>
        <v>0.49977477477477478</v>
      </c>
      <c r="AE13" s="39">
        <f t="shared" si="7"/>
        <v>0.52700034748560143</v>
      </c>
      <c r="AF13" s="94">
        <f t="shared" si="8"/>
        <v>8</v>
      </c>
    </row>
    <row r="14" spans="1:36" ht="27" customHeight="1">
      <c r="A14" s="109">
        <v>9</v>
      </c>
      <c r="B14" s="11" t="s">
        <v>59</v>
      </c>
      <c r="C14" s="37" t="s">
        <v>118</v>
      </c>
      <c r="D14" s="55" t="s">
        <v>58</v>
      </c>
      <c r="E14" s="57" t="s">
        <v>865</v>
      </c>
      <c r="F14" s="33" t="s">
        <v>866</v>
      </c>
      <c r="G14" s="36">
        <v>1</v>
      </c>
      <c r="H14" s="38">
        <v>40</v>
      </c>
      <c r="I14" s="7">
        <v>200</v>
      </c>
      <c r="J14" s="5">
        <v>556</v>
      </c>
      <c r="K14" s="15">
        <f>L14+106+556</f>
        <v>662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0.52700034748560143</v>
      </c>
      <c r="AF14" s="94">
        <f t="shared" si="8"/>
        <v>9</v>
      </c>
    </row>
    <row r="15" spans="1:36" ht="27" customHeight="1">
      <c r="A15" s="109">
        <v>10</v>
      </c>
      <c r="B15" s="11" t="s">
        <v>59</v>
      </c>
      <c r="C15" s="11" t="s">
        <v>158</v>
      </c>
      <c r="D15" s="55" t="s">
        <v>148</v>
      </c>
      <c r="E15" s="57" t="s">
        <v>631</v>
      </c>
      <c r="F15" s="12" t="s">
        <v>162</v>
      </c>
      <c r="G15" s="12">
        <v>1</v>
      </c>
      <c r="H15" s="13">
        <v>25</v>
      </c>
      <c r="I15" s="34">
        <v>2000</v>
      </c>
      <c r="J15" s="14">
        <v>2730</v>
      </c>
      <c r="K15" s="15">
        <f>L15+2727</f>
        <v>2727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0.52700034748560143</v>
      </c>
      <c r="AF15" s="94">
        <f t="shared" si="8"/>
        <v>10</v>
      </c>
    </row>
    <row r="16" spans="1:36" ht="27.75" customHeight="1">
      <c r="A16" s="109">
        <v>11</v>
      </c>
      <c r="B16" s="11" t="s">
        <v>59</v>
      </c>
      <c r="C16" s="11" t="s">
        <v>119</v>
      </c>
      <c r="D16" s="55" t="s">
        <v>129</v>
      </c>
      <c r="E16" s="56" t="s">
        <v>145</v>
      </c>
      <c r="F16" s="12">
        <v>7301</v>
      </c>
      <c r="G16" s="36">
        <v>1</v>
      </c>
      <c r="H16" s="38">
        <v>25</v>
      </c>
      <c r="I16" s="7">
        <v>30000</v>
      </c>
      <c r="J16" s="14">
        <v>3530</v>
      </c>
      <c r="K16" s="15">
        <f>L16+3362+5695</f>
        <v>12579</v>
      </c>
      <c r="L16" s="15">
        <f>804+2718</f>
        <v>3522</v>
      </c>
      <c r="M16" s="16">
        <f t="shared" si="0"/>
        <v>3522</v>
      </c>
      <c r="N16" s="16">
        <v>0</v>
      </c>
      <c r="O16" s="62">
        <f t="shared" si="1"/>
        <v>0</v>
      </c>
      <c r="P16" s="42">
        <f t="shared" si="2"/>
        <v>15</v>
      </c>
      <c r="Q16" s="43">
        <f t="shared" si="3"/>
        <v>9</v>
      </c>
      <c r="R16" s="7"/>
      <c r="S16" s="6">
        <v>9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0.99773371104815867</v>
      </c>
      <c r="AC16" s="9">
        <f t="shared" si="5"/>
        <v>0.625</v>
      </c>
      <c r="AD16" s="10">
        <f t="shared" si="6"/>
        <v>0.62358356940509918</v>
      </c>
      <c r="AE16" s="39">
        <f t="shared" si="7"/>
        <v>0.52700034748560143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59</v>
      </c>
      <c r="C17" s="37" t="s">
        <v>118</v>
      </c>
      <c r="D17" s="55" t="s">
        <v>742</v>
      </c>
      <c r="E17" s="56" t="s">
        <v>744</v>
      </c>
      <c r="F17" s="12">
        <v>8301</v>
      </c>
      <c r="G17" s="12">
        <v>1</v>
      </c>
      <c r="H17" s="13">
        <v>25</v>
      </c>
      <c r="I17" s="34">
        <v>6500</v>
      </c>
      <c r="J17" s="5">
        <v>6520</v>
      </c>
      <c r="K17" s="15">
        <f>L17+3715+6518</f>
        <v>10233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0.52700034748560143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119</v>
      </c>
      <c r="D18" s="55" t="s">
        <v>444</v>
      </c>
      <c r="E18" s="57" t="s">
        <v>1010</v>
      </c>
      <c r="F18" s="33" t="s">
        <v>140</v>
      </c>
      <c r="G18" s="12">
        <v>1</v>
      </c>
      <c r="H18" s="13">
        <v>25</v>
      </c>
      <c r="I18" s="34">
        <v>40000</v>
      </c>
      <c r="J18" s="5">
        <v>5660</v>
      </c>
      <c r="K18" s="15">
        <f>L18+3100+5636</f>
        <v>14394</v>
      </c>
      <c r="L18" s="15">
        <f>2977+2681</f>
        <v>5658</v>
      </c>
      <c r="M18" s="16">
        <f t="shared" si="0"/>
        <v>5658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0.99964664310954066</v>
      </c>
      <c r="AC18" s="9">
        <f t="shared" si="5"/>
        <v>1</v>
      </c>
      <c r="AD18" s="10">
        <f t="shared" si="6"/>
        <v>0.99964664310954066</v>
      </c>
      <c r="AE18" s="39">
        <f t="shared" si="7"/>
        <v>0.52700034748560143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119</v>
      </c>
      <c r="D19" s="55" t="s">
        <v>58</v>
      </c>
      <c r="E19" s="57" t="s">
        <v>143</v>
      </c>
      <c r="F19" s="33" t="s">
        <v>147</v>
      </c>
      <c r="G19" s="36">
        <v>1</v>
      </c>
      <c r="H19" s="38">
        <v>25</v>
      </c>
      <c r="I19" s="7">
        <v>40000</v>
      </c>
      <c r="J19" s="5">
        <v>4320</v>
      </c>
      <c r="K19" s="15">
        <f>L19+1752+4152+5090</f>
        <v>15308</v>
      </c>
      <c r="L19" s="15">
        <f>2358+1956</f>
        <v>4314</v>
      </c>
      <c r="M19" s="16">
        <f t="shared" si="0"/>
        <v>4314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0.99861111111111112</v>
      </c>
      <c r="AC19" s="9">
        <f t="shared" si="5"/>
        <v>0.875</v>
      </c>
      <c r="AD19" s="10">
        <f t="shared" si="6"/>
        <v>0.87378472222222225</v>
      </c>
      <c r="AE19" s="39">
        <f t="shared" si="7"/>
        <v>0.52700034748560143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116</v>
      </c>
      <c r="D20" s="55"/>
      <c r="E20" s="56" t="s">
        <v>844</v>
      </c>
      <c r="F20" s="12" t="s">
        <v>117</v>
      </c>
      <c r="G20" s="12">
        <v>4</v>
      </c>
      <c r="H20" s="38">
        <v>20</v>
      </c>
      <c r="I20" s="7">
        <v>200000</v>
      </c>
      <c r="J20" s="14">
        <v>61270</v>
      </c>
      <c r="K20" s="15">
        <f>L20+40792+68628+25624+56572+59804</f>
        <v>312688</v>
      </c>
      <c r="L20" s="15">
        <f>8045*4+7272*4</f>
        <v>61268</v>
      </c>
      <c r="M20" s="16">
        <f t="shared" si="0"/>
        <v>61268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0.9999673575975192</v>
      </c>
      <c r="AC20" s="9">
        <f t="shared" si="5"/>
        <v>1</v>
      </c>
      <c r="AD20" s="10">
        <f t="shared" si="6"/>
        <v>0.9999673575975192</v>
      </c>
      <c r="AE20" s="39">
        <f t="shared" si="7"/>
        <v>0.52700034748560143</v>
      </c>
      <c r="AF20" s="94">
        <f t="shared" si="8"/>
        <v>15</v>
      </c>
    </row>
    <row r="21" spans="1:32" ht="31.5" customHeight="1" thickBot="1">
      <c r="A21" s="408" t="s">
        <v>34</v>
      </c>
      <c r="B21" s="409"/>
      <c r="C21" s="409"/>
      <c r="D21" s="409"/>
      <c r="E21" s="409"/>
      <c r="F21" s="409"/>
      <c r="G21" s="409"/>
      <c r="H21" s="410"/>
      <c r="I21" s="25">
        <f t="shared" ref="I21:N21" si="9">SUM(I6:I20)</f>
        <v>424700</v>
      </c>
      <c r="J21" s="22">
        <f t="shared" si="9"/>
        <v>118568</v>
      </c>
      <c r="K21" s="23">
        <f t="shared" si="9"/>
        <v>455332</v>
      </c>
      <c r="L21" s="24">
        <f t="shared" si="9"/>
        <v>103395</v>
      </c>
      <c r="M21" s="23">
        <f t="shared" si="9"/>
        <v>103395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190</v>
      </c>
      <c r="Q21" s="46">
        <f t="shared" si="10"/>
        <v>170</v>
      </c>
      <c r="R21" s="26">
        <f t="shared" si="10"/>
        <v>24</v>
      </c>
      <c r="S21" s="27">
        <f t="shared" si="10"/>
        <v>42</v>
      </c>
      <c r="T21" s="27">
        <f t="shared" si="10"/>
        <v>8</v>
      </c>
      <c r="U21" s="27">
        <f t="shared" si="10"/>
        <v>0</v>
      </c>
      <c r="V21" s="28">
        <f t="shared" si="10"/>
        <v>0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0.66563730923539699</v>
      </c>
      <c r="AC21" s="4">
        <f>SUM(AC6:AC20)/15</f>
        <v>0.52777777777777779</v>
      </c>
      <c r="AD21" s="4">
        <f>SUM(AD6:AD20)/15</f>
        <v>0.52700034748560143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1" t="s">
        <v>46</v>
      </c>
      <c r="B48" s="411"/>
      <c r="C48" s="411"/>
      <c r="D48" s="411"/>
      <c r="E48" s="41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12" t="s">
        <v>1068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4"/>
      <c r="N49" s="415" t="s">
        <v>1079</v>
      </c>
      <c r="O49" s="416"/>
      <c r="P49" s="416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7"/>
    </row>
    <row r="50" spans="1:32" ht="27" customHeight="1">
      <c r="A50" s="418" t="s">
        <v>2</v>
      </c>
      <c r="B50" s="419"/>
      <c r="C50" s="382" t="s">
        <v>47</v>
      </c>
      <c r="D50" s="382" t="s">
        <v>48</v>
      </c>
      <c r="E50" s="382" t="s">
        <v>110</v>
      </c>
      <c r="F50" s="419" t="s">
        <v>109</v>
      </c>
      <c r="G50" s="419"/>
      <c r="H50" s="419"/>
      <c r="I50" s="419"/>
      <c r="J50" s="419"/>
      <c r="K50" s="419"/>
      <c r="L50" s="419"/>
      <c r="M50" s="420"/>
      <c r="N50" s="73" t="s">
        <v>114</v>
      </c>
      <c r="O50" s="382" t="s">
        <v>47</v>
      </c>
      <c r="P50" s="421" t="s">
        <v>48</v>
      </c>
      <c r="Q50" s="422"/>
      <c r="R50" s="421" t="s">
        <v>39</v>
      </c>
      <c r="S50" s="423"/>
      <c r="T50" s="423"/>
      <c r="U50" s="422"/>
      <c r="V50" s="421" t="s">
        <v>49</v>
      </c>
      <c r="W50" s="423"/>
      <c r="X50" s="423"/>
      <c r="Y50" s="423"/>
      <c r="Z50" s="423"/>
      <c r="AA50" s="423"/>
      <c r="AB50" s="423"/>
      <c r="AC50" s="423"/>
      <c r="AD50" s="424"/>
    </row>
    <row r="51" spans="1:32" ht="27" customHeight="1">
      <c r="A51" s="445" t="s">
        <v>1069</v>
      </c>
      <c r="B51" s="446"/>
      <c r="C51" s="387" t="s">
        <v>160</v>
      </c>
      <c r="D51" s="384" t="s">
        <v>1070</v>
      </c>
      <c r="E51" s="387" t="s">
        <v>1071</v>
      </c>
      <c r="F51" s="437" t="s">
        <v>1072</v>
      </c>
      <c r="G51" s="437"/>
      <c r="H51" s="437"/>
      <c r="I51" s="437"/>
      <c r="J51" s="437"/>
      <c r="K51" s="437"/>
      <c r="L51" s="437"/>
      <c r="M51" s="438"/>
      <c r="N51" s="383" t="s">
        <v>1080</v>
      </c>
      <c r="O51" s="74" t="s">
        <v>142</v>
      </c>
      <c r="P51" s="439" t="s">
        <v>1070</v>
      </c>
      <c r="Q51" s="440"/>
      <c r="R51" s="436" t="s">
        <v>1081</v>
      </c>
      <c r="S51" s="436"/>
      <c r="T51" s="436"/>
      <c r="U51" s="436"/>
      <c r="V51" s="437" t="s">
        <v>1082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45" t="s">
        <v>259</v>
      </c>
      <c r="B52" s="446"/>
      <c r="C52" s="387" t="s">
        <v>403</v>
      </c>
      <c r="D52" s="384" t="s">
        <v>298</v>
      </c>
      <c r="E52" s="387" t="s">
        <v>1024</v>
      </c>
      <c r="F52" s="437" t="s">
        <v>1052</v>
      </c>
      <c r="G52" s="437"/>
      <c r="H52" s="437"/>
      <c r="I52" s="437"/>
      <c r="J52" s="437"/>
      <c r="K52" s="437"/>
      <c r="L52" s="437"/>
      <c r="M52" s="438"/>
      <c r="N52" s="383" t="s">
        <v>119</v>
      </c>
      <c r="O52" s="74" t="s">
        <v>836</v>
      </c>
      <c r="P52" s="439" t="s">
        <v>1083</v>
      </c>
      <c r="Q52" s="440"/>
      <c r="R52" s="436" t="s">
        <v>1084</v>
      </c>
      <c r="S52" s="436"/>
      <c r="T52" s="436"/>
      <c r="U52" s="436"/>
      <c r="V52" s="437" t="s">
        <v>1085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45" t="s">
        <v>1073</v>
      </c>
      <c r="B53" s="446"/>
      <c r="C53" s="387" t="s">
        <v>287</v>
      </c>
      <c r="D53" s="384" t="s">
        <v>1074</v>
      </c>
      <c r="E53" s="387" t="s">
        <v>1067</v>
      </c>
      <c r="F53" s="437" t="s">
        <v>1075</v>
      </c>
      <c r="G53" s="437"/>
      <c r="H53" s="437"/>
      <c r="I53" s="437"/>
      <c r="J53" s="437"/>
      <c r="K53" s="437"/>
      <c r="L53" s="437"/>
      <c r="M53" s="438"/>
      <c r="N53" s="383" t="s">
        <v>119</v>
      </c>
      <c r="O53" s="74" t="s">
        <v>1086</v>
      </c>
      <c r="P53" s="439" t="s">
        <v>1087</v>
      </c>
      <c r="Q53" s="440"/>
      <c r="R53" s="436" t="s">
        <v>1088</v>
      </c>
      <c r="S53" s="436"/>
      <c r="T53" s="436"/>
      <c r="U53" s="436"/>
      <c r="V53" s="437" t="s">
        <v>1089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45" t="s">
        <v>119</v>
      </c>
      <c r="B54" s="446"/>
      <c r="C54" s="387" t="s">
        <v>1076</v>
      </c>
      <c r="D54" s="384" t="s">
        <v>58</v>
      </c>
      <c r="E54" s="387" t="s">
        <v>1077</v>
      </c>
      <c r="F54" s="437" t="s">
        <v>1078</v>
      </c>
      <c r="G54" s="437"/>
      <c r="H54" s="437"/>
      <c r="I54" s="437"/>
      <c r="J54" s="437"/>
      <c r="K54" s="437"/>
      <c r="L54" s="437"/>
      <c r="M54" s="438"/>
      <c r="N54" s="383"/>
      <c r="O54" s="74"/>
      <c r="P54" s="439"/>
      <c r="Q54" s="440"/>
      <c r="R54" s="436"/>
      <c r="S54" s="436"/>
      <c r="T54" s="436"/>
      <c r="U54" s="436"/>
      <c r="V54" s="437"/>
      <c r="W54" s="437"/>
      <c r="X54" s="437"/>
      <c r="Y54" s="437"/>
      <c r="Z54" s="437"/>
      <c r="AA54" s="437"/>
      <c r="AB54" s="437"/>
      <c r="AC54" s="437"/>
      <c r="AD54" s="438"/>
    </row>
    <row r="55" spans="1:32" ht="27" customHeight="1">
      <c r="A55" s="435"/>
      <c r="B55" s="436"/>
      <c r="C55" s="384"/>
      <c r="D55" s="384"/>
      <c r="E55" s="387"/>
      <c r="F55" s="437"/>
      <c r="G55" s="437"/>
      <c r="H55" s="437"/>
      <c r="I55" s="437"/>
      <c r="J55" s="437"/>
      <c r="K55" s="437"/>
      <c r="L55" s="437"/>
      <c r="M55" s="438"/>
      <c r="N55" s="383"/>
      <c r="O55" s="74"/>
      <c r="P55" s="439"/>
      <c r="Q55" s="440"/>
      <c r="R55" s="436"/>
      <c r="S55" s="436"/>
      <c r="T55" s="436"/>
      <c r="U55" s="436"/>
      <c r="V55" s="437"/>
      <c r="W55" s="437"/>
      <c r="X55" s="437"/>
      <c r="Y55" s="437"/>
      <c r="Z55" s="437"/>
      <c r="AA55" s="437"/>
      <c r="AB55" s="437"/>
      <c r="AC55" s="437"/>
      <c r="AD55" s="438"/>
    </row>
    <row r="56" spans="1:32" ht="27" customHeight="1">
      <c r="A56" s="445"/>
      <c r="B56" s="446"/>
      <c r="C56" s="387"/>
      <c r="D56" s="384"/>
      <c r="E56" s="387"/>
      <c r="F56" s="437"/>
      <c r="G56" s="437"/>
      <c r="H56" s="437"/>
      <c r="I56" s="437"/>
      <c r="J56" s="437"/>
      <c r="K56" s="437"/>
      <c r="L56" s="437"/>
      <c r="M56" s="438"/>
      <c r="N56" s="383"/>
      <c r="O56" s="74"/>
      <c r="P56" s="436"/>
      <c r="Q56" s="436"/>
      <c r="R56" s="436"/>
      <c r="S56" s="436"/>
      <c r="T56" s="436"/>
      <c r="U56" s="436"/>
      <c r="V56" s="437"/>
      <c r="W56" s="437"/>
      <c r="X56" s="437"/>
      <c r="Y56" s="437"/>
      <c r="Z56" s="437"/>
      <c r="AA56" s="437"/>
      <c r="AB56" s="437"/>
      <c r="AC56" s="437"/>
      <c r="AD56" s="438"/>
    </row>
    <row r="57" spans="1:32" ht="27" customHeight="1">
      <c r="A57" s="445"/>
      <c r="B57" s="446"/>
      <c r="C57" s="387"/>
      <c r="D57" s="384"/>
      <c r="E57" s="387"/>
      <c r="F57" s="437"/>
      <c r="G57" s="437"/>
      <c r="H57" s="437"/>
      <c r="I57" s="437"/>
      <c r="J57" s="437"/>
      <c r="K57" s="437"/>
      <c r="L57" s="437"/>
      <c r="M57" s="438"/>
      <c r="N57" s="383"/>
      <c r="O57" s="74"/>
      <c r="P57" s="439"/>
      <c r="Q57" s="440"/>
      <c r="R57" s="436"/>
      <c r="S57" s="436"/>
      <c r="T57" s="436"/>
      <c r="U57" s="436"/>
      <c r="V57" s="437"/>
      <c r="W57" s="437"/>
      <c r="X57" s="437"/>
      <c r="Y57" s="437"/>
      <c r="Z57" s="437"/>
      <c r="AA57" s="437"/>
      <c r="AB57" s="437"/>
      <c r="AC57" s="437"/>
      <c r="AD57" s="438"/>
    </row>
    <row r="58" spans="1:32" ht="27" customHeight="1">
      <c r="A58" s="445"/>
      <c r="B58" s="446"/>
      <c r="C58" s="387"/>
      <c r="D58" s="384"/>
      <c r="E58" s="387"/>
      <c r="F58" s="437"/>
      <c r="G58" s="437"/>
      <c r="H58" s="437"/>
      <c r="I58" s="437"/>
      <c r="J58" s="437"/>
      <c r="K58" s="437"/>
      <c r="L58" s="437"/>
      <c r="M58" s="438"/>
      <c r="N58" s="383"/>
      <c r="O58" s="74"/>
      <c r="P58" s="436"/>
      <c r="Q58" s="436"/>
      <c r="R58" s="436"/>
      <c r="S58" s="436"/>
      <c r="T58" s="436"/>
      <c r="U58" s="436"/>
      <c r="V58" s="437"/>
      <c r="W58" s="437"/>
      <c r="X58" s="437"/>
      <c r="Y58" s="437"/>
      <c r="Z58" s="437"/>
      <c r="AA58" s="437"/>
      <c r="AB58" s="437"/>
      <c r="AC58" s="437"/>
      <c r="AD58" s="438"/>
    </row>
    <row r="59" spans="1:32" ht="27" customHeight="1">
      <c r="A59" s="435"/>
      <c r="B59" s="436"/>
      <c r="C59" s="384"/>
      <c r="D59" s="384"/>
      <c r="E59" s="384"/>
      <c r="F59" s="437"/>
      <c r="G59" s="437"/>
      <c r="H59" s="437"/>
      <c r="I59" s="437"/>
      <c r="J59" s="437"/>
      <c r="K59" s="437"/>
      <c r="L59" s="437"/>
      <c r="M59" s="438"/>
      <c r="N59" s="383"/>
      <c r="O59" s="74"/>
      <c r="P59" s="436"/>
      <c r="Q59" s="436"/>
      <c r="R59" s="436"/>
      <c r="S59" s="436"/>
      <c r="T59" s="436"/>
      <c r="U59" s="436"/>
      <c r="V59" s="437"/>
      <c r="W59" s="437"/>
      <c r="X59" s="437"/>
      <c r="Y59" s="437"/>
      <c r="Z59" s="437"/>
      <c r="AA59" s="437"/>
      <c r="AB59" s="437"/>
      <c r="AC59" s="437"/>
      <c r="AD59" s="438"/>
      <c r="AF59" s="94">
        <f>8*3000</f>
        <v>24000</v>
      </c>
    </row>
    <row r="60" spans="1:32" ht="27" customHeight="1" thickBot="1">
      <c r="A60" s="441"/>
      <c r="B60" s="442"/>
      <c r="C60" s="386"/>
      <c r="D60" s="386"/>
      <c r="E60" s="386"/>
      <c r="F60" s="443"/>
      <c r="G60" s="443"/>
      <c r="H60" s="443"/>
      <c r="I60" s="443"/>
      <c r="J60" s="443"/>
      <c r="K60" s="443"/>
      <c r="L60" s="443"/>
      <c r="M60" s="444"/>
      <c r="N60" s="385"/>
      <c r="O60" s="121"/>
      <c r="P60" s="442"/>
      <c r="Q60" s="442"/>
      <c r="R60" s="442"/>
      <c r="S60" s="442"/>
      <c r="T60" s="442"/>
      <c r="U60" s="442"/>
      <c r="V60" s="443"/>
      <c r="W60" s="443"/>
      <c r="X60" s="443"/>
      <c r="Y60" s="443"/>
      <c r="Z60" s="443"/>
      <c r="AA60" s="443"/>
      <c r="AB60" s="443"/>
      <c r="AC60" s="443"/>
      <c r="AD60" s="444"/>
      <c r="AF60" s="94">
        <f>16*3000</f>
        <v>48000</v>
      </c>
    </row>
    <row r="61" spans="1:32" ht="27.75" thickBot="1">
      <c r="A61" s="447" t="s">
        <v>1090</v>
      </c>
      <c r="B61" s="447"/>
      <c r="C61" s="447"/>
      <c r="D61" s="447"/>
      <c r="E61" s="44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8" t="s">
        <v>115</v>
      </c>
      <c r="B62" s="449"/>
      <c r="C62" s="388" t="s">
        <v>2</v>
      </c>
      <c r="D62" s="388" t="s">
        <v>38</v>
      </c>
      <c r="E62" s="388" t="s">
        <v>3</v>
      </c>
      <c r="F62" s="449" t="s">
        <v>112</v>
      </c>
      <c r="G62" s="449"/>
      <c r="H62" s="449"/>
      <c r="I62" s="449"/>
      <c r="J62" s="449"/>
      <c r="K62" s="449" t="s">
        <v>40</v>
      </c>
      <c r="L62" s="449"/>
      <c r="M62" s="388" t="s">
        <v>41</v>
      </c>
      <c r="N62" s="449" t="s">
        <v>42</v>
      </c>
      <c r="O62" s="449"/>
      <c r="P62" s="450" t="s">
        <v>43</v>
      </c>
      <c r="Q62" s="451"/>
      <c r="R62" s="450" t="s">
        <v>44</v>
      </c>
      <c r="S62" s="452"/>
      <c r="T62" s="452"/>
      <c r="U62" s="452"/>
      <c r="V62" s="452"/>
      <c r="W62" s="452"/>
      <c r="X62" s="452"/>
      <c r="Y62" s="452"/>
      <c r="Z62" s="452"/>
      <c r="AA62" s="451"/>
      <c r="AB62" s="449" t="s">
        <v>45</v>
      </c>
      <c r="AC62" s="449"/>
      <c r="AD62" s="453"/>
      <c r="AF62" s="94">
        <f>SUM(AF59:AF61)</f>
        <v>96000</v>
      </c>
    </row>
    <row r="63" spans="1:32" ht="25.5" customHeight="1">
      <c r="A63" s="454">
        <v>1</v>
      </c>
      <c r="B63" s="455"/>
      <c r="C63" s="124"/>
      <c r="D63" s="391"/>
      <c r="E63" s="389"/>
      <c r="F63" s="456"/>
      <c r="G63" s="457"/>
      <c r="H63" s="457"/>
      <c r="I63" s="457"/>
      <c r="J63" s="457"/>
      <c r="K63" s="457"/>
      <c r="L63" s="457"/>
      <c r="M63" s="54"/>
      <c r="N63" s="457"/>
      <c r="O63" s="457"/>
      <c r="P63" s="458"/>
      <c r="Q63" s="458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57"/>
      <c r="AC63" s="457"/>
      <c r="AD63" s="459"/>
      <c r="AF63" s="53"/>
    </row>
    <row r="64" spans="1:32" ht="25.5" customHeight="1">
      <c r="A64" s="454">
        <v>2</v>
      </c>
      <c r="B64" s="455"/>
      <c r="C64" s="124"/>
      <c r="D64" s="391"/>
      <c r="E64" s="389"/>
      <c r="F64" s="456"/>
      <c r="G64" s="457"/>
      <c r="H64" s="457"/>
      <c r="I64" s="457"/>
      <c r="J64" s="457"/>
      <c r="K64" s="457"/>
      <c r="L64" s="457"/>
      <c r="M64" s="54"/>
      <c r="N64" s="457"/>
      <c r="O64" s="457"/>
      <c r="P64" s="458"/>
      <c r="Q64" s="458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57"/>
      <c r="AC64" s="457"/>
      <c r="AD64" s="459"/>
      <c r="AF64" s="53"/>
    </row>
    <row r="65" spans="1:32" ht="25.5" customHeight="1">
      <c r="A65" s="454">
        <v>3</v>
      </c>
      <c r="B65" s="455"/>
      <c r="C65" s="124"/>
      <c r="D65" s="391"/>
      <c r="E65" s="389"/>
      <c r="F65" s="456"/>
      <c r="G65" s="457"/>
      <c r="H65" s="457"/>
      <c r="I65" s="457"/>
      <c r="J65" s="457"/>
      <c r="K65" s="457"/>
      <c r="L65" s="457"/>
      <c r="M65" s="54"/>
      <c r="N65" s="457"/>
      <c r="O65" s="457"/>
      <c r="P65" s="458"/>
      <c r="Q65" s="458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57"/>
      <c r="AC65" s="457"/>
      <c r="AD65" s="459"/>
      <c r="AF65" s="53"/>
    </row>
    <row r="66" spans="1:32" ht="25.5" customHeight="1">
      <c r="A66" s="454">
        <v>4</v>
      </c>
      <c r="B66" s="455"/>
      <c r="C66" s="124"/>
      <c r="D66" s="391"/>
      <c r="E66" s="389"/>
      <c r="F66" s="456"/>
      <c r="G66" s="457"/>
      <c r="H66" s="457"/>
      <c r="I66" s="457"/>
      <c r="J66" s="457"/>
      <c r="K66" s="457"/>
      <c r="L66" s="457"/>
      <c r="M66" s="54"/>
      <c r="N66" s="457"/>
      <c r="O66" s="457"/>
      <c r="P66" s="458"/>
      <c r="Q66" s="458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57"/>
      <c r="AC66" s="457"/>
      <c r="AD66" s="459"/>
      <c r="AF66" s="53"/>
    </row>
    <row r="67" spans="1:32" ht="25.5" customHeight="1">
      <c r="A67" s="454">
        <v>5</v>
      </c>
      <c r="B67" s="455"/>
      <c r="C67" s="124"/>
      <c r="D67" s="391"/>
      <c r="E67" s="389"/>
      <c r="F67" s="456"/>
      <c r="G67" s="457"/>
      <c r="H67" s="457"/>
      <c r="I67" s="457"/>
      <c r="J67" s="457"/>
      <c r="K67" s="457"/>
      <c r="L67" s="457"/>
      <c r="M67" s="54"/>
      <c r="N67" s="457"/>
      <c r="O67" s="457"/>
      <c r="P67" s="458"/>
      <c r="Q67" s="458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57"/>
      <c r="AC67" s="457"/>
      <c r="AD67" s="459"/>
      <c r="AF67" s="53"/>
    </row>
    <row r="68" spans="1:32" ht="25.5" customHeight="1">
      <c r="A68" s="454">
        <v>6</v>
      </c>
      <c r="B68" s="455"/>
      <c r="C68" s="124"/>
      <c r="D68" s="391"/>
      <c r="E68" s="389"/>
      <c r="F68" s="456"/>
      <c r="G68" s="457"/>
      <c r="H68" s="457"/>
      <c r="I68" s="457"/>
      <c r="J68" s="457"/>
      <c r="K68" s="457"/>
      <c r="L68" s="457"/>
      <c r="M68" s="54"/>
      <c r="N68" s="457"/>
      <c r="O68" s="457"/>
      <c r="P68" s="458"/>
      <c r="Q68" s="458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57"/>
      <c r="AC68" s="457"/>
      <c r="AD68" s="459"/>
      <c r="AF68" s="53"/>
    </row>
    <row r="69" spans="1:32" ht="25.5" customHeight="1">
      <c r="A69" s="454">
        <v>7</v>
      </c>
      <c r="B69" s="455"/>
      <c r="C69" s="124"/>
      <c r="D69" s="391"/>
      <c r="E69" s="389"/>
      <c r="F69" s="456"/>
      <c r="G69" s="457"/>
      <c r="H69" s="457"/>
      <c r="I69" s="457"/>
      <c r="J69" s="457"/>
      <c r="K69" s="457"/>
      <c r="L69" s="457"/>
      <c r="M69" s="54"/>
      <c r="N69" s="457"/>
      <c r="O69" s="457"/>
      <c r="P69" s="458"/>
      <c r="Q69" s="458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57"/>
      <c r="AC69" s="457"/>
      <c r="AD69" s="459"/>
      <c r="AF69" s="53"/>
    </row>
    <row r="70" spans="1:32" ht="25.5" customHeight="1">
      <c r="A70" s="454">
        <v>8</v>
      </c>
      <c r="B70" s="455"/>
      <c r="C70" s="124"/>
      <c r="D70" s="391"/>
      <c r="E70" s="389"/>
      <c r="F70" s="456"/>
      <c r="G70" s="457"/>
      <c r="H70" s="457"/>
      <c r="I70" s="457"/>
      <c r="J70" s="457"/>
      <c r="K70" s="457"/>
      <c r="L70" s="457"/>
      <c r="M70" s="54"/>
      <c r="N70" s="457"/>
      <c r="O70" s="457"/>
      <c r="P70" s="458"/>
      <c r="Q70" s="458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57"/>
      <c r="AC70" s="457"/>
      <c r="AD70" s="459"/>
      <c r="AF70" s="53"/>
    </row>
    <row r="71" spans="1:32" ht="26.25" customHeight="1" thickBot="1">
      <c r="A71" s="460" t="s">
        <v>1091</v>
      </c>
      <c r="B71" s="460"/>
      <c r="C71" s="460"/>
      <c r="D71" s="460"/>
      <c r="E71" s="46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1" t="s">
        <v>115</v>
      </c>
      <c r="B72" s="462"/>
      <c r="C72" s="390" t="s">
        <v>2</v>
      </c>
      <c r="D72" s="390" t="s">
        <v>38</v>
      </c>
      <c r="E72" s="390" t="s">
        <v>3</v>
      </c>
      <c r="F72" s="462" t="s">
        <v>39</v>
      </c>
      <c r="G72" s="462"/>
      <c r="H72" s="462"/>
      <c r="I72" s="462"/>
      <c r="J72" s="462"/>
      <c r="K72" s="463" t="s">
        <v>60</v>
      </c>
      <c r="L72" s="464"/>
      <c r="M72" s="464"/>
      <c r="N72" s="464"/>
      <c r="O72" s="464"/>
      <c r="P72" s="464"/>
      <c r="Q72" s="464"/>
      <c r="R72" s="464"/>
      <c r="S72" s="465"/>
      <c r="T72" s="462" t="s">
        <v>50</v>
      </c>
      <c r="U72" s="462"/>
      <c r="V72" s="463" t="s">
        <v>51</v>
      </c>
      <c r="W72" s="465"/>
      <c r="X72" s="464" t="s">
        <v>52</v>
      </c>
      <c r="Y72" s="464"/>
      <c r="Z72" s="464"/>
      <c r="AA72" s="464"/>
      <c r="AB72" s="464"/>
      <c r="AC72" s="464"/>
      <c r="AD72" s="466"/>
      <c r="AF72" s="53"/>
    </row>
    <row r="73" spans="1:32" ht="33.75" customHeight="1">
      <c r="A73" s="475">
        <v>1</v>
      </c>
      <c r="B73" s="476"/>
      <c r="C73" s="392" t="s">
        <v>118</v>
      </c>
      <c r="D73" s="392"/>
      <c r="E73" s="71" t="s">
        <v>126</v>
      </c>
      <c r="F73" s="477" t="s">
        <v>127</v>
      </c>
      <c r="G73" s="478"/>
      <c r="H73" s="478"/>
      <c r="I73" s="478"/>
      <c r="J73" s="479"/>
      <c r="K73" s="480" t="s">
        <v>120</v>
      </c>
      <c r="L73" s="481"/>
      <c r="M73" s="481"/>
      <c r="N73" s="481"/>
      <c r="O73" s="481"/>
      <c r="P73" s="481"/>
      <c r="Q73" s="481"/>
      <c r="R73" s="481"/>
      <c r="S73" s="482"/>
      <c r="T73" s="483">
        <v>42901</v>
      </c>
      <c r="U73" s="484"/>
      <c r="V73" s="485"/>
      <c r="W73" s="485"/>
      <c r="X73" s="486"/>
      <c r="Y73" s="486"/>
      <c r="Z73" s="486"/>
      <c r="AA73" s="486"/>
      <c r="AB73" s="486"/>
      <c r="AC73" s="486"/>
      <c r="AD73" s="487"/>
      <c r="AF73" s="53"/>
    </row>
    <row r="74" spans="1:32" ht="30" customHeight="1">
      <c r="A74" s="467">
        <f>A73+1</f>
        <v>2</v>
      </c>
      <c r="B74" s="468"/>
      <c r="C74" s="391" t="s">
        <v>118</v>
      </c>
      <c r="D74" s="391"/>
      <c r="E74" s="35" t="s">
        <v>123</v>
      </c>
      <c r="F74" s="468" t="s">
        <v>124</v>
      </c>
      <c r="G74" s="468"/>
      <c r="H74" s="468"/>
      <c r="I74" s="468"/>
      <c r="J74" s="468"/>
      <c r="K74" s="469" t="s">
        <v>125</v>
      </c>
      <c r="L74" s="470"/>
      <c r="M74" s="470"/>
      <c r="N74" s="470"/>
      <c r="O74" s="470"/>
      <c r="P74" s="470"/>
      <c r="Q74" s="470"/>
      <c r="R74" s="470"/>
      <c r="S74" s="471"/>
      <c r="T74" s="472">
        <v>42867</v>
      </c>
      <c r="U74" s="472"/>
      <c r="V74" s="472"/>
      <c r="W74" s="472"/>
      <c r="X74" s="473"/>
      <c r="Y74" s="473"/>
      <c r="Z74" s="473"/>
      <c r="AA74" s="473"/>
      <c r="AB74" s="473"/>
      <c r="AC74" s="473"/>
      <c r="AD74" s="474"/>
      <c r="AF74" s="53"/>
    </row>
    <row r="75" spans="1:32" ht="30" customHeight="1">
      <c r="A75" s="467">
        <f t="shared" ref="A75:A81" si="11">A74+1</f>
        <v>3</v>
      </c>
      <c r="B75" s="468"/>
      <c r="C75" s="391" t="s">
        <v>163</v>
      </c>
      <c r="D75" s="391"/>
      <c r="E75" s="35" t="s">
        <v>151</v>
      </c>
      <c r="F75" s="468" t="s">
        <v>168</v>
      </c>
      <c r="G75" s="468"/>
      <c r="H75" s="468"/>
      <c r="I75" s="468"/>
      <c r="J75" s="468"/>
      <c r="K75" s="469" t="s">
        <v>120</v>
      </c>
      <c r="L75" s="470"/>
      <c r="M75" s="470"/>
      <c r="N75" s="470"/>
      <c r="O75" s="470"/>
      <c r="P75" s="470"/>
      <c r="Q75" s="470"/>
      <c r="R75" s="470"/>
      <c r="S75" s="471"/>
      <c r="T75" s="472">
        <v>42937</v>
      </c>
      <c r="U75" s="472"/>
      <c r="V75" s="472"/>
      <c r="W75" s="472"/>
      <c r="X75" s="473"/>
      <c r="Y75" s="473"/>
      <c r="Z75" s="473"/>
      <c r="AA75" s="473"/>
      <c r="AB75" s="473"/>
      <c r="AC75" s="473"/>
      <c r="AD75" s="474"/>
      <c r="AF75" s="53"/>
    </row>
    <row r="76" spans="1:32" ht="30" customHeight="1">
      <c r="A76" s="467">
        <f t="shared" si="11"/>
        <v>4</v>
      </c>
      <c r="B76" s="468"/>
      <c r="C76" s="391" t="s">
        <v>119</v>
      </c>
      <c r="D76" s="391"/>
      <c r="E76" s="35" t="s">
        <v>148</v>
      </c>
      <c r="F76" s="468" t="s">
        <v>149</v>
      </c>
      <c r="G76" s="468"/>
      <c r="H76" s="468"/>
      <c r="I76" s="468"/>
      <c r="J76" s="468"/>
      <c r="K76" s="469" t="s">
        <v>153</v>
      </c>
      <c r="L76" s="470"/>
      <c r="M76" s="470"/>
      <c r="N76" s="470"/>
      <c r="O76" s="470"/>
      <c r="P76" s="470"/>
      <c r="Q76" s="470"/>
      <c r="R76" s="470"/>
      <c r="S76" s="471"/>
      <c r="T76" s="472">
        <v>42920</v>
      </c>
      <c r="U76" s="472"/>
      <c r="V76" s="472"/>
      <c r="W76" s="472"/>
      <c r="X76" s="473"/>
      <c r="Y76" s="473"/>
      <c r="Z76" s="473"/>
      <c r="AA76" s="473"/>
      <c r="AB76" s="473"/>
      <c r="AC76" s="473"/>
      <c r="AD76" s="474"/>
      <c r="AF76" s="53"/>
    </row>
    <row r="77" spans="1:32" ht="30" customHeight="1">
      <c r="A77" s="467">
        <f t="shared" si="11"/>
        <v>5</v>
      </c>
      <c r="B77" s="468"/>
      <c r="C77" s="391" t="s">
        <v>259</v>
      </c>
      <c r="D77" s="391"/>
      <c r="E77" s="35" t="s">
        <v>298</v>
      </c>
      <c r="F77" s="468" t="s">
        <v>1024</v>
      </c>
      <c r="G77" s="468"/>
      <c r="H77" s="468"/>
      <c r="I77" s="468"/>
      <c r="J77" s="468"/>
      <c r="K77" s="469" t="s">
        <v>1043</v>
      </c>
      <c r="L77" s="470"/>
      <c r="M77" s="470"/>
      <c r="N77" s="470"/>
      <c r="O77" s="470"/>
      <c r="P77" s="470"/>
      <c r="Q77" s="470"/>
      <c r="R77" s="470"/>
      <c r="S77" s="471"/>
      <c r="T77" s="472">
        <v>42979</v>
      </c>
      <c r="U77" s="472"/>
      <c r="V77" s="472"/>
      <c r="W77" s="472"/>
      <c r="X77" s="473"/>
      <c r="Y77" s="473"/>
      <c r="Z77" s="473"/>
      <c r="AA77" s="473"/>
      <c r="AB77" s="473"/>
      <c r="AC77" s="473"/>
      <c r="AD77" s="474"/>
      <c r="AF77" s="53"/>
    </row>
    <row r="78" spans="1:32" ht="30" customHeight="1">
      <c r="A78" s="467">
        <f t="shared" si="11"/>
        <v>6</v>
      </c>
      <c r="B78" s="468"/>
      <c r="C78" s="391"/>
      <c r="D78" s="391"/>
      <c r="E78" s="35"/>
      <c r="F78" s="468"/>
      <c r="G78" s="468"/>
      <c r="H78" s="468"/>
      <c r="I78" s="468"/>
      <c r="J78" s="468"/>
      <c r="K78" s="469"/>
      <c r="L78" s="470"/>
      <c r="M78" s="470"/>
      <c r="N78" s="470"/>
      <c r="O78" s="470"/>
      <c r="P78" s="470"/>
      <c r="Q78" s="470"/>
      <c r="R78" s="470"/>
      <c r="S78" s="471"/>
      <c r="T78" s="472"/>
      <c r="U78" s="472"/>
      <c r="V78" s="472"/>
      <c r="W78" s="472"/>
      <c r="X78" s="473"/>
      <c r="Y78" s="473"/>
      <c r="Z78" s="473"/>
      <c r="AA78" s="473"/>
      <c r="AB78" s="473"/>
      <c r="AC78" s="473"/>
      <c r="AD78" s="474"/>
      <c r="AF78" s="53"/>
    </row>
    <row r="79" spans="1:32" ht="30" customHeight="1">
      <c r="A79" s="467">
        <f t="shared" si="11"/>
        <v>7</v>
      </c>
      <c r="B79" s="468"/>
      <c r="C79" s="391"/>
      <c r="D79" s="391"/>
      <c r="E79" s="35"/>
      <c r="F79" s="468"/>
      <c r="G79" s="468"/>
      <c r="H79" s="468"/>
      <c r="I79" s="468"/>
      <c r="J79" s="468"/>
      <c r="K79" s="469"/>
      <c r="L79" s="470"/>
      <c r="M79" s="470"/>
      <c r="N79" s="470"/>
      <c r="O79" s="470"/>
      <c r="P79" s="470"/>
      <c r="Q79" s="470"/>
      <c r="R79" s="470"/>
      <c r="S79" s="471"/>
      <c r="T79" s="472"/>
      <c r="U79" s="472"/>
      <c r="V79" s="472"/>
      <c r="W79" s="472"/>
      <c r="X79" s="473"/>
      <c r="Y79" s="473"/>
      <c r="Z79" s="473"/>
      <c r="AA79" s="473"/>
      <c r="AB79" s="473"/>
      <c r="AC79" s="473"/>
      <c r="AD79" s="474"/>
      <c r="AF79" s="53"/>
    </row>
    <row r="80" spans="1:32" ht="30" customHeight="1">
      <c r="A80" s="467">
        <f t="shared" si="11"/>
        <v>8</v>
      </c>
      <c r="B80" s="468"/>
      <c r="C80" s="391"/>
      <c r="D80" s="391"/>
      <c r="E80" s="35"/>
      <c r="F80" s="468"/>
      <c r="G80" s="468"/>
      <c r="H80" s="468"/>
      <c r="I80" s="468"/>
      <c r="J80" s="468"/>
      <c r="K80" s="469"/>
      <c r="L80" s="470"/>
      <c r="M80" s="470"/>
      <c r="N80" s="470"/>
      <c r="O80" s="470"/>
      <c r="P80" s="470"/>
      <c r="Q80" s="470"/>
      <c r="R80" s="470"/>
      <c r="S80" s="471"/>
      <c r="T80" s="472"/>
      <c r="U80" s="472"/>
      <c r="V80" s="472"/>
      <c r="W80" s="472"/>
      <c r="X80" s="473"/>
      <c r="Y80" s="473"/>
      <c r="Z80" s="473"/>
      <c r="AA80" s="473"/>
      <c r="AB80" s="473"/>
      <c r="AC80" s="473"/>
      <c r="AD80" s="474"/>
      <c r="AF80" s="53"/>
    </row>
    <row r="81" spans="1:32" ht="30" customHeight="1">
      <c r="A81" s="467">
        <f t="shared" si="11"/>
        <v>9</v>
      </c>
      <c r="B81" s="468"/>
      <c r="C81" s="391"/>
      <c r="D81" s="391"/>
      <c r="E81" s="35"/>
      <c r="F81" s="468"/>
      <c r="G81" s="468"/>
      <c r="H81" s="468"/>
      <c r="I81" s="468"/>
      <c r="J81" s="468"/>
      <c r="K81" s="469"/>
      <c r="L81" s="470"/>
      <c r="M81" s="470"/>
      <c r="N81" s="470"/>
      <c r="O81" s="470"/>
      <c r="P81" s="470"/>
      <c r="Q81" s="470"/>
      <c r="R81" s="470"/>
      <c r="S81" s="471"/>
      <c r="T81" s="472"/>
      <c r="U81" s="472"/>
      <c r="V81" s="472"/>
      <c r="W81" s="472"/>
      <c r="X81" s="473"/>
      <c r="Y81" s="473"/>
      <c r="Z81" s="473"/>
      <c r="AA81" s="473"/>
      <c r="AB81" s="473"/>
      <c r="AC81" s="473"/>
      <c r="AD81" s="474"/>
      <c r="AF81" s="53"/>
    </row>
    <row r="82" spans="1:32" ht="36" thickBot="1">
      <c r="A82" s="460" t="s">
        <v>1092</v>
      </c>
      <c r="B82" s="460"/>
      <c r="C82" s="460"/>
      <c r="D82" s="460"/>
      <c r="E82" s="46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88" t="s">
        <v>37</v>
      </c>
      <c r="B83" s="489"/>
      <c r="C83" s="489" t="s">
        <v>53</v>
      </c>
      <c r="D83" s="489"/>
      <c r="E83" s="489" t="s">
        <v>54</v>
      </c>
      <c r="F83" s="489"/>
      <c r="G83" s="489"/>
      <c r="H83" s="489"/>
      <c r="I83" s="489"/>
      <c r="J83" s="489"/>
      <c r="K83" s="489" t="s">
        <v>55</v>
      </c>
      <c r="L83" s="489"/>
      <c r="M83" s="489"/>
      <c r="N83" s="489"/>
      <c r="O83" s="489"/>
      <c r="P83" s="489"/>
      <c r="Q83" s="489"/>
      <c r="R83" s="489"/>
      <c r="S83" s="489"/>
      <c r="T83" s="489" t="s">
        <v>56</v>
      </c>
      <c r="U83" s="489"/>
      <c r="V83" s="489" t="s">
        <v>57</v>
      </c>
      <c r="W83" s="489"/>
      <c r="X83" s="489"/>
      <c r="Y83" s="489" t="s">
        <v>52</v>
      </c>
      <c r="Z83" s="489"/>
      <c r="AA83" s="489"/>
      <c r="AB83" s="489"/>
      <c r="AC83" s="489"/>
      <c r="AD83" s="490"/>
      <c r="AF83" s="53"/>
    </row>
    <row r="84" spans="1:32" ht="30.75" customHeight="1">
      <c r="A84" s="475">
        <v>1</v>
      </c>
      <c r="B84" s="476"/>
      <c r="C84" s="491">
        <v>1</v>
      </c>
      <c r="D84" s="491"/>
      <c r="E84" s="491" t="s">
        <v>133</v>
      </c>
      <c r="F84" s="491"/>
      <c r="G84" s="491"/>
      <c r="H84" s="491"/>
      <c r="I84" s="491"/>
      <c r="J84" s="491"/>
      <c r="K84" s="491" t="s">
        <v>134</v>
      </c>
      <c r="L84" s="491"/>
      <c r="M84" s="491"/>
      <c r="N84" s="491"/>
      <c r="O84" s="491"/>
      <c r="P84" s="491"/>
      <c r="Q84" s="491"/>
      <c r="R84" s="491"/>
      <c r="S84" s="491"/>
      <c r="T84" s="491" t="s">
        <v>135</v>
      </c>
      <c r="U84" s="491"/>
      <c r="V84" s="492">
        <v>1500000</v>
      </c>
      <c r="W84" s="492"/>
      <c r="X84" s="492"/>
      <c r="Y84" s="493" t="s">
        <v>136</v>
      </c>
      <c r="Z84" s="493"/>
      <c r="AA84" s="493"/>
      <c r="AB84" s="493"/>
      <c r="AC84" s="493"/>
      <c r="AD84" s="494"/>
      <c r="AF84" s="53"/>
    </row>
    <row r="85" spans="1:32" ht="30.75" customHeight="1">
      <c r="A85" s="467">
        <v>2</v>
      </c>
      <c r="B85" s="468"/>
      <c r="C85" s="502"/>
      <c r="D85" s="502"/>
      <c r="E85" s="502"/>
      <c r="F85" s="502"/>
      <c r="G85" s="502"/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3"/>
      <c r="U85" s="503"/>
      <c r="V85" s="504"/>
      <c r="W85" s="504"/>
      <c r="X85" s="504"/>
      <c r="Y85" s="495"/>
      <c r="Z85" s="495"/>
      <c r="AA85" s="495"/>
      <c r="AB85" s="495"/>
      <c r="AC85" s="495"/>
      <c r="AD85" s="496"/>
      <c r="AF85" s="53"/>
    </row>
    <row r="86" spans="1:32" ht="30.75" customHeight="1" thickBot="1">
      <c r="A86" s="497">
        <v>3</v>
      </c>
      <c r="B86" s="498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500"/>
      <c r="Z86" s="500"/>
      <c r="AA86" s="500"/>
      <c r="AB86" s="500"/>
      <c r="AC86" s="500"/>
      <c r="AD86" s="50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이름이 지정된 범위</vt:lpstr>
      </vt:variant>
      <vt:variant>
        <vt:i4>24</vt:i4>
      </vt:variant>
    </vt:vector>
  </HeadingPairs>
  <TitlesOfParts>
    <vt:vector size="49" baseType="lpstr">
      <vt:lpstr>총괄</vt:lpstr>
      <vt:lpstr>01</vt:lpstr>
      <vt:lpstr>02</vt:lpstr>
      <vt:lpstr>03</vt:lpstr>
      <vt:lpstr>04</vt:lpstr>
      <vt:lpstr>05</vt:lpstr>
      <vt:lpstr>07</vt:lpstr>
      <vt:lpstr>08</vt:lpstr>
      <vt:lpstr>09</vt:lpstr>
      <vt:lpstr>10</vt:lpstr>
      <vt:lpstr>11</vt:lpstr>
      <vt:lpstr>14</vt:lpstr>
      <vt:lpstr>15</vt:lpstr>
      <vt:lpstr>16</vt:lpstr>
      <vt:lpstr>17</vt:lpstr>
      <vt:lpstr>18</vt:lpstr>
      <vt:lpstr>21</vt:lpstr>
      <vt:lpstr>22</vt:lpstr>
      <vt:lpstr>23</vt:lpstr>
      <vt:lpstr>24</vt:lpstr>
      <vt:lpstr>25</vt:lpstr>
      <vt:lpstr>28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'05'!Print_Area</vt:lpstr>
      <vt:lpstr>'07'!Print_Area</vt:lpstr>
      <vt:lpstr>'08'!Print_Area</vt:lpstr>
      <vt:lpstr>'09'!Print_Area</vt:lpstr>
      <vt:lpstr>'10'!Print_Area</vt:lpstr>
      <vt:lpstr>'11'!Print_Area</vt:lpstr>
      <vt:lpstr>'14'!Print_Area</vt:lpstr>
      <vt:lpstr>'15'!Print_Area</vt:lpstr>
      <vt:lpstr>'16'!Print_Area</vt:lpstr>
      <vt:lpstr>'17'!Print_Area</vt:lpstr>
      <vt:lpstr>'18'!Print_Area</vt:lpstr>
      <vt:lpstr>'21'!Print_Area</vt:lpstr>
      <vt:lpstr>'22'!Print_Area</vt:lpstr>
      <vt:lpstr>'23'!Print_Area</vt:lpstr>
      <vt:lpstr>'24'!Print_Area</vt:lpstr>
      <vt:lpstr>'25'!Print_Area</vt:lpstr>
      <vt:lpstr>'28'!Print_Area</vt:lpstr>
      <vt:lpstr>'29'!Print_Area</vt:lpstr>
      <vt:lpstr>'30'!Print_Area</vt:lpstr>
      <vt:lpstr>'31'!Print_Area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2017-09-02T00:52:07Z</dcterms:modified>
</cp:coreProperties>
</file>