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drawings/drawing5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17년도\일일업무\생산일보\"/>
    </mc:Choice>
  </mc:AlternateContent>
  <xr:revisionPtr revIDLastSave="0" documentId="13_ncr:1_{427C8E44-6F55-4B72-A771-744781D4D6CD}" xr6:coauthVersionLast="43" xr6:coauthVersionMax="43" xr10:uidLastSave="{00000000-0000-0000-0000-000000000000}"/>
  <bookViews>
    <workbookView xWindow="-120" yWindow="-120" windowWidth="29040" windowHeight="15840" activeTab="23" xr2:uid="{00000000-000D-0000-FFFF-FFFF00000000}"/>
  </bookViews>
  <sheets>
    <sheet name="총괄" sheetId="16" r:id="rId1"/>
    <sheet name="01" sheetId="1011" r:id="rId2"/>
    <sheet name="04" sheetId="1012" r:id="rId3"/>
    <sheet name="05" sheetId="1013" r:id="rId4"/>
    <sheet name="06" sheetId="1014" r:id="rId5"/>
    <sheet name="07" sheetId="1015" r:id="rId6"/>
    <sheet name="08" sheetId="1016" r:id="rId7"/>
    <sheet name="11" sheetId="1017" r:id="rId8"/>
    <sheet name="12" sheetId="1018" r:id="rId9"/>
    <sheet name="13" sheetId="1019" r:id="rId10"/>
    <sheet name="14" sheetId="1020" r:id="rId11"/>
    <sheet name="15" sheetId="1021" r:id="rId12"/>
    <sheet name="16" sheetId="1022" r:id="rId13"/>
    <sheet name="18" sheetId="1023" r:id="rId14"/>
    <sheet name="19" sheetId="1024" r:id="rId15"/>
    <sheet name="20" sheetId="1025" r:id="rId16"/>
    <sheet name="21" sheetId="1026" r:id="rId17"/>
    <sheet name="22" sheetId="1027" r:id="rId18"/>
    <sheet name="23" sheetId="1028" r:id="rId19"/>
    <sheet name="24" sheetId="1029" r:id="rId20"/>
    <sheet name="25" sheetId="1030" r:id="rId21"/>
    <sheet name="26" sheetId="1031" r:id="rId22"/>
    <sheet name="27" sheetId="1032" r:id="rId23"/>
    <sheet name="28" sheetId="1033" r:id="rId24"/>
    <sheet name="29" sheetId="1034" r:id="rId25"/>
    <sheet name="30" sheetId="1035" r:id="rId26"/>
  </sheets>
  <definedNames>
    <definedName name="_xlnm.Print_Area" localSheetId="1">'01'!$A$1:$AD$86</definedName>
    <definedName name="_xlnm.Print_Area" localSheetId="2">'04'!$A$1:$AD$86</definedName>
    <definedName name="_xlnm.Print_Area" localSheetId="3">'05'!$A$1:$AD$86</definedName>
    <definedName name="_xlnm.Print_Area" localSheetId="4">'06'!$A$1:$AD$86</definedName>
    <definedName name="_xlnm.Print_Area" localSheetId="5">'07'!$A$1:$AD$86</definedName>
    <definedName name="_xlnm.Print_Area" localSheetId="6">'08'!$A$1:$AD$86</definedName>
    <definedName name="_xlnm.Print_Area" localSheetId="7">'11'!$A$1:$AD$86</definedName>
    <definedName name="_xlnm.Print_Area" localSheetId="8">'12'!$A$1:$AD$87</definedName>
    <definedName name="_xlnm.Print_Area" localSheetId="9">'13'!$A$1:$AD$86</definedName>
    <definedName name="_xlnm.Print_Area" localSheetId="10">'14'!$A$1:$AD$88</definedName>
    <definedName name="_xlnm.Print_Area" localSheetId="11">'15'!$A$1:$AD$87</definedName>
    <definedName name="_xlnm.Print_Area" localSheetId="12">'16'!$A$1:$AD$86</definedName>
    <definedName name="_xlnm.Print_Area" localSheetId="13">'18'!$A$1:$AD$87</definedName>
    <definedName name="_xlnm.Print_Area" localSheetId="14">'19'!$A$1:$AD$86</definedName>
    <definedName name="_xlnm.Print_Area" localSheetId="15">'20'!$A$1:$AD$87</definedName>
    <definedName name="_xlnm.Print_Area" localSheetId="16">'21'!$A$1:$AD$87</definedName>
    <definedName name="_xlnm.Print_Area" localSheetId="17">'22'!$A$1:$AD$88</definedName>
    <definedName name="_xlnm.Print_Area" localSheetId="18">'23'!$A$1:$AD$86</definedName>
    <definedName name="_xlnm.Print_Area" localSheetId="19">'24'!$A$1:$AD$86</definedName>
    <definedName name="_xlnm.Print_Area" localSheetId="20">'25'!$A$1:$AD$86</definedName>
    <definedName name="_xlnm.Print_Area" localSheetId="21">'26'!$A$1:$AD$87</definedName>
    <definedName name="_xlnm.Print_Area" localSheetId="22">'27'!$A$1:$AD$86</definedName>
    <definedName name="_xlnm.Print_Area" localSheetId="23">'28'!$A$1:$AD$88</definedName>
    <definedName name="_xlnm.Print_Area" localSheetId="24">'29'!$A$1:$AD$86</definedName>
    <definedName name="_xlnm.Print_Area" localSheetId="25">'30'!$A$1:$AD$87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0" i="1035" l="1"/>
  <c r="K20" i="1035" s="1"/>
  <c r="L19" i="1035"/>
  <c r="K19" i="1035" s="1"/>
  <c r="L18" i="1035"/>
  <c r="M18" i="1035" s="1"/>
  <c r="L17" i="1035"/>
  <c r="L14" i="1035"/>
  <c r="AB14" i="1035" s="1"/>
  <c r="L13" i="1035"/>
  <c r="K13" i="1035" s="1"/>
  <c r="AF13" i="1035"/>
  <c r="Q13" i="1035"/>
  <c r="P13" i="1035" s="1"/>
  <c r="AC13" i="1035" s="1"/>
  <c r="L11" i="1035"/>
  <c r="K11" i="1035" s="1"/>
  <c r="L10" i="1035"/>
  <c r="K10" i="1035" s="1"/>
  <c r="L9" i="1035"/>
  <c r="K9" i="1035" s="1"/>
  <c r="K16" i="1035"/>
  <c r="K12" i="1035"/>
  <c r="K7" i="1035"/>
  <c r="A75" i="1035"/>
  <c r="A76" i="1035" s="1"/>
  <c r="A77" i="1035" s="1"/>
  <c r="A78" i="1035" s="1"/>
  <c r="A79" i="1035" s="1"/>
  <c r="A80" i="1035" s="1"/>
  <c r="A81" i="1035" s="1"/>
  <c r="A82" i="1035" s="1"/>
  <c r="AF61" i="1035"/>
  <c r="AF60" i="1035"/>
  <c r="AF63" i="1035" s="1"/>
  <c r="AA22" i="1035"/>
  <c r="Z22" i="1035"/>
  <c r="Y22" i="1035"/>
  <c r="X22" i="1035"/>
  <c r="W22" i="1035"/>
  <c r="V22" i="1035"/>
  <c r="U22" i="1035"/>
  <c r="T22" i="1035"/>
  <c r="S22" i="1035"/>
  <c r="R22" i="1035"/>
  <c r="N22" i="1035"/>
  <c r="J22" i="1035"/>
  <c r="I22" i="1035"/>
  <c r="AF21" i="1035"/>
  <c r="AB21" i="1035"/>
  <c r="Q21" i="1035"/>
  <c r="P21" i="1035"/>
  <c r="AC21" i="1035" s="1"/>
  <c r="O21" i="1035"/>
  <c r="M21" i="1035"/>
  <c r="K21" i="1035"/>
  <c r="AF20" i="1035"/>
  <c r="Q20" i="1035"/>
  <c r="P20" i="1035"/>
  <c r="AC20" i="1035" s="1"/>
  <c r="AF19" i="1035"/>
  <c r="Q19" i="1035"/>
  <c r="P19" i="1035" s="1"/>
  <c r="AC19" i="1035" s="1"/>
  <c r="O19" i="1035"/>
  <c r="AB19" i="1035"/>
  <c r="AF18" i="1035"/>
  <c r="Q18" i="1035"/>
  <c r="P18" i="1035" s="1"/>
  <c r="AC18" i="1035" s="1"/>
  <c r="AF17" i="1035"/>
  <c r="Q17" i="1035"/>
  <c r="I17" i="1035"/>
  <c r="AF16" i="1035"/>
  <c r="Q16" i="1035"/>
  <c r="P16" i="1035"/>
  <c r="AC16" i="1035" s="1"/>
  <c r="AF15" i="1035"/>
  <c r="AB15" i="1035"/>
  <c r="Q15" i="1035"/>
  <c r="P15" i="1035"/>
  <c r="AC15" i="1035" s="1"/>
  <c r="AD15" i="1035" s="1"/>
  <c r="AE11" i="16" s="1"/>
  <c r="O15" i="1035"/>
  <c r="M15" i="1035"/>
  <c r="K15" i="1035"/>
  <c r="AF14" i="1035"/>
  <c r="Q14" i="1035"/>
  <c r="P14" i="1035" s="1"/>
  <c r="AC14" i="1035" s="1"/>
  <c r="M14" i="1035"/>
  <c r="AF12" i="1035"/>
  <c r="Q12" i="1035"/>
  <c r="P12" i="1035" s="1"/>
  <c r="AC12" i="1035" s="1"/>
  <c r="AF11" i="1035"/>
  <c r="Q11" i="1035"/>
  <c r="P11" i="1035" s="1"/>
  <c r="AC11" i="1035" s="1"/>
  <c r="O11" i="1035"/>
  <c r="AB11" i="1035"/>
  <c r="AF10" i="1035"/>
  <c r="AB10" i="1035"/>
  <c r="Q10" i="1035"/>
  <c r="P10" i="1035" s="1"/>
  <c r="AC10" i="1035" s="1"/>
  <c r="O10" i="1035"/>
  <c r="M10" i="1035"/>
  <c r="AF9" i="1035"/>
  <c r="Q9" i="1035"/>
  <c r="AF8" i="1035"/>
  <c r="AB8" i="1035"/>
  <c r="Q8" i="1035"/>
  <c r="P8" i="1035"/>
  <c r="AC8" i="1035" s="1"/>
  <c r="O8" i="1035"/>
  <c r="M8" i="1035"/>
  <c r="K8" i="1035"/>
  <c r="AF7" i="1035"/>
  <c r="AB7" i="1035"/>
  <c r="Q7" i="1035"/>
  <c r="P7" i="1035"/>
  <c r="AC7" i="1035" s="1"/>
  <c r="O7" i="1035"/>
  <c r="M7" i="1035"/>
  <c r="AF6" i="1035"/>
  <c r="AB6" i="1035"/>
  <c r="Q6" i="1035"/>
  <c r="P6" i="1035"/>
  <c r="O6" i="1035"/>
  <c r="M6" i="1035"/>
  <c r="K6" i="1035"/>
  <c r="L19" i="1034"/>
  <c r="L18" i="1034"/>
  <c r="O18" i="1034" s="1"/>
  <c r="L16" i="1034"/>
  <c r="L15" i="1034"/>
  <c r="K15" i="1034" s="1"/>
  <c r="L13" i="1034"/>
  <c r="M13" i="1034" s="1"/>
  <c r="L12" i="1034"/>
  <c r="K12" i="1034" s="1"/>
  <c r="L11" i="1034"/>
  <c r="K11" i="1034" s="1"/>
  <c r="L10" i="1034"/>
  <c r="K10" i="1034" s="1"/>
  <c r="L9" i="1034"/>
  <c r="K9" i="1034" s="1"/>
  <c r="L7" i="1034"/>
  <c r="K7" i="1034" s="1"/>
  <c r="K14" i="1034"/>
  <c r="A74" i="1034"/>
  <c r="A75" i="1034" s="1"/>
  <c r="A76" i="1034" s="1"/>
  <c r="A77" i="1034" s="1"/>
  <c r="A78" i="1034" s="1"/>
  <c r="A79" i="1034" s="1"/>
  <c r="A80" i="1034" s="1"/>
  <c r="A81" i="1034" s="1"/>
  <c r="AF60" i="1034"/>
  <c r="AF59" i="1034"/>
  <c r="AA21" i="1034"/>
  <c r="Z21" i="1034"/>
  <c r="Y21" i="1034"/>
  <c r="X21" i="1034"/>
  <c r="W21" i="1034"/>
  <c r="V21" i="1034"/>
  <c r="U21" i="1034"/>
  <c r="T21" i="1034"/>
  <c r="S21" i="1034"/>
  <c r="R21" i="1034"/>
  <c r="N21" i="1034"/>
  <c r="J21" i="1034"/>
  <c r="AF20" i="1034"/>
  <c r="AB20" i="1034"/>
  <c r="Q20" i="1034"/>
  <c r="P20" i="1034"/>
  <c r="AC20" i="1034" s="1"/>
  <c r="O20" i="1034"/>
  <c r="M20" i="1034"/>
  <c r="K20" i="1034"/>
  <c r="AF19" i="1034"/>
  <c r="Q19" i="1034"/>
  <c r="AF18" i="1034"/>
  <c r="Q18" i="1034"/>
  <c r="AF17" i="1034"/>
  <c r="AB17" i="1034"/>
  <c r="Q17" i="1034"/>
  <c r="P17" i="1034" s="1"/>
  <c r="AC17" i="1034" s="1"/>
  <c r="O17" i="1034"/>
  <c r="M17" i="1034"/>
  <c r="K17" i="1034"/>
  <c r="AF16" i="1034"/>
  <c r="Q16" i="1034"/>
  <c r="I16" i="1034"/>
  <c r="I21" i="1034" s="1"/>
  <c r="AF15" i="1034"/>
  <c r="AB15" i="1034"/>
  <c r="Q15" i="1034"/>
  <c r="P15" i="1034" s="1"/>
  <c r="AC15" i="1034" s="1"/>
  <c r="M15" i="1034"/>
  <c r="O15" i="1034"/>
  <c r="AF14" i="1034"/>
  <c r="Q14" i="1034"/>
  <c r="O14" i="1034"/>
  <c r="P14" i="1034"/>
  <c r="AC14" i="1034" s="1"/>
  <c r="AF13" i="1034"/>
  <c r="Q13" i="1034"/>
  <c r="P13" i="1034" s="1"/>
  <c r="AC13" i="1034" s="1"/>
  <c r="AF12" i="1034"/>
  <c r="Q12" i="1034"/>
  <c r="AB12" i="1034"/>
  <c r="AF11" i="1034"/>
  <c r="AB11" i="1034"/>
  <c r="Q11" i="1034"/>
  <c r="P11" i="1034" s="1"/>
  <c r="AC11" i="1034" s="1"/>
  <c r="O11" i="1034"/>
  <c r="AF10" i="1034"/>
  <c r="Q10" i="1034"/>
  <c r="AF9" i="1034"/>
  <c r="Q9" i="1034"/>
  <c r="AF8" i="1034"/>
  <c r="AB8" i="1034"/>
  <c r="Q8" i="1034"/>
  <c r="P8" i="1034"/>
  <c r="AC8" i="1034" s="1"/>
  <c r="O8" i="1034"/>
  <c r="M8" i="1034"/>
  <c r="K8" i="1034"/>
  <c r="AF7" i="1034"/>
  <c r="Q7" i="1034"/>
  <c r="AF6" i="1034"/>
  <c r="AB6" i="1034"/>
  <c r="Q6" i="1034"/>
  <c r="P6" i="1034"/>
  <c r="O6" i="1034"/>
  <c r="M6" i="1034"/>
  <c r="K6" i="1034"/>
  <c r="O13" i="1034" l="1"/>
  <c r="P18" i="1034"/>
  <c r="AC18" i="1034" s="1"/>
  <c r="K18" i="1034"/>
  <c r="M9" i="1035"/>
  <c r="O18" i="1035"/>
  <c r="K18" i="1035"/>
  <c r="P17" i="1035"/>
  <c r="AC17" i="1035" s="1"/>
  <c r="P9" i="1034"/>
  <c r="AC9" i="1034" s="1"/>
  <c r="AB13" i="1034"/>
  <c r="K13" i="1034"/>
  <c r="P19" i="1034"/>
  <c r="AC19" i="1034" s="1"/>
  <c r="AB9" i="1035"/>
  <c r="AB18" i="1035"/>
  <c r="K14" i="1035"/>
  <c r="O9" i="1034"/>
  <c r="P16" i="1034"/>
  <c r="AC16" i="1034" s="1"/>
  <c r="AD8" i="1035"/>
  <c r="AE5" i="16" s="1"/>
  <c r="P9" i="1035"/>
  <c r="AC9" i="1035" s="1"/>
  <c r="K17" i="1035"/>
  <c r="K22" i="1035" s="1"/>
  <c r="L22" i="1035"/>
  <c r="O22" i="1035" s="1"/>
  <c r="AB13" i="1035"/>
  <c r="M13" i="1035"/>
  <c r="O13" i="1035"/>
  <c r="AD13" i="1035" s="1"/>
  <c r="AD7" i="1035"/>
  <c r="AE4" i="16" s="1"/>
  <c r="AD18" i="1035"/>
  <c r="AE14" i="16" s="1"/>
  <c r="Q22" i="1035"/>
  <c r="AD10" i="1035"/>
  <c r="AE7" i="16" s="1"/>
  <c r="AC6" i="1035"/>
  <c r="AD6" i="1035" s="1"/>
  <c r="AE3" i="16" s="1"/>
  <c r="AD21" i="1035"/>
  <c r="AE17" i="16" s="1"/>
  <c r="AD19" i="1035"/>
  <c r="AE15" i="16" s="1"/>
  <c r="AD11" i="1035"/>
  <c r="AE8" i="16" s="1"/>
  <c r="O9" i="1035"/>
  <c r="AD9" i="1035" s="1"/>
  <c r="AE6" i="16" s="1"/>
  <c r="M12" i="1035"/>
  <c r="AB12" i="1035"/>
  <c r="O14" i="1035"/>
  <c r="AD14" i="1035" s="1"/>
  <c r="AE10" i="16" s="1"/>
  <c r="M16" i="1035"/>
  <c r="AB16" i="1035"/>
  <c r="M17" i="1035"/>
  <c r="AB17" i="1035"/>
  <c r="M20" i="1035"/>
  <c r="AB20" i="1035"/>
  <c r="M11" i="1035"/>
  <c r="O12" i="1035"/>
  <c r="O16" i="1035"/>
  <c r="O17" i="1035"/>
  <c r="M19" i="1035"/>
  <c r="O20" i="1035"/>
  <c r="O19" i="1034"/>
  <c r="K19" i="1034"/>
  <c r="O16" i="1034"/>
  <c r="AB16" i="1034"/>
  <c r="M16" i="1034"/>
  <c r="K16" i="1034"/>
  <c r="M7" i="1034"/>
  <c r="M11" i="1034"/>
  <c r="AD20" i="1034"/>
  <c r="AD17" i="16" s="1"/>
  <c r="AF62" i="1034"/>
  <c r="AB7" i="1034"/>
  <c r="AD15" i="1034"/>
  <c r="AD12" i="16" s="1"/>
  <c r="O10" i="1034"/>
  <c r="P10" i="1034"/>
  <c r="AC10" i="1034" s="1"/>
  <c r="Q21" i="1034"/>
  <c r="O7" i="1034"/>
  <c r="P7" i="1034"/>
  <c r="AC7" i="1034" s="1"/>
  <c r="AD8" i="1034"/>
  <c r="AD5" i="16" s="1"/>
  <c r="AD13" i="1034"/>
  <c r="AD10" i="16" s="1"/>
  <c r="AD17" i="1034"/>
  <c r="AD14" i="16" s="1"/>
  <c r="AD11" i="1034"/>
  <c r="AD8" i="16" s="1"/>
  <c r="AC6" i="1034"/>
  <c r="AB10" i="1034"/>
  <c r="M19" i="1034"/>
  <c r="AB19" i="1034"/>
  <c r="M10" i="1034"/>
  <c r="O12" i="1034"/>
  <c r="M9" i="1034"/>
  <c r="AB9" i="1034"/>
  <c r="K21" i="1034"/>
  <c r="P12" i="1034"/>
  <c r="AC12" i="1034" s="1"/>
  <c r="AD12" i="1034" s="1"/>
  <c r="AD9" i="16" s="1"/>
  <c r="M14" i="1034"/>
  <c r="AB14" i="1034"/>
  <c r="AD14" i="1034" s="1"/>
  <c r="AD11" i="16" s="1"/>
  <c r="M18" i="1034"/>
  <c r="AB18" i="1034"/>
  <c r="AD18" i="1034" s="1"/>
  <c r="AD15" i="16" s="1"/>
  <c r="L21" i="1034"/>
  <c r="O21" i="1034" s="1"/>
  <c r="M12" i="1034"/>
  <c r="K13" i="1033"/>
  <c r="AF13" i="1033"/>
  <c r="AB13" i="1033"/>
  <c r="Q13" i="1033"/>
  <c r="P13" i="1033" s="1"/>
  <c r="AC13" i="1033" s="1"/>
  <c r="O13" i="1033"/>
  <c r="M13" i="1033"/>
  <c r="L21" i="1033"/>
  <c r="L20" i="1033"/>
  <c r="K19" i="1033"/>
  <c r="L18" i="1033"/>
  <c r="L17" i="1033"/>
  <c r="K17" i="1033" s="1"/>
  <c r="L16" i="1033"/>
  <c r="K16" i="1033" s="1"/>
  <c r="L15" i="1033"/>
  <c r="K15" i="1033" s="1"/>
  <c r="L14" i="1033"/>
  <c r="K14" i="1033" s="1"/>
  <c r="L12" i="1033"/>
  <c r="K12" i="1033" s="1"/>
  <c r="AF12" i="1033"/>
  <c r="Q12" i="1033"/>
  <c r="AB12" i="1033"/>
  <c r="L11" i="1033"/>
  <c r="K11" i="1033" s="1"/>
  <c r="L10" i="1033"/>
  <c r="K10" i="1033" s="1"/>
  <c r="L9" i="1033"/>
  <c r="K9" i="1033" s="1"/>
  <c r="K21" i="1033"/>
  <c r="K20" i="1033"/>
  <c r="K18" i="1033"/>
  <c r="K8" i="1033"/>
  <c r="A76" i="1033"/>
  <c r="A77" i="1033" s="1"/>
  <c r="A78" i="1033" s="1"/>
  <c r="A79" i="1033" s="1"/>
  <c r="A80" i="1033" s="1"/>
  <c r="A81" i="1033" s="1"/>
  <c r="A82" i="1033" s="1"/>
  <c r="A83" i="1033" s="1"/>
  <c r="AF62" i="1033"/>
  <c r="AF61" i="1033"/>
  <c r="AA23" i="1033"/>
  <c r="Z23" i="1033"/>
  <c r="Y23" i="1033"/>
  <c r="X23" i="1033"/>
  <c r="W23" i="1033"/>
  <c r="V23" i="1033"/>
  <c r="U23" i="1033"/>
  <c r="T23" i="1033"/>
  <c r="S23" i="1033"/>
  <c r="R23" i="1033"/>
  <c r="N23" i="1033"/>
  <c r="J23" i="1033"/>
  <c r="AF22" i="1033"/>
  <c r="AB22" i="1033"/>
  <c r="Q22" i="1033"/>
  <c r="P22" i="1033"/>
  <c r="AC22" i="1033" s="1"/>
  <c r="AD22" i="1033" s="1"/>
  <c r="AC17" i="16" s="1"/>
  <c r="O22" i="1033"/>
  <c r="M22" i="1033"/>
  <c r="K22" i="1033"/>
  <c r="AF21" i="1033"/>
  <c r="Q21" i="1033"/>
  <c r="P21" i="1033" s="1"/>
  <c r="AC21" i="1033" s="1"/>
  <c r="M21" i="1033"/>
  <c r="O21" i="1033"/>
  <c r="AF20" i="1033"/>
  <c r="Q20" i="1033"/>
  <c r="P20" i="1033" s="1"/>
  <c r="AC20" i="1033" s="1"/>
  <c r="O20" i="1033"/>
  <c r="AF19" i="1033"/>
  <c r="AB19" i="1033"/>
  <c r="Q19" i="1033"/>
  <c r="P19" i="1033"/>
  <c r="AC19" i="1033" s="1"/>
  <c r="O19" i="1033"/>
  <c r="M19" i="1033"/>
  <c r="AF18" i="1033"/>
  <c r="Q18" i="1033"/>
  <c r="AB18" i="1033"/>
  <c r="I18" i="1033"/>
  <c r="I23" i="1033" s="1"/>
  <c r="AF17" i="1033"/>
  <c r="AB17" i="1033"/>
  <c r="Q17" i="1033"/>
  <c r="P17" i="1033" s="1"/>
  <c r="AC17" i="1033" s="1"/>
  <c r="O17" i="1033"/>
  <c r="M17" i="1033"/>
  <c r="AF16" i="1033"/>
  <c r="Q16" i="1033"/>
  <c r="P16" i="1033" s="1"/>
  <c r="AC16" i="1033" s="1"/>
  <c r="AF15" i="1033"/>
  <c r="Q15" i="1033"/>
  <c r="AB15" i="1033"/>
  <c r="AF14" i="1033"/>
  <c r="AB14" i="1033"/>
  <c r="Q14" i="1033"/>
  <c r="P14" i="1033" s="1"/>
  <c r="AC14" i="1033" s="1"/>
  <c r="M14" i="1033"/>
  <c r="O14" i="1033"/>
  <c r="AF11" i="1033"/>
  <c r="Q11" i="1033"/>
  <c r="P11" i="1033" s="1"/>
  <c r="AC11" i="1033" s="1"/>
  <c r="O11" i="1033"/>
  <c r="AF10" i="1033"/>
  <c r="Q10" i="1033"/>
  <c r="AF9" i="1033"/>
  <c r="Q9" i="1033"/>
  <c r="AB9" i="1033"/>
  <c r="AF8" i="1033"/>
  <c r="AB8" i="1033"/>
  <c r="Q8" i="1033"/>
  <c r="P8" i="1033"/>
  <c r="AC8" i="1033" s="1"/>
  <c r="O8" i="1033"/>
  <c r="M8" i="1033"/>
  <c r="AF7" i="1033"/>
  <c r="AB7" i="1033"/>
  <c r="Q7" i="1033"/>
  <c r="P7" i="1033"/>
  <c r="AC7" i="1033" s="1"/>
  <c r="O7" i="1033"/>
  <c r="M7" i="1033"/>
  <c r="K7" i="1033"/>
  <c r="AF6" i="1033"/>
  <c r="AB6" i="1033"/>
  <c r="Q6" i="1033"/>
  <c r="P6" i="1033"/>
  <c r="O6" i="1033"/>
  <c r="M6" i="1033"/>
  <c r="K6" i="1033"/>
  <c r="O16" i="1033" l="1"/>
  <c r="P22" i="1035"/>
  <c r="AB16" i="1033"/>
  <c r="AF64" i="1033"/>
  <c r="AD13" i="1033"/>
  <c r="AD19" i="1034"/>
  <c r="AD16" i="16" s="1"/>
  <c r="M16" i="1033"/>
  <c r="AC22" i="1035"/>
  <c r="AD20" i="1035"/>
  <c r="AE16" i="16" s="1"/>
  <c r="AB22" i="1035"/>
  <c r="M22" i="1035"/>
  <c r="AD17" i="1035"/>
  <c r="AE13" i="16" s="1"/>
  <c r="AD12" i="1035"/>
  <c r="AE9" i="16" s="1"/>
  <c r="AD16" i="1035"/>
  <c r="AE12" i="16" s="1"/>
  <c r="AD16" i="1034"/>
  <c r="AD13" i="16" s="1"/>
  <c r="AD7" i="1034"/>
  <c r="AD4" i="16" s="1"/>
  <c r="AD10" i="1034"/>
  <c r="AD7" i="16" s="1"/>
  <c r="M21" i="1034"/>
  <c r="AB21" i="1034"/>
  <c r="P21" i="1034"/>
  <c r="AD9" i="1034"/>
  <c r="AD6" i="16" s="1"/>
  <c r="AC21" i="1034"/>
  <c r="AD6" i="1034"/>
  <c r="AD3" i="16" s="1"/>
  <c r="AD19" i="1033"/>
  <c r="AC14" i="16" s="1"/>
  <c r="O12" i="1033"/>
  <c r="AD16" i="1033"/>
  <c r="AC11" i="16" s="1"/>
  <c r="AD8" i="1033"/>
  <c r="AC5" i="16" s="1"/>
  <c r="P12" i="1033"/>
  <c r="AC12" i="1033" s="1"/>
  <c r="M12" i="1033"/>
  <c r="AB10" i="1033"/>
  <c r="P10" i="1033"/>
  <c r="AC10" i="1033" s="1"/>
  <c r="M10" i="1033"/>
  <c r="O10" i="1033"/>
  <c r="Q23" i="1033"/>
  <c r="AD17" i="1033"/>
  <c r="AC12" i="16" s="1"/>
  <c r="AD7" i="1033"/>
  <c r="AC4" i="16" s="1"/>
  <c r="AD14" i="1033"/>
  <c r="AC9" i="16" s="1"/>
  <c r="O18" i="1033"/>
  <c r="AB21" i="1033"/>
  <c r="AD21" i="1033" s="1"/>
  <c r="AC16" i="16" s="1"/>
  <c r="O9" i="1033"/>
  <c r="O15" i="1033"/>
  <c r="AC6" i="1033"/>
  <c r="K23" i="1033"/>
  <c r="P9" i="1033"/>
  <c r="AC9" i="1033" s="1"/>
  <c r="AD9" i="1033" s="1"/>
  <c r="AC6" i="16" s="1"/>
  <c r="M11" i="1033"/>
  <c r="AB11" i="1033"/>
  <c r="AD11" i="1033" s="1"/>
  <c r="P15" i="1033"/>
  <c r="AC15" i="1033" s="1"/>
  <c r="P18" i="1033"/>
  <c r="AC18" i="1033" s="1"/>
  <c r="M20" i="1033"/>
  <c r="AB20" i="1033"/>
  <c r="AD20" i="1033" s="1"/>
  <c r="AC15" i="16" s="1"/>
  <c r="L23" i="1033"/>
  <c r="O23" i="1033" s="1"/>
  <c r="M9" i="1033"/>
  <c r="M15" i="1033"/>
  <c r="M18" i="1033"/>
  <c r="L19" i="1032"/>
  <c r="L18" i="1032"/>
  <c r="K18" i="1032" s="1"/>
  <c r="L17" i="1032"/>
  <c r="L16" i="1032"/>
  <c r="K16" i="1032" s="1"/>
  <c r="I16" i="1032"/>
  <c r="L13" i="1032"/>
  <c r="AB13" i="1032" s="1"/>
  <c r="L12" i="1032"/>
  <c r="L11" i="1032"/>
  <c r="K11" i="1032" s="1"/>
  <c r="L10" i="1032"/>
  <c r="K10" i="1032" s="1"/>
  <c r="L9" i="1032"/>
  <c r="K9" i="1032" s="1"/>
  <c r="K8" i="1032"/>
  <c r="K19" i="1032"/>
  <c r="K17" i="1032"/>
  <c r="K12" i="1032"/>
  <c r="A74" i="1032"/>
  <c r="A75" i="1032" s="1"/>
  <c r="A76" i="1032" s="1"/>
  <c r="A77" i="1032" s="1"/>
  <c r="A78" i="1032" s="1"/>
  <c r="A79" i="1032" s="1"/>
  <c r="A80" i="1032" s="1"/>
  <c r="A81" i="1032" s="1"/>
  <c r="AF60" i="1032"/>
  <c r="AF62" i="1032" s="1"/>
  <c r="AF59" i="1032"/>
  <c r="AA21" i="1032"/>
  <c r="Z21" i="1032"/>
  <c r="Y21" i="1032"/>
  <c r="X21" i="1032"/>
  <c r="W21" i="1032"/>
  <c r="V21" i="1032"/>
  <c r="U21" i="1032"/>
  <c r="T21" i="1032"/>
  <c r="S21" i="1032"/>
  <c r="R21" i="1032"/>
  <c r="N21" i="1032"/>
  <c r="J21" i="1032"/>
  <c r="I21" i="1032"/>
  <c r="AF20" i="1032"/>
  <c r="AB20" i="1032"/>
  <c r="Q20" i="1032"/>
  <c r="P20" i="1032"/>
  <c r="AC20" i="1032" s="1"/>
  <c r="O20" i="1032"/>
  <c r="M20" i="1032"/>
  <c r="K20" i="1032"/>
  <c r="AF19" i="1032"/>
  <c r="Q19" i="1032"/>
  <c r="P19" i="1032" s="1"/>
  <c r="AC19" i="1032" s="1"/>
  <c r="AF18" i="1032"/>
  <c r="Q18" i="1032"/>
  <c r="AF17" i="1032"/>
  <c r="Q17" i="1032"/>
  <c r="P17" i="1032" s="1"/>
  <c r="AC17" i="1032" s="1"/>
  <c r="O17" i="1032"/>
  <c r="AB17" i="1032"/>
  <c r="AF16" i="1032"/>
  <c r="AB16" i="1032"/>
  <c r="Q16" i="1032"/>
  <c r="P16" i="1032" s="1"/>
  <c r="AC16" i="1032" s="1"/>
  <c r="O16" i="1032"/>
  <c r="M16" i="1032"/>
  <c r="AF15" i="1032"/>
  <c r="AB15" i="1032"/>
  <c r="Q15" i="1032"/>
  <c r="P15" i="1032"/>
  <c r="AC15" i="1032" s="1"/>
  <c r="O15" i="1032"/>
  <c r="M15" i="1032"/>
  <c r="K15" i="1032"/>
  <c r="AF14" i="1032"/>
  <c r="AB14" i="1032"/>
  <c r="Q14" i="1032"/>
  <c r="P14" i="1032"/>
  <c r="AC14" i="1032" s="1"/>
  <c r="O14" i="1032"/>
  <c r="M14" i="1032"/>
  <c r="K14" i="1032"/>
  <c r="AF13" i="1032"/>
  <c r="Q13" i="1032"/>
  <c r="AF12" i="1032"/>
  <c r="AB12" i="1032"/>
  <c r="Q12" i="1032"/>
  <c r="P12" i="1032" s="1"/>
  <c r="AC12" i="1032" s="1"/>
  <c r="M12" i="1032"/>
  <c r="O12" i="1032"/>
  <c r="AF11" i="1032"/>
  <c r="Q11" i="1032"/>
  <c r="P11" i="1032" s="1"/>
  <c r="AC11" i="1032" s="1"/>
  <c r="AF10" i="1032"/>
  <c r="AB10" i="1032"/>
  <c r="Q10" i="1032"/>
  <c r="AF9" i="1032"/>
  <c r="AB9" i="1032"/>
  <c r="Q9" i="1032"/>
  <c r="P9" i="1032"/>
  <c r="AC9" i="1032" s="1"/>
  <c r="M9" i="1032"/>
  <c r="AF8" i="1032"/>
  <c r="Q8" i="1032"/>
  <c r="AF7" i="1032"/>
  <c r="AB7" i="1032"/>
  <c r="Q7" i="1032"/>
  <c r="P7" i="1032"/>
  <c r="AC7" i="1032" s="1"/>
  <c r="O7" i="1032"/>
  <c r="M7" i="1032"/>
  <c r="K7" i="1032"/>
  <c r="AF6" i="1032"/>
  <c r="AB6" i="1032"/>
  <c r="Q6" i="1032"/>
  <c r="P6" i="1032"/>
  <c r="AC6" i="1032" s="1"/>
  <c r="O6" i="1032"/>
  <c r="M6" i="1032"/>
  <c r="K6" i="1032"/>
  <c r="M10" i="1032" l="1"/>
  <c r="AD15" i="1032"/>
  <c r="AB12" i="16" s="1"/>
  <c r="AD7" i="1032"/>
  <c r="AB4" i="16" s="1"/>
  <c r="O18" i="1032"/>
  <c r="O10" i="1032"/>
  <c r="P10" i="1032"/>
  <c r="AC10" i="1032" s="1"/>
  <c r="P18" i="1032"/>
  <c r="AC18" i="1032" s="1"/>
  <c r="AD22" i="1035"/>
  <c r="AD21" i="1034"/>
  <c r="AD18" i="16" s="1"/>
  <c r="AD15" i="1033"/>
  <c r="AC10" i="16" s="1"/>
  <c r="AD12" i="1033"/>
  <c r="AC8" i="16" s="1"/>
  <c r="AD10" i="1033"/>
  <c r="AC7" i="16" s="1"/>
  <c r="M23" i="1033"/>
  <c r="AD18" i="1033"/>
  <c r="AC13" i="16" s="1"/>
  <c r="P23" i="1033"/>
  <c r="AC23" i="1033"/>
  <c r="AD6" i="1033"/>
  <c r="AC3" i="16" s="1"/>
  <c r="AB23" i="1033"/>
  <c r="AD14" i="1032"/>
  <c r="AB11" i="16" s="1"/>
  <c r="AD16" i="1032"/>
  <c r="AB13" i="16" s="1"/>
  <c r="M13" i="1032"/>
  <c r="K13" i="1032"/>
  <c r="O13" i="1032"/>
  <c r="P13" i="1032"/>
  <c r="AC13" i="1032" s="1"/>
  <c r="AD12" i="1032"/>
  <c r="AB9" i="16" s="1"/>
  <c r="Q21" i="1032"/>
  <c r="AD10" i="1032"/>
  <c r="AB7" i="16" s="1"/>
  <c r="AD20" i="1032"/>
  <c r="AB17" i="16" s="1"/>
  <c r="AD17" i="1032"/>
  <c r="AB14" i="16" s="1"/>
  <c r="O9" i="1032"/>
  <c r="AD9" i="1032" s="1"/>
  <c r="AB6" i="16" s="1"/>
  <c r="M11" i="1032"/>
  <c r="AB11" i="1032"/>
  <c r="M19" i="1032"/>
  <c r="AB19" i="1032"/>
  <c r="O11" i="1032"/>
  <c r="M18" i="1032"/>
  <c r="AB18" i="1032"/>
  <c r="O19" i="1032"/>
  <c r="AD6" i="1032"/>
  <c r="AB3" i="16" s="1"/>
  <c r="K21" i="1032"/>
  <c r="M17" i="1032"/>
  <c r="L20" i="1031"/>
  <c r="L19" i="1031"/>
  <c r="L18" i="1031"/>
  <c r="K18" i="1031" s="1"/>
  <c r="L17" i="1031"/>
  <c r="K17" i="1031" s="1"/>
  <c r="K14" i="1031"/>
  <c r="AF14" i="1031"/>
  <c r="AB14" i="1031"/>
  <c r="Q14" i="1031"/>
  <c r="P14" i="1031" s="1"/>
  <c r="AC14" i="1031" s="1"/>
  <c r="M14" i="1031"/>
  <c r="L13" i="1031"/>
  <c r="K13" i="1031" s="1"/>
  <c r="L12" i="1031"/>
  <c r="L22" i="1031" s="1"/>
  <c r="O22" i="1031" s="1"/>
  <c r="L11" i="1031"/>
  <c r="K11" i="1031" s="1"/>
  <c r="AF11" i="1031"/>
  <c r="Q11" i="1031"/>
  <c r="P11" i="1031" s="1"/>
  <c r="AC11" i="1031" s="1"/>
  <c r="M11" i="1031"/>
  <c r="L9" i="1031"/>
  <c r="K9" i="1031" s="1"/>
  <c r="K20" i="1031"/>
  <c r="K19" i="1031"/>
  <c r="A75" i="1031"/>
  <c r="A76" i="1031" s="1"/>
  <c r="A77" i="1031" s="1"/>
  <c r="A78" i="1031" s="1"/>
  <c r="A79" i="1031" s="1"/>
  <c r="A80" i="1031" s="1"/>
  <c r="A81" i="1031" s="1"/>
  <c r="A82" i="1031" s="1"/>
  <c r="AF61" i="1031"/>
  <c r="AF60" i="1031"/>
  <c r="AF63" i="1031" s="1"/>
  <c r="AA22" i="1031"/>
  <c r="Z22" i="1031"/>
  <c r="Y22" i="1031"/>
  <c r="X22" i="1031"/>
  <c r="W22" i="1031"/>
  <c r="V22" i="1031"/>
  <c r="U22" i="1031"/>
  <c r="T22" i="1031"/>
  <c r="S22" i="1031"/>
  <c r="R22" i="1031"/>
  <c r="N22" i="1031"/>
  <c r="J22" i="1031"/>
  <c r="I22" i="1031"/>
  <c r="AF21" i="1031"/>
  <c r="AB21" i="1031"/>
  <c r="Q21" i="1031"/>
  <c r="P21" i="1031"/>
  <c r="AC21" i="1031" s="1"/>
  <c r="O21" i="1031"/>
  <c r="M21" i="1031"/>
  <c r="K21" i="1031"/>
  <c r="AF20" i="1031"/>
  <c r="Q20" i="1031"/>
  <c r="M20" i="1031"/>
  <c r="P20" i="1031"/>
  <c r="AC20" i="1031" s="1"/>
  <c r="AF19" i="1031"/>
  <c r="Q19" i="1031"/>
  <c r="AF18" i="1031"/>
  <c r="AB18" i="1031"/>
  <c r="Q18" i="1031"/>
  <c r="M18" i="1031"/>
  <c r="AF17" i="1031"/>
  <c r="AB17" i="1031"/>
  <c r="Q17" i="1031"/>
  <c r="P17" i="1031" s="1"/>
  <c r="AC17" i="1031" s="1"/>
  <c r="M17" i="1031"/>
  <c r="AF16" i="1031"/>
  <c r="AB16" i="1031"/>
  <c r="Q16" i="1031"/>
  <c r="P16" i="1031"/>
  <c r="AC16" i="1031" s="1"/>
  <c r="O16" i="1031"/>
  <c r="M16" i="1031"/>
  <c r="K16" i="1031"/>
  <c r="AF15" i="1031"/>
  <c r="AB15" i="1031"/>
  <c r="Q15" i="1031"/>
  <c r="P15" i="1031"/>
  <c r="AC15" i="1031" s="1"/>
  <c r="AD15" i="1031" s="1"/>
  <c r="AA11" i="16" s="1"/>
  <c r="O15" i="1031"/>
  <c r="M15" i="1031"/>
  <c r="K15" i="1031"/>
  <c r="AF13" i="1031"/>
  <c r="AB13" i="1031"/>
  <c r="Q13" i="1031"/>
  <c r="P13" i="1031" s="1"/>
  <c r="AC13" i="1031" s="1"/>
  <c r="O13" i="1031"/>
  <c r="M13" i="1031"/>
  <c r="AF12" i="1031"/>
  <c r="Q12" i="1031"/>
  <c r="AF10" i="1031"/>
  <c r="AB10" i="1031"/>
  <c r="Q10" i="1031"/>
  <c r="P10" i="1031" s="1"/>
  <c r="AC10" i="1031" s="1"/>
  <c r="O10" i="1031"/>
  <c r="M10" i="1031"/>
  <c r="K10" i="1031"/>
  <c r="AF9" i="1031"/>
  <c r="AB9" i="1031"/>
  <c r="Q9" i="1031"/>
  <c r="O9" i="1031"/>
  <c r="M9" i="1031"/>
  <c r="AF8" i="1031"/>
  <c r="AB8" i="1031"/>
  <c r="Q8" i="1031"/>
  <c r="P8" i="1031"/>
  <c r="AC8" i="1031" s="1"/>
  <c r="O8" i="1031"/>
  <c r="M8" i="1031"/>
  <c r="K8" i="1031"/>
  <c r="AF7" i="1031"/>
  <c r="AB7" i="1031"/>
  <c r="Q7" i="1031"/>
  <c r="P7" i="1031"/>
  <c r="AC7" i="1031" s="1"/>
  <c r="O7" i="1031"/>
  <c r="M7" i="1031"/>
  <c r="K7" i="1031"/>
  <c r="AF6" i="1031"/>
  <c r="AB6" i="1031"/>
  <c r="Q6" i="1031"/>
  <c r="P6" i="1031"/>
  <c r="O6" i="1031"/>
  <c r="M6" i="1031"/>
  <c r="K6" i="1031"/>
  <c r="O18" i="1031" l="1"/>
  <c r="AB11" i="1031"/>
  <c r="AD16" i="1031"/>
  <c r="AA12" i="16" s="1"/>
  <c r="P18" i="1031"/>
  <c r="AC18" i="1031" s="1"/>
  <c r="AD18" i="1032"/>
  <c r="AB15" i="16" s="1"/>
  <c r="AD13" i="1032"/>
  <c r="AB10" i="16" s="1"/>
  <c r="AE13" i="1035"/>
  <c r="AE18" i="16"/>
  <c r="AE15" i="1035"/>
  <c r="AE7" i="1035"/>
  <c r="AE8" i="1035"/>
  <c r="AE11" i="1035"/>
  <c r="AE20" i="1035"/>
  <c r="AE19" i="1035"/>
  <c r="AE10" i="1035"/>
  <c r="AE12" i="1035"/>
  <c r="AE21" i="1035"/>
  <c r="AE16" i="1035"/>
  <c r="AE18" i="1035"/>
  <c r="AE6" i="1035"/>
  <c r="AE9" i="1035"/>
  <c r="AE14" i="1035"/>
  <c r="AE17" i="1035"/>
  <c r="AE19" i="1034"/>
  <c r="AE16" i="1034"/>
  <c r="AE15" i="1034"/>
  <c r="AE10" i="1034"/>
  <c r="AE7" i="1034"/>
  <c r="AE12" i="1034"/>
  <c r="AE20" i="1034"/>
  <c r="AE17" i="1034"/>
  <c r="AE13" i="1034"/>
  <c r="AE11" i="1034"/>
  <c r="AE8" i="1034"/>
  <c r="AE6" i="1034"/>
  <c r="AE9" i="1034"/>
  <c r="AE18" i="1034"/>
  <c r="AE14" i="1034"/>
  <c r="AD23" i="1033"/>
  <c r="AC18" i="16" s="1"/>
  <c r="AD19" i="1032"/>
  <c r="AB16" i="16" s="1"/>
  <c r="AD11" i="1032"/>
  <c r="AB8" i="16" s="1"/>
  <c r="AD10" i="1031"/>
  <c r="AA7" i="16" s="1"/>
  <c r="P19" i="1031"/>
  <c r="AC19" i="1031" s="1"/>
  <c r="Q22" i="1031"/>
  <c r="AD21" i="1031"/>
  <c r="AA17" i="16" s="1"/>
  <c r="O14" i="1031"/>
  <c r="AD14" i="1031" s="1"/>
  <c r="AD8" i="1031"/>
  <c r="AA5" i="16" s="1"/>
  <c r="AD7" i="1031"/>
  <c r="AA4" i="16" s="1"/>
  <c r="AD18" i="1031"/>
  <c r="AA14" i="16" s="1"/>
  <c r="M12" i="1031"/>
  <c r="AB12" i="1031"/>
  <c r="K12" i="1031"/>
  <c r="K22" i="1031" s="1"/>
  <c r="O12" i="1031"/>
  <c r="P12" i="1031"/>
  <c r="AC12" i="1031" s="1"/>
  <c r="O11" i="1031"/>
  <c r="AD11" i="1031"/>
  <c r="AA8" i="16" s="1"/>
  <c r="AD13" i="1031"/>
  <c r="AB20" i="1031"/>
  <c r="AC6" i="1031"/>
  <c r="P9" i="1031"/>
  <c r="AC9" i="1031" s="1"/>
  <c r="AD9" i="1031" s="1"/>
  <c r="AA6" i="16" s="1"/>
  <c r="O17" i="1031"/>
  <c r="AD17" i="1031" s="1"/>
  <c r="AA13" i="16" s="1"/>
  <c r="M19" i="1031"/>
  <c r="AB19" i="1031"/>
  <c r="O20" i="1031"/>
  <c r="O19" i="1031"/>
  <c r="L19" i="1030"/>
  <c r="L18" i="1030"/>
  <c r="K18" i="1030" s="1"/>
  <c r="K17" i="1030"/>
  <c r="L16" i="1030"/>
  <c r="K16" i="1030" s="1"/>
  <c r="K13" i="1030"/>
  <c r="AF13" i="1030"/>
  <c r="Q13" i="1030"/>
  <c r="AB13" i="1030"/>
  <c r="L12" i="1030"/>
  <c r="L11" i="1030"/>
  <c r="K11" i="1030" s="1"/>
  <c r="L9" i="1030"/>
  <c r="AA10" i="16" l="1"/>
  <c r="AE12" i="1033"/>
  <c r="AE13" i="1033"/>
  <c r="AE20" i="1033"/>
  <c r="AE10" i="1033"/>
  <c r="AE18" i="1033"/>
  <c r="AE8" i="1033"/>
  <c r="AE6" i="1033"/>
  <c r="AE11" i="1033"/>
  <c r="AE19" i="1033"/>
  <c r="AE9" i="1033"/>
  <c r="AE14" i="1033"/>
  <c r="AE7" i="1033"/>
  <c r="AE17" i="1033"/>
  <c r="AE16" i="1033"/>
  <c r="AE22" i="1033"/>
  <c r="AE15" i="1033"/>
  <c r="AE21" i="1033"/>
  <c r="AD12" i="1031"/>
  <c r="AA9" i="16" s="1"/>
  <c r="M22" i="1031"/>
  <c r="AD20" i="1031"/>
  <c r="AA16" i="16" s="1"/>
  <c r="AD19" i="1031"/>
  <c r="AA15" i="16" s="1"/>
  <c r="P22" i="1031"/>
  <c r="AC22" i="1031"/>
  <c r="AD6" i="1031"/>
  <c r="AA3" i="16" s="1"/>
  <c r="AB22" i="1031"/>
  <c r="O13" i="1030"/>
  <c r="M13" i="1030"/>
  <c r="P13" i="1030"/>
  <c r="AC13" i="1030" s="1"/>
  <c r="AD13" i="1030" l="1"/>
  <c r="Z10" i="16" s="1"/>
  <c r="AD22" i="1031"/>
  <c r="AA18" i="16" s="1"/>
  <c r="K19" i="1030"/>
  <c r="K12" i="1030"/>
  <c r="K9" i="1030"/>
  <c r="K7" i="1030"/>
  <c r="A74" i="1030"/>
  <c r="A75" i="1030" s="1"/>
  <c r="A76" i="1030" s="1"/>
  <c r="A77" i="1030" s="1"/>
  <c r="A78" i="1030" s="1"/>
  <c r="A79" i="1030" s="1"/>
  <c r="A80" i="1030" s="1"/>
  <c r="A81" i="1030" s="1"/>
  <c r="AF62" i="1030"/>
  <c r="AF60" i="1030"/>
  <c r="AF59" i="1030"/>
  <c r="AA21" i="1030"/>
  <c r="Z21" i="1030"/>
  <c r="Y21" i="1030"/>
  <c r="X21" i="1030"/>
  <c r="W21" i="1030"/>
  <c r="V21" i="1030"/>
  <c r="U21" i="1030"/>
  <c r="T21" i="1030"/>
  <c r="S21" i="1030"/>
  <c r="R21" i="1030"/>
  <c r="N21" i="1030"/>
  <c r="J21" i="1030"/>
  <c r="I21" i="1030"/>
  <c r="AF20" i="1030"/>
  <c r="AB20" i="1030"/>
  <c r="Q20" i="1030"/>
  <c r="P20" i="1030"/>
  <c r="AC20" i="1030" s="1"/>
  <c r="O20" i="1030"/>
  <c r="M20" i="1030"/>
  <c r="K20" i="1030"/>
  <c r="AF19" i="1030"/>
  <c r="AB19" i="1030"/>
  <c r="Q19" i="1030"/>
  <c r="M19" i="1030"/>
  <c r="P19" i="1030"/>
  <c r="AC19" i="1030" s="1"/>
  <c r="AF18" i="1030"/>
  <c r="AB18" i="1030"/>
  <c r="Q18" i="1030"/>
  <c r="P18" i="1030" s="1"/>
  <c r="AC18" i="1030" s="1"/>
  <c r="O18" i="1030"/>
  <c r="M18" i="1030"/>
  <c r="AF17" i="1030"/>
  <c r="AB17" i="1030"/>
  <c r="Q17" i="1030"/>
  <c r="P17" i="1030"/>
  <c r="AC17" i="1030" s="1"/>
  <c r="AD17" i="1030" s="1"/>
  <c r="Z14" i="16" s="1"/>
  <c r="O17" i="1030"/>
  <c r="M17" i="1030"/>
  <c r="AF16" i="1030"/>
  <c r="Q16" i="1030"/>
  <c r="P16" i="1030" s="1"/>
  <c r="AC16" i="1030" s="1"/>
  <c r="AF15" i="1030"/>
  <c r="AB15" i="1030"/>
  <c r="Q15" i="1030"/>
  <c r="P15" i="1030"/>
  <c r="AC15" i="1030" s="1"/>
  <c r="O15" i="1030"/>
  <c r="M15" i="1030"/>
  <c r="K15" i="1030"/>
  <c r="AF14" i="1030"/>
  <c r="AB14" i="1030"/>
  <c r="Q14" i="1030"/>
  <c r="P14" i="1030"/>
  <c r="AC14" i="1030" s="1"/>
  <c r="O14" i="1030"/>
  <c r="M14" i="1030"/>
  <c r="K14" i="1030"/>
  <c r="AF12" i="1030"/>
  <c r="AB12" i="1030"/>
  <c r="Q12" i="1030"/>
  <c r="O12" i="1030"/>
  <c r="M12" i="1030"/>
  <c r="P12" i="1030"/>
  <c r="AC12" i="1030" s="1"/>
  <c r="AF11" i="1030"/>
  <c r="AB11" i="1030"/>
  <c r="Q11" i="1030"/>
  <c r="P11" i="1030" s="1"/>
  <c r="AC11" i="1030" s="1"/>
  <c r="O11" i="1030"/>
  <c r="M11" i="1030"/>
  <c r="AF10" i="1030"/>
  <c r="AB10" i="1030"/>
  <c r="Q10" i="1030"/>
  <c r="P10" i="1030"/>
  <c r="AC10" i="1030" s="1"/>
  <c r="O10" i="1030"/>
  <c r="M10" i="1030"/>
  <c r="K10" i="1030"/>
  <c r="AF9" i="1030"/>
  <c r="AB9" i="1030"/>
  <c r="Q9" i="1030"/>
  <c r="P9" i="1030" s="1"/>
  <c r="AC9" i="1030" s="1"/>
  <c r="M9" i="1030"/>
  <c r="AF8" i="1030"/>
  <c r="AB8" i="1030"/>
  <c r="Q8" i="1030"/>
  <c r="P8" i="1030"/>
  <c r="AC8" i="1030" s="1"/>
  <c r="AD8" i="1030" s="1"/>
  <c r="Z5" i="16" s="1"/>
  <c r="O8" i="1030"/>
  <c r="M8" i="1030"/>
  <c r="K8" i="1030"/>
  <c r="AF7" i="1030"/>
  <c r="AB7" i="1030"/>
  <c r="Q7" i="1030"/>
  <c r="O7" i="1030"/>
  <c r="M7" i="1030"/>
  <c r="L21" i="1030"/>
  <c r="O21" i="1030" s="1"/>
  <c r="AF6" i="1030"/>
  <c r="AB6" i="1030"/>
  <c r="Q6" i="1030"/>
  <c r="P6" i="1030"/>
  <c r="O6" i="1030"/>
  <c r="M6" i="1030"/>
  <c r="K6" i="1030"/>
  <c r="AD11" i="1030" l="1"/>
  <c r="Z8" i="16" s="1"/>
  <c r="AD20" i="1030"/>
  <c r="Z17" i="16" s="1"/>
  <c r="AD10" i="1030"/>
  <c r="Z7" i="16" s="1"/>
  <c r="AE13" i="1031"/>
  <c r="AE14" i="1031"/>
  <c r="AE17" i="1031"/>
  <c r="AE11" i="1031"/>
  <c r="AE7" i="1031"/>
  <c r="AE20" i="1031"/>
  <c r="AE6" i="1031"/>
  <c r="AE16" i="1031"/>
  <c r="AE21" i="1031"/>
  <c r="AE12" i="1031"/>
  <c r="AE18" i="1031"/>
  <c r="AE9" i="1031"/>
  <c r="AE8" i="1031"/>
  <c r="AE19" i="1031"/>
  <c r="AE10" i="1031"/>
  <c r="AE15" i="1031"/>
  <c r="AD12" i="1030"/>
  <c r="Z9" i="16" s="1"/>
  <c r="Q21" i="1030"/>
  <c r="AD15" i="1030"/>
  <c r="Z12" i="16" s="1"/>
  <c r="AD14" i="1030"/>
  <c r="Z11" i="16" s="1"/>
  <c r="AD18" i="1030"/>
  <c r="Z15" i="16" s="1"/>
  <c r="AC6" i="1030"/>
  <c r="K21" i="1030"/>
  <c r="P7" i="1030"/>
  <c r="AC7" i="1030" s="1"/>
  <c r="AD7" i="1030" s="1"/>
  <c r="Z4" i="16" s="1"/>
  <c r="O9" i="1030"/>
  <c r="AD9" i="1030" s="1"/>
  <c r="Z6" i="16" s="1"/>
  <c r="M16" i="1030"/>
  <c r="M21" i="1030" s="1"/>
  <c r="AB16" i="1030"/>
  <c r="AB21" i="1030" s="1"/>
  <c r="O19" i="1030"/>
  <c r="AD19" i="1030" s="1"/>
  <c r="Z16" i="16" s="1"/>
  <c r="O16" i="1030"/>
  <c r="AD16" i="1030" l="1"/>
  <c r="Z13" i="16" s="1"/>
  <c r="P21" i="1030"/>
  <c r="AC21" i="1030"/>
  <c r="AD6" i="1030"/>
  <c r="AD21" i="1030" l="1"/>
  <c r="Z3" i="16"/>
  <c r="AE11" i="1030"/>
  <c r="AE12" i="1030"/>
  <c r="AE16" i="1030"/>
  <c r="AE20" i="1030"/>
  <c r="AE10" i="1030"/>
  <c r="AE13" i="1030" l="1"/>
  <c r="Z18" i="16"/>
  <c r="AE18" i="1030"/>
  <c r="AE8" i="1030"/>
  <c r="AE17" i="1030"/>
  <c r="AE14" i="1030"/>
  <c r="AE6" i="1030"/>
  <c r="AE19" i="1030"/>
  <c r="AE15" i="1030"/>
  <c r="AE7" i="1030"/>
  <c r="AE9" i="1030"/>
  <c r="L19" i="1029"/>
  <c r="L16" i="1029"/>
  <c r="K16" i="1029" s="1"/>
  <c r="L13" i="1029"/>
  <c r="K13" i="1029" s="1"/>
  <c r="L12" i="1029"/>
  <c r="L9" i="1029"/>
  <c r="K9" i="1029" s="1"/>
  <c r="L7" i="1029"/>
  <c r="K7" i="1029" s="1"/>
  <c r="K19" i="1029" l="1"/>
  <c r="K18" i="1029"/>
  <c r="K12" i="1029"/>
  <c r="K11" i="1029"/>
  <c r="K8" i="1029"/>
  <c r="A74" i="1029"/>
  <c r="A75" i="1029" s="1"/>
  <c r="A76" i="1029" s="1"/>
  <c r="A77" i="1029" s="1"/>
  <c r="A78" i="1029" s="1"/>
  <c r="A79" i="1029" s="1"/>
  <c r="A80" i="1029" s="1"/>
  <c r="A81" i="1029" s="1"/>
  <c r="AF60" i="1029"/>
  <c r="AF62" i="1029" s="1"/>
  <c r="AF59" i="1029"/>
  <c r="AA21" i="1029"/>
  <c r="Z21" i="1029"/>
  <c r="Y21" i="1029"/>
  <c r="X21" i="1029"/>
  <c r="W21" i="1029"/>
  <c r="V21" i="1029"/>
  <c r="U21" i="1029"/>
  <c r="T21" i="1029"/>
  <c r="S21" i="1029"/>
  <c r="R21" i="1029"/>
  <c r="N21" i="1029"/>
  <c r="J21" i="1029"/>
  <c r="I21" i="1029"/>
  <c r="AF20" i="1029"/>
  <c r="AB20" i="1029"/>
  <c r="Q20" i="1029"/>
  <c r="P20" i="1029"/>
  <c r="AC20" i="1029" s="1"/>
  <c r="O20" i="1029"/>
  <c r="M20" i="1029"/>
  <c r="K20" i="1029"/>
  <c r="AF19" i="1029"/>
  <c r="Q19" i="1029"/>
  <c r="P19" i="1029"/>
  <c r="AC19" i="1029" s="1"/>
  <c r="AF18" i="1029"/>
  <c r="Q18" i="1029"/>
  <c r="P18" i="1029"/>
  <c r="AC18" i="1029" s="1"/>
  <c r="AF17" i="1029"/>
  <c r="AB17" i="1029"/>
  <c r="Q17" i="1029"/>
  <c r="P17" i="1029"/>
  <c r="AC17" i="1029" s="1"/>
  <c r="O17" i="1029"/>
  <c r="M17" i="1029"/>
  <c r="K17" i="1029"/>
  <c r="AF16" i="1029"/>
  <c r="Q16" i="1029"/>
  <c r="P16" i="1029" s="1"/>
  <c r="AC16" i="1029" s="1"/>
  <c r="M16" i="1029"/>
  <c r="AF15" i="1029"/>
  <c r="AB15" i="1029"/>
  <c r="Q15" i="1029"/>
  <c r="P15" i="1029"/>
  <c r="AC15" i="1029" s="1"/>
  <c r="O15" i="1029"/>
  <c r="M15" i="1029"/>
  <c r="K15" i="1029"/>
  <c r="AF14" i="1029"/>
  <c r="AB14" i="1029"/>
  <c r="Q14" i="1029"/>
  <c r="P14" i="1029"/>
  <c r="AC14" i="1029" s="1"/>
  <c r="O14" i="1029"/>
  <c r="M14" i="1029"/>
  <c r="K14" i="1029"/>
  <c r="AF13" i="1029"/>
  <c r="Q13" i="1029"/>
  <c r="P13" i="1029" s="1"/>
  <c r="AC13" i="1029" s="1"/>
  <c r="AF12" i="1029"/>
  <c r="Q12" i="1029"/>
  <c r="P12" i="1029" s="1"/>
  <c r="AC12" i="1029" s="1"/>
  <c r="O12" i="1029"/>
  <c r="AB12" i="1029"/>
  <c r="AF11" i="1029"/>
  <c r="AB11" i="1029"/>
  <c r="Q11" i="1029"/>
  <c r="P11" i="1029"/>
  <c r="AC11" i="1029" s="1"/>
  <c r="O11" i="1029"/>
  <c r="M11" i="1029"/>
  <c r="AF10" i="1029"/>
  <c r="AB10" i="1029"/>
  <c r="Q10" i="1029"/>
  <c r="P10" i="1029"/>
  <c r="AC10" i="1029" s="1"/>
  <c r="O10" i="1029"/>
  <c r="M10" i="1029"/>
  <c r="K10" i="1029"/>
  <c r="AF9" i="1029"/>
  <c r="AB9" i="1029"/>
  <c r="Q9" i="1029"/>
  <c r="P9" i="1029" s="1"/>
  <c r="AC9" i="1029" s="1"/>
  <c r="O9" i="1029"/>
  <c r="M9" i="1029"/>
  <c r="AF8" i="1029"/>
  <c r="AB8" i="1029"/>
  <c r="Q8" i="1029"/>
  <c r="M8" i="1029"/>
  <c r="P8" i="1029"/>
  <c r="AC8" i="1029" s="1"/>
  <c r="AF7" i="1029"/>
  <c r="Q7" i="1029"/>
  <c r="P7" i="1029" s="1"/>
  <c r="AC7" i="1029" s="1"/>
  <c r="AF6" i="1029"/>
  <c r="AB6" i="1029"/>
  <c r="Q6" i="1029"/>
  <c r="P6" i="1029"/>
  <c r="AC6" i="1029" s="1"/>
  <c r="O6" i="1029"/>
  <c r="M6" i="1029"/>
  <c r="K6" i="1029"/>
  <c r="AD11" i="1029" l="1"/>
  <c r="Y8" i="16" s="1"/>
  <c r="AD15" i="1029"/>
  <c r="Y12" i="16" s="1"/>
  <c r="AD20" i="1029"/>
  <c r="Y17" i="16" s="1"/>
  <c r="AD14" i="1029"/>
  <c r="Y11" i="16" s="1"/>
  <c r="AD12" i="1029"/>
  <c r="Y9" i="16" s="1"/>
  <c r="AD9" i="1029"/>
  <c r="Y6" i="16" s="1"/>
  <c r="Q21" i="1029"/>
  <c r="AD10" i="1029"/>
  <c r="Y7" i="16" s="1"/>
  <c r="AD17" i="1029"/>
  <c r="Y14" i="16" s="1"/>
  <c r="AC21" i="1029"/>
  <c r="AD6" i="1029"/>
  <c r="Y3" i="16" s="1"/>
  <c r="AB16" i="1029"/>
  <c r="M19" i="1029"/>
  <c r="AB19" i="1029"/>
  <c r="M7" i="1029"/>
  <c r="AB7" i="1029"/>
  <c r="O8" i="1029"/>
  <c r="AD8" i="1029" s="1"/>
  <c r="Y5" i="16" s="1"/>
  <c r="M13" i="1029"/>
  <c r="AB13" i="1029"/>
  <c r="O16" i="1029"/>
  <c r="M18" i="1029"/>
  <c r="AB18" i="1029"/>
  <c r="O19" i="1029"/>
  <c r="O7" i="1029"/>
  <c r="M12" i="1029"/>
  <c r="O13" i="1029"/>
  <c r="O18" i="1029"/>
  <c r="L21" i="1029"/>
  <c r="O21" i="1029" s="1"/>
  <c r="P21" i="1029"/>
  <c r="K21" i="1029"/>
  <c r="L19" i="1028"/>
  <c r="K19" i="1028" s="1"/>
  <c r="L18" i="1028"/>
  <c r="L16" i="1028"/>
  <c r="K16" i="1028" s="1"/>
  <c r="L13" i="1028"/>
  <c r="O13" i="1028" s="1"/>
  <c r="L12" i="1028"/>
  <c r="K11" i="1028"/>
  <c r="AF11" i="1028"/>
  <c r="AB11" i="1028"/>
  <c r="Q11" i="1028"/>
  <c r="P11" i="1028" s="1"/>
  <c r="AC11" i="1028" s="1"/>
  <c r="O11" i="1028"/>
  <c r="M11" i="1028"/>
  <c r="L9" i="1028"/>
  <c r="K9" i="1028" s="1"/>
  <c r="L8" i="1028"/>
  <c r="K8" i="1028" s="1"/>
  <c r="L7" i="1028"/>
  <c r="K7" i="1028" s="1"/>
  <c r="K20" i="1028"/>
  <c r="K18" i="1028"/>
  <c r="K17" i="1028"/>
  <c r="K13" i="1028"/>
  <c r="K12" i="1028"/>
  <c r="K10" i="1028"/>
  <c r="A74" i="1028"/>
  <c r="A75" i="1028" s="1"/>
  <c r="A76" i="1028" s="1"/>
  <c r="A77" i="1028" s="1"/>
  <c r="A78" i="1028" s="1"/>
  <c r="A79" i="1028" s="1"/>
  <c r="A80" i="1028" s="1"/>
  <c r="A81" i="1028" s="1"/>
  <c r="AF60" i="1028"/>
  <c r="AF59" i="1028"/>
  <c r="AF62" i="1028" s="1"/>
  <c r="AA21" i="1028"/>
  <c r="Z21" i="1028"/>
  <c r="Y21" i="1028"/>
  <c r="X21" i="1028"/>
  <c r="W21" i="1028"/>
  <c r="V21" i="1028"/>
  <c r="U21" i="1028"/>
  <c r="T21" i="1028"/>
  <c r="S21" i="1028"/>
  <c r="R21" i="1028"/>
  <c r="N21" i="1028"/>
  <c r="J21" i="1028"/>
  <c r="I21" i="1028"/>
  <c r="AF20" i="1028"/>
  <c r="Q20" i="1028"/>
  <c r="P20" i="1028"/>
  <c r="AC20" i="1028" s="1"/>
  <c r="M20" i="1028"/>
  <c r="O20" i="1028"/>
  <c r="AF19" i="1028"/>
  <c r="Q19" i="1028"/>
  <c r="AF18" i="1028"/>
  <c r="AB18" i="1028"/>
  <c r="Q18" i="1028"/>
  <c r="P18" i="1028"/>
  <c r="AC18" i="1028" s="1"/>
  <c r="M18" i="1028"/>
  <c r="O18" i="1028"/>
  <c r="AF17" i="1028"/>
  <c r="Q17" i="1028"/>
  <c r="P17" i="1028"/>
  <c r="AC17" i="1028" s="1"/>
  <c r="AF16" i="1028"/>
  <c r="Q16" i="1028"/>
  <c r="M16" i="1028"/>
  <c r="AF15" i="1028"/>
  <c r="AB15" i="1028"/>
  <c r="Q15" i="1028"/>
  <c r="P15" i="1028"/>
  <c r="AC15" i="1028" s="1"/>
  <c r="O15" i="1028"/>
  <c r="M15" i="1028"/>
  <c r="K15" i="1028"/>
  <c r="AF14" i="1028"/>
  <c r="AB14" i="1028"/>
  <c r="Q14" i="1028"/>
  <c r="P14" i="1028"/>
  <c r="AC14" i="1028" s="1"/>
  <c r="O14" i="1028"/>
  <c r="M14" i="1028"/>
  <c r="K14" i="1028"/>
  <c r="AF13" i="1028"/>
  <c r="AB13" i="1028"/>
  <c r="Q13" i="1028"/>
  <c r="P13" i="1028" s="1"/>
  <c r="AC13" i="1028" s="1"/>
  <c r="M13" i="1028"/>
  <c r="AF12" i="1028"/>
  <c r="Q12" i="1028"/>
  <c r="P12" i="1028" s="1"/>
  <c r="AC12" i="1028" s="1"/>
  <c r="AF10" i="1028"/>
  <c r="Q10" i="1028"/>
  <c r="P10" i="1028"/>
  <c r="AC10" i="1028" s="1"/>
  <c r="O10" i="1028"/>
  <c r="AF9" i="1028"/>
  <c r="Q9" i="1028"/>
  <c r="O9" i="1028"/>
  <c r="AB9" i="1028"/>
  <c r="AF8" i="1028"/>
  <c r="AB8" i="1028"/>
  <c r="Q8" i="1028"/>
  <c r="P8" i="1028" s="1"/>
  <c r="AC8" i="1028" s="1"/>
  <c r="M8" i="1028"/>
  <c r="AF7" i="1028"/>
  <c r="Q7" i="1028"/>
  <c r="AF6" i="1028"/>
  <c r="AB6" i="1028"/>
  <c r="Q6" i="1028"/>
  <c r="P6" i="1028"/>
  <c r="O6" i="1028"/>
  <c r="M6" i="1028"/>
  <c r="K6" i="1028"/>
  <c r="L22" i="1027"/>
  <c r="L21" i="1027"/>
  <c r="L20" i="1027"/>
  <c r="L19" i="1027"/>
  <c r="K19" i="1027" s="1"/>
  <c r="L18" i="1027"/>
  <c r="K18" i="1027" s="1"/>
  <c r="K15" i="1027"/>
  <c r="L14" i="1027"/>
  <c r="K14" i="1027" s="1"/>
  <c r="AF14" i="1027"/>
  <c r="Q14" i="1027"/>
  <c r="AB14" i="1027"/>
  <c r="AF13" i="1027"/>
  <c r="AB13" i="1027"/>
  <c r="Q13" i="1027"/>
  <c r="P13" i="1027" s="1"/>
  <c r="AC13" i="1027" s="1"/>
  <c r="O13" i="1027"/>
  <c r="M13" i="1027"/>
  <c r="K13" i="1027"/>
  <c r="L11" i="1027"/>
  <c r="L10" i="1027"/>
  <c r="L9" i="1027"/>
  <c r="K9" i="1027" s="1"/>
  <c r="AF9" i="1027"/>
  <c r="Q9" i="1027"/>
  <c r="P9" i="1027" s="1"/>
  <c r="AC9" i="1027" s="1"/>
  <c r="O9" i="1027"/>
  <c r="M9" i="1027"/>
  <c r="L7" i="1027"/>
  <c r="AB9" i="1027" l="1"/>
  <c r="P16" i="1028"/>
  <c r="AC16" i="1028" s="1"/>
  <c r="O16" i="1028"/>
  <c r="AD16" i="1028" s="1"/>
  <c r="X13" i="16" s="1"/>
  <c r="AB16" i="1028"/>
  <c r="AB21" i="1029"/>
  <c r="AD13" i="1029"/>
  <c r="Y10" i="16" s="1"/>
  <c r="M21" i="1029"/>
  <c r="AD16" i="1029"/>
  <c r="Y13" i="16" s="1"/>
  <c r="AD18" i="1029"/>
  <c r="Y15" i="16" s="1"/>
  <c r="AD19" i="1029"/>
  <c r="Y16" i="16" s="1"/>
  <c r="AD7" i="1029"/>
  <c r="Y4" i="16" s="1"/>
  <c r="AB19" i="1028"/>
  <c r="O19" i="1028"/>
  <c r="AD11" i="1028"/>
  <c r="X8" i="16" s="1"/>
  <c r="AD14" i="1028"/>
  <c r="X11" i="16" s="1"/>
  <c r="Q21" i="1028"/>
  <c r="AB7" i="1028"/>
  <c r="O7" i="1028"/>
  <c r="AD13" i="1028"/>
  <c r="X10" i="16" s="1"/>
  <c r="AD15" i="1028"/>
  <c r="X12" i="16" s="1"/>
  <c r="AD18" i="1028"/>
  <c r="X15" i="16" s="1"/>
  <c r="AC6" i="1028"/>
  <c r="P7" i="1028"/>
  <c r="AC7" i="1028" s="1"/>
  <c r="O8" i="1028"/>
  <c r="AD8" i="1028" s="1"/>
  <c r="X5" i="16" s="1"/>
  <c r="P9" i="1028"/>
  <c r="AC9" i="1028" s="1"/>
  <c r="AD9" i="1028" s="1"/>
  <c r="X6" i="16" s="1"/>
  <c r="M12" i="1028"/>
  <c r="AB12" i="1028"/>
  <c r="M17" i="1028"/>
  <c r="AB17" i="1028"/>
  <c r="P19" i="1028"/>
  <c r="AC19" i="1028" s="1"/>
  <c r="M10" i="1028"/>
  <c r="AB10" i="1028"/>
  <c r="O12" i="1028"/>
  <c r="O17" i="1028"/>
  <c r="AB20" i="1028"/>
  <c r="AD20" i="1028" s="1"/>
  <c r="X17" i="16" s="1"/>
  <c r="L21" i="1028"/>
  <c r="O21" i="1028" s="1"/>
  <c r="M7" i="1028"/>
  <c r="M9" i="1028"/>
  <c r="K21" i="1028"/>
  <c r="M19" i="1028"/>
  <c r="AD13" i="1027"/>
  <c r="AD9" i="1027"/>
  <c r="O14" i="1027"/>
  <c r="P14" i="1027"/>
  <c r="AC14" i="1027" s="1"/>
  <c r="M14" i="1027"/>
  <c r="K22" i="1027"/>
  <c r="K21" i="1027"/>
  <c r="K20" i="1027"/>
  <c r="K11" i="1027"/>
  <c r="K10" i="1027"/>
  <c r="K8" i="1027"/>
  <c r="K7" i="1027"/>
  <c r="A76" i="1027"/>
  <c r="A77" i="1027" s="1"/>
  <c r="A78" i="1027" s="1"/>
  <c r="A79" i="1027" s="1"/>
  <c r="A80" i="1027" s="1"/>
  <c r="A81" i="1027" s="1"/>
  <c r="A82" i="1027" s="1"/>
  <c r="A83" i="1027" s="1"/>
  <c r="AF64" i="1027"/>
  <c r="AF62" i="1027"/>
  <c r="AF61" i="1027"/>
  <c r="AA23" i="1027"/>
  <c r="Z23" i="1027"/>
  <c r="Y23" i="1027"/>
  <c r="X23" i="1027"/>
  <c r="W23" i="1027"/>
  <c r="V23" i="1027"/>
  <c r="U23" i="1027"/>
  <c r="T23" i="1027"/>
  <c r="S23" i="1027"/>
  <c r="R23" i="1027"/>
  <c r="N23" i="1027"/>
  <c r="J23" i="1027"/>
  <c r="I23" i="1027"/>
  <c r="AF22" i="1027"/>
  <c r="AB22" i="1027"/>
  <c r="Q22" i="1027"/>
  <c r="P22" i="1027" s="1"/>
  <c r="AC22" i="1027" s="1"/>
  <c r="O22" i="1027"/>
  <c r="M22" i="1027"/>
  <c r="AF21" i="1027"/>
  <c r="AB21" i="1027"/>
  <c r="Q21" i="1027"/>
  <c r="P21" i="1027" s="1"/>
  <c r="AC21" i="1027" s="1"/>
  <c r="M21" i="1027"/>
  <c r="AF20" i="1027"/>
  <c r="Q20" i="1027"/>
  <c r="P20" i="1027" s="1"/>
  <c r="AC20" i="1027" s="1"/>
  <c r="AF19" i="1027"/>
  <c r="AB19" i="1027"/>
  <c r="Q19" i="1027"/>
  <c r="P19" i="1027"/>
  <c r="AC19" i="1027" s="1"/>
  <c r="O19" i="1027"/>
  <c r="M19" i="1027"/>
  <c r="AF18" i="1027"/>
  <c r="AB18" i="1027"/>
  <c r="Q18" i="1027"/>
  <c r="P18" i="1027" s="1"/>
  <c r="AC18" i="1027" s="1"/>
  <c r="M18" i="1027"/>
  <c r="AF17" i="1027"/>
  <c r="AB17" i="1027"/>
  <c r="Q17" i="1027"/>
  <c r="P17" i="1027"/>
  <c r="AC17" i="1027" s="1"/>
  <c r="AD17" i="1027" s="1"/>
  <c r="W12" i="16" s="1"/>
  <c r="O17" i="1027"/>
  <c r="M17" i="1027"/>
  <c r="K17" i="1027"/>
  <c r="AF16" i="1027"/>
  <c r="AB16" i="1027"/>
  <c r="Q16" i="1027"/>
  <c r="P16" i="1027"/>
  <c r="AC16" i="1027" s="1"/>
  <c r="O16" i="1027"/>
  <c r="M16" i="1027"/>
  <c r="K16" i="1027"/>
  <c r="AF15" i="1027"/>
  <c r="Q15" i="1027"/>
  <c r="P15" i="1027" s="1"/>
  <c r="AC15" i="1027" s="1"/>
  <c r="AF12" i="1027"/>
  <c r="AB12" i="1027"/>
  <c r="Q12" i="1027"/>
  <c r="P12" i="1027" s="1"/>
  <c r="AC12" i="1027" s="1"/>
  <c r="O12" i="1027"/>
  <c r="M12" i="1027"/>
  <c r="K12" i="1027"/>
  <c r="AF11" i="1027"/>
  <c r="AB11" i="1027"/>
  <c r="Q11" i="1027"/>
  <c r="M11" i="1027"/>
  <c r="P11" i="1027"/>
  <c r="AC11" i="1027" s="1"/>
  <c r="AF10" i="1027"/>
  <c r="Q10" i="1027"/>
  <c r="P10" i="1027" s="1"/>
  <c r="AC10" i="1027" s="1"/>
  <c r="AF8" i="1027"/>
  <c r="Q8" i="1027"/>
  <c r="P8" i="1027" s="1"/>
  <c r="AC8" i="1027" s="1"/>
  <c r="O8" i="1027"/>
  <c r="AB8" i="1027"/>
  <c r="AF7" i="1027"/>
  <c r="Q7" i="1027"/>
  <c r="O7" i="1027"/>
  <c r="M7" i="1027"/>
  <c r="L23" i="1027"/>
  <c r="AF6" i="1027"/>
  <c r="AB6" i="1027"/>
  <c r="Q6" i="1027"/>
  <c r="P6" i="1027"/>
  <c r="O6" i="1027"/>
  <c r="M6" i="1027"/>
  <c r="K6" i="1027"/>
  <c r="K11" i="1026"/>
  <c r="M11" i="1026"/>
  <c r="O11" i="1026"/>
  <c r="P11" i="1026"/>
  <c r="AC11" i="1026" s="1"/>
  <c r="Q11" i="1026"/>
  <c r="AB11" i="1026"/>
  <c r="AF11" i="1026"/>
  <c r="K13" i="1026"/>
  <c r="L21" i="1026"/>
  <c r="K21" i="1026" s="1"/>
  <c r="L20" i="1026"/>
  <c r="K20" i="1026" s="1"/>
  <c r="L19" i="1026"/>
  <c r="K19" i="1026" s="1"/>
  <c r="L17" i="1026"/>
  <c r="K17" i="1026" s="1"/>
  <c r="L14" i="1026"/>
  <c r="L10" i="1026"/>
  <c r="K10" i="1026" s="1"/>
  <c r="L9" i="1026"/>
  <c r="AB9" i="1026" s="1"/>
  <c r="L8" i="1026"/>
  <c r="K8" i="1026" s="1"/>
  <c r="L7" i="1026"/>
  <c r="K7" i="1026" s="1"/>
  <c r="K12" i="1026"/>
  <c r="K9" i="1026"/>
  <c r="A75" i="1026"/>
  <c r="A76" i="1026" s="1"/>
  <c r="A77" i="1026" s="1"/>
  <c r="A78" i="1026" s="1"/>
  <c r="A79" i="1026" s="1"/>
  <c r="A80" i="1026" s="1"/>
  <c r="A81" i="1026" s="1"/>
  <c r="A82" i="1026" s="1"/>
  <c r="AF61" i="1026"/>
  <c r="AF60" i="1026"/>
  <c r="AF63" i="1026" s="1"/>
  <c r="AA22" i="1026"/>
  <c r="Z22" i="1026"/>
  <c r="Y22" i="1026"/>
  <c r="X22" i="1026"/>
  <c r="W22" i="1026"/>
  <c r="V22" i="1026"/>
  <c r="U22" i="1026"/>
  <c r="T22" i="1026"/>
  <c r="S22" i="1026"/>
  <c r="R22" i="1026"/>
  <c r="N22" i="1026"/>
  <c r="J22" i="1026"/>
  <c r="I22" i="1026"/>
  <c r="AF21" i="1026"/>
  <c r="Q21" i="1026"/>
  <c r="O21" i="1026"/>
  <c r="AF20" i="1026"/>
  <c r="AB20" i="1026"/>
  <c r="Q20" i="1026"/>
  <c r="P20" i="1026" s="1"/>
  <c r="AC20" i="1026" s="1"/>
  <c r="M20" i="1026"/>
  <c r="AF19" i="1026"/>
  <c r="Q19" i="1026"/>
  <c r="AF18" i="1026"/>
  <c r="AB18" i="1026"/>
  <c r="Q18" i="1026"/>
  <c r="P18" i="1026"/>
  <c r="AC18" i="1026" s="1"/>
  <c r="O18" i="1026"/>
  <c r="M18" i="1026"/>
  <c r="K18" i="1026"/>
  <c r="AF17" i="1026"/>
  <c r="AB17" i="1026"/>
  <c r="Q17" i="1026"/>
  <c r="P17" i="1026" s="1"/>
  <c r="AC17" i="1026" s="1"/>
  <c r="M17" i="1026"/>
  <c r="AF16" i="1026"/>
  <c r="AB16" i="1026"/>
  <c r="Q16" i="1026"/>
  <c r="P16" i="1026"/>
  <c r="AC16" i="1026" s="1"/>
  <c r="O16" i="1026"/>
  <c r="M16" i="1026"/>
  <c r="K16" i="1026"/>
  <c r="AF15" i="1026"/>
  <c r="AB15" i="1026"/>
  <c r="Q15" i="1026"/>
  <c r="P15" i="1026"/>
  <c r="AC15" i="1026" s="1"/>
  <c r="O15" i="1026"/>
  <c r="M15" i="1026"/>
  <c r="K15" i="1026"/>
  <c r="AF14" i="1026"/>
  <c r="Q14" i="1026"/>
  <c r="AF13" i="1026"/>
  <c r="Q13" i="1026"/>
  <c r="P13" i="1026" s="1"/>
  <c r="AC13" i="1026" s="1"/>
  <c r="O13" i="1026"/>
  <c r="M13" i="1026"/>
  <c r="AB13" i="1026"/>
  <c r="AF12" i="1026"/>
  <c r="AB12" i="1026"/>
  <c r="Q12" i="1026"/>
  <c r="P12" i="1026" s="1"/>
  <c r="AC12" i="1026" s="1"/>
  <c r="O12" i="1026"/>
  <c r="M12" i="1026"/>
  <c r="AF10" i="1026"/>
  <c r="AB10" i="1026"/>
  <c r="Q10" i="1026"/>
  <c r="P10" i="1026" s="1"/>
  <c r="AC10" i="1026" s="1"/>
  <c r="AD10" i="1026" s="1"/>
  <c r="V7" i="16" s="1"/>
  <c r="O10" i="1026"/>
  <c r="M10" i="1026"/>
  <c r="AF9" i="1026"/>
  <c r="Q9" i="1026"/>
  <c r="M9" i="1026"/>
  <c r="AF8" i="1026"/>
  <c r="Q8" i="1026"/>
  <c r="P8" i="1026" s="1"/>
  <c r="AC8" i="1026" s="1"/>
  <c r="AF7" i="1026"/>
  <c r="Q7" i="1026"/>
  <c r="P7" i="1026" s="1"/>
  <c r="AC7" i="1026" s="1"/>
  <c r="O7" i="1026"/>
  <c r="AF6" i="1026"/>
  <c r="AB6" i="1026"/>
  <c r="Q6" i="1026"/>
  <c r="P6" i="1026"/>
  <c r="AC6" i="1026" s="1"/>
  <c r="O6" i="1026"/>
  <c r="M6" i="1026"/>
  <c r="K6" i="1026"/>
  <c r="P9" i="1026" l="1"/>
  <c r="AC9" i="1026" s="1"/>
  <c r="AD11" i="1026"/>
  <c r="V8" i="16" s="1"/>
  <c r="L22" i="1026"/>
  <c r="O22" i="1026" s="1"/>
  <c r="AD21" i="1029"/>
  <c r="AD19" i="1028"/>
  <c r="X16" i="16" s="1"/>
  <c r="AD12" i="1028"/>
  <c r="X9" i="16" s="1"/>
  <c r="AD7" i="1028"/>
  <c r="X4" i="16" s="1"/>
  <c r="AD17" i="1028"/>
  <c r="X14" i="16" s="1"/>
  <c r="M21" i="1028"/>
  <c r="AB21" i="1028"/>
  <c r="AD10" i="1028"/>
  <c r="X7" i="16" s="1"/>
  <c r="AC21" i="1028"/>
  <c r="AD6" i="1028"/>
  <c r="X3" i="16" s="1"/>
  <c r="P21" i="1028"/>
  <c r="AD19" i="1027"/>
  <c r="W14" i="16" s="1"/>
  <c r="AD22" i="1027"/>
  <c r="W17" i="16" s="1"/>
  <c r="O23" i="1027"/>
  <c r="AD14" i="1027"/>
  <c r="W9" i="16" s="1"/>
  <c r="Q23" i="1027"/>
  <c r="AD16" i="1027"/>
  <c r="W11" i="16" s="1"/>
  <c r="AD12" i="1027"/>
  <c r="W8" i="16" s="1"/>
  <c r="AD8" i="1027"/>
  <c r="W5" i="16" s="1"/>
  <c r="AC6" i="1027"/>
  <c r="K23" i="1027"/>
  <c r="P7" i="1027"/>
  <c r="AC7" i="1027" s="1"/>
  <c r="M10" i="1027"/>
  <c r="AB10" i="1027"/>
  <c r="O11" i="1027"/>
  <c r="AD11" i="1027" s="1"/>
  <c r="W7" i="16" s="1"/>
  <c r="M15" i="1027"/>
  <c r="AB15" i="1027"/>
  <c r="O18" i="1027"/>
  <c r="AD18" i="1027" s="1"/>
  <c r="W13" i="16" s="1"/>
  <c r="M20" i="1027"/>
  <c r="AB20" i="1027"/>
  <c r="O21" i="1027"/>
  <c r="AD21" i="1027" s="1"/>
  <c r="W16" i="16" s="1"/>
  <c r="M8" i="1027"/>
  <c r="O10" i="1027"/>
  <c r="O15" i="1027"/>
  <c r="O20" i="1027"/>
  <c r="AB7" i="1027"/>
  <c r="P14" i="1026"/>
  <c r="AC14" i="1026" s="1"/>
  <c r="P19" i="1026"/>
  <c r="AC19" i="1026" s="1"/>
  <c r="AD16" i="1026"/>
  <c r="V12" i="16" s="1"/>
  <c r="AD18" i="1026"/>
  <c r="V14" i="16" s="1"/>
  <c r="AB21" i="1026"/>
  <c r="AD15" i="1026"/>
  <c r="V11" i="16" s="1"/>
  <c r="M21" i="1026"/>
  <c r="K14" i="1026"/>
  <c r="Q22" i="1026"/>
  <c r="AD12" i="1026"/>
  <c r="V9" i="16" s="1"/>
  <c r="AD13" i="1026"/>
  <c r="AD6" i="1026"/>
  <c r="V3" i="16" s="1"/>
  <c r="M8" i="1026"/>
  <c r="AB8" i="1026"/>
  <c r="O9" i="1026"/>
  <c r="AD9" i="1026" s="1"/>
  <c r="V6" i="16" s="1"/>
  <c r="M14" i="1026"/>
  <c r="AB14" i="1026"/>
  <c r="O17" i="1026"/>
  <c r="AD17" i="1026" s="1"/>
  <c r="V13" i="16" s="1"/>
  <c r="M19" i="1026"/>
  <c r="AB19" i="1026"/>
  <c r="O20" i="1026"/>
  <c r="AD20" i="1026" s="1"/>
  <c r="V16" i="16" s="1"/>
  <c r="P21" i="1026"/>
  <c r="AC21" i="1026" s="1"/>
  <c r="M7" i="1026"/>
  <c r="AB7" i="1026"/>
  <c r="AD7" i="1026" s="1"/>
  <c r="V4" i="16" s="1"/>
  <c r="O8" i="1026"/>
  <c r="O14" i="1026"/>
  <c r="O19" i="1026"/>
  <c r="K22" i="1026"/>
  <c r="L21" i="1025"/>
  <c r="L20" i="1025"/>
  <c r="K20" i="1025" s="1"/>
  <c r="L19" i="1025"/>
  <c r="L17" i="1025"/>
  <c r="M17" i="1025" s="1"/>
  <c r="L14" i="1025"/>
  <c r="K14" i="1025" s="1"/>
  <c r="L13" i="1025"/>
  <c r="L12" i="1025"/>
  <c r="K12" i="1025" s="1"/>
  <c r="K11" i="1025"/>
  <c r="K10" i="1025"/>
  <c r="AF11" i="1025"/>
  <c r="AB11" i="1025"/>
  <c r="Q11" i="1025"/>
  <c r="P11" i="1025" s="1"/>
  <c r="AC11" i="1025" s="1"/>
  <c r="AD11" i="1025" s="1"/>
  <c r="O11" i="1025"/>
  <c r="M11" i="1025"/>
  <c r="L9" i="1025"/>
  <c r="K9" i="1025" s="1"/>
  <c r="L8" i="1025"/>
  <c r="K8" i="1025" s="1"/>
  <c r="L7" i="1025"/>
  <c r="AB7" i="1025" s="1"/>
  <c r="K21" i="1025"/>
  <c r="K19" i="1025"/>
  <c r="K13" i="1025"/>
  <c r="A75" i="1025"/>
  <c r="A76" i="1025" s="1"/>
  <c r="A77" i="1025" s="1"/>
  <c r="A78" i="1025" s="1"/>
  <c r="A79" i="1025" s="1"/>
  <c r="A80" i="1025" s="1"/>
  <c r="A81" i="1025" s="1"/>
  <c r="A82" i="1025" s="1"/>
  <c r="AF63" i="1025"/>
  <c r="AF61" i="1025"/>
  <c r="AF60" i="1025"/>
  <c r="AA22" i="1025"/>
  <c r="Z22" i="1025"/>
  <c r="Y22" i="1025"/>
  <c r="X22" i="1025"/>
  <c r="W22" i="1025"/>
  <c r="V22" i="1025"/>
  <c r="U22" i="1025"/>
  <c r="T22" i="1025"/>
  <c r="S22" i="1025"/>
  <c r="R22" i="1025"/>
  <c r="N22" i="1025"/>
  <c r="J22" i="1025"/>
  <c r="I22" i="1025"/>
  <c r="AF21" i="1025"/>
  <c r="Q21" i="1025"/>
  <c r="O21" i="1025"/>
  <c r="M21" i="1025"/>
  <c r="AB21" i="1025"/>
  <c r="AF20" i="1025"/>
  <c r="AB20" i="1025"/>
  <c r="Q20" i="1025"/>
  <c r="P20" i="1025" s="1"/>
  <c r="AC20" i="1025" s="1"/>
  <c r="M20" i="1025"/>
  <c r="AF19" i="1025"/>
  <c r="Q19" i="1025"/>
  <c r="P19" i="1025" s="1"/>
  <c r="AC19" i="1025" s="1"/>
  <c r="AF18" i="1025"/>
  <c r="AB18" i="1025"/>
  <c r="Q18" i="1025"/>
  <c r="P18" i="1025"/>
  <c r="AC18" i="1025" s="1"/>
  <c r="O18" i="1025"/>
  <c r="M18" i="1025"/>
  <c r="K18" i="1025"/>
  <c r="AF17" i="1025"/>
  <c r="AB17" i="1025"/>
  <c r="Q17" i="1025"/>
  <c r="AF16" i="1025"/>
  <c r="AB16" i="1025"/>
  <c r="Q16" i="1025"/>
  <c r="P16" i="1025"/>
  <c r="AC16" i="1025" s="1"/>
  <c r="O16" i="1025"/>
  <c r="M16" i="1025"/>
  <c r="K16" i="1025"/>
  <c r="AF15" i="1025"/>
  <c r="AB15" i="1025"/>
  <c r="Q15" i="1025"/>
  <c r="P15" i="1025"/>
  <c r="AC15" i="1025" s="1"/>
  <c r="O15" i="1025"/>
  <c r="M15" i="1025"/>
  <c r="K15" i="1025"/>
  <c r="AF14" i="1025"/>
  <c r="AB14" i="1025"/>
  <c r="Q14" i="1025"/>
  <c r="P14" i="1025" s="1"/>
  <c r="AC14" i="1025" s="1"/>
  <c r="O14" i="1025"/>
  <c r="M14" i="1025"/>
  <c r="AF13" i="1025"/>
  <c r="AB13" i="1025"/>
  <c r="Q13" i="1025"/>
  <c r="P13" i="1025" s="1"/>
  <c r="AC13" i="1025" s="1"/>
  <c r="O13" i="1025"/>
  <c r="M13" i="1025"/>
  <c r="AF12" i="1025"/>
  <c r="AB12" i="1025"/>
  <c r="Q12" i="1025"/>
  <c r="P12" i="1025" s="1"/>
  <c r="AC12" i="1025" s="1"/>
  <c r="M12" i="1025"/>
  <c r="AF10" i="1025"/>
  <c r="Q10" i="1025"/>
  <c r="P10" i="1025" s="1"/>
  <c r="AC10" i="1025" s="1"/>
  <c r="AF9" i="1025"/>
  <c r="Q9" i="1025"/>
  <c r="P9" i="1025" s="1"/>
  <c r="AC9" i="1025" s="1"/>
  <c r="O9" i="1025"/>
  <c r="M9" i="1025"/>
  <c r="AB9" i="1025"/>
  <c r="AF8" i="1025"/>
  <c r="AB8" i="1025"/>
  <c r="Q8" i="1025"/>
  <c r="AF7" i="1025"/>
  <c r="Q7" i="1025"/>
  <c r="AF6" i="1025"/>
  <c r="AB6" i="1025"/>
  <c r="Q6" i="1025"/>
  <c r="P6" i="1025"/>
  <c r="O6" i="1025"/>
  <c r="M6" i="1025"/>
  <c r="K6" i="1025"/>
  <c r="L22" i="1025" l="1"/>
  <c r="O22" i="1025" s="1"/>
  <c r="O8" i="1025"/>
  <c r="P8" i="1025"/>
  <c r="AC8" i="1025" s="1"/>
  <c r="K17" i="1025"/>
  <c r="AE19" i="1029"/>
  <c r="Y18" i="16"/>
  <c r="AD16" i="1025"/>
  <c r="U12" i="16" s="1"/>
  <c r="P17" i="1025"/>
  <c r="AC17" i="1025" s="1"/>
  <c r="AD18" i="1025"/>
  <c r="U14" i="16" s="1"/>
  <c r="M8" i="1025"/>
  <c r="AE12" i="1029"/>
  <c r="AE13" i="1029"/>
  <c r="AE7" i="1029"/>
  <c r="AE15" i="1029"/>
  <c r="AE17" i="1029"/>
  <c r="AE9" i="1029"/>
  <c r="AE8" i="1029"/>
  <c r="AE18" i="1029"/>
  <c r="AE20" i="1029"/>
  <c r="AE11" i="1029"/>
  <c r="AE16" i="1029"/>
  <c r="AE6" i="1029"/>
  <c r="AE10" i="1029"/>
  <c r="AE14" i="1029"/>
  <c r="AD21" i="1028"/>
  <c r="X18" i="16" s="1"/>
  <c r="AD15" i="1027"/>
  <c r="W10" i="16" s="1"/>
  <c r="AD10" i="1027"/>
  <c r="W6" i="16" s="1"/>
  <c r="AD20" i="1027"/>
  <c r="W15" i="16" s="1"/>
  <c r="AB23" i="1027"/>
  <c r="M23" i="1027"/>
  <c r="AC23" i="1027"/>
  <c r="AD6" i="1027"/>
  <c r="W3" i="16" s="1"/>
  <c r="P23" i="1027"/>
  <c r="AD7" i="1027"/>
  <c r="W4" i="16" s="1"/>
  <c r="AD21" i="1026"/>
  <c r="V17" i="16" s="1"/>
  <c r="P22" i="1026"/>
  <c r="M22" i="1026"/>
  <c r="AD19" i="1026"/>
  <c r="V15" i="16" s="1"/>
  <c r="AD8" i="1026"/>
  <c r="V5" i="16" s="1"/>
  <c r="AD14" i="1026"/>
  <c r="V10" i="16" s="1"/>
  <c r="AC22" i="1026"/>
  <c r="AB22" i="1026"/>
  <c r="AD8" i="1025"/>
  <c r="U5" i="16" s="1"/>
  <c r="Q22" i="1025"/>
  <c r="AD13" i="1025"/>
  <c r="U9" i="16" s="1"/>
  <c r="AD15" i="1025"/>
  <c r="U11" i="16" s="1"/>
  <c r="M7" i="1025"/>
  <c r="K7" i="1025"/>
  <c r="K22" i="1025" s="1"/>
  <c r="AD14" i="1025"/>
  <c r="U10" i="16" s="1"/>
  <c r="AD9" i="1025"/>
  <c r="U6" i="16" s="1"/>
  <c r="O7" i="1025"/>
  <c r="M10" i="1025"/>
  <c r="AB10" i="1025"/>
  <c r="O12" i="1025"/>
  <c r="AD12" i="1025" s="1"/>
  <c r="U8" i="16" s="1"/>
  <c r="O17" i="1025"/>
  <c r="M19" i="1025"/>
  <c r="AB19" i="1025"/>
  <c r="O20" i="1025"/>
  <c r="AD20" i="1025" s="1"/>
  <c r="U16" i="16" s="1"/>
  <c r="P21" i="1025"/>
  <c r="AC21" i="1025" s="1"/>
  <c r="AD21" i="1025" s="1"/>
  <c r="U17" i="16" s="1"/>
  <c r="AC6" i="1025"/>
  <c r="P7" i="1025"/>
  <c r="AC7" i="1025" s="1"/>
  <c r="O10" i="1025"/>
  <c r="O19" i="1025"/>
  <c r="L20" i="1024"/>
  <c r="K20" i="1024" s="1"/>
  <c r="L19" i="1024"/>
  <c r="K19" i="1024" s="1"/>
  <c r="L18" i="1024"/>
  <c r="K18" i="1024" s="1"/>
  <c r="L16" i="1024"/>
  <c r="K16" i="1024" s="1"/>
  <c r="L12" i="1024"/>
  <c r="L11" i="1024"/>
  <c r="K11" i="1024" s="1"/>
  <c r="L10" i="1024"/>
  <c r="K10" i="1024" s="1"/>
  <c r="L9" i="1024"/>
  <c r="O9" i="1024" s="1"/>
  <c r="L8" i="1024"/>
  <c r="K8" i="1024" s="1"/>
  <c r="L7" i="1024"/>
  <c r="M7" i="1024" s="1"/>
  <c r="K13" i="1024"/>
  <c r="K9" i="1024"/>
  <c r="A74" i="1024"/>
  <c r="A75" i="1024" s="1"/>
  <c r="A76" i="1024" s="1"/>
  <c r="A77" i="1024" s="1"/>
  <c r="A78" i="1024" s="1"/>
  <c r="A79" i="1024" s="1"/>
  <c r="A80" i="1024" s="1"/>
  <c r="A81" i="1024" s="1"/>
  <c r="AF60" i="1024"/>
  <c r="AF59" i="1024"/>
  <c r="AF62" i="1024" s="1"/>
  <c r="AA21" i="1024"/>
  <c r="Z21" i="1024"/>
  <c r="Y21" i="1024"/>
  <c r="X21" i="1024"/>
  <c r="W21" i="1024"/>
  <c r="V21" i="1024"/>
  <c r="U21" i="1024"/>
  <c r="T21" i="1024"/>
  <c r="S21" i="1024"/>
  <c r="R21" i="1024"/>
  <c r="N21" i="1024"/>
  <c r="J21" i="1024"/>
  <c r="I21" i="1024"/>
  <c r="AF20" i="1024"/>
  <c r="Q20" i="1024"/>
  <c r="M20" i="1024"/>
  <c r="AF19" i="1024"/>
  <c r="Q19" i="1024"/>
  <c r="AF18" i="1024"/>
  <c r="Q18" i="1024"/>
  <c r="P18" i="1024" s="1"/>
  <c r="AC18" i="1024" s="1"/>
  <c r="AF17" i="1024"/>
  <c r="AB17" i="1024"/>
  <c r="Q17" i="1024"/>
  <c r="P17" i="1024"/>
  <c r="AC17" i="1024" s="1"/>
  <c r="O17" i="1024"/>
  <c r="M17" i="1024"/>
  <c r="K17" i="1024"/>
  <c r="AF16" i="1024"/>
  <c r="AB16" i="1024"/>
  <c r="Q16" i="1024"/>
  <c r="AF15" i="1024"/>
  <c r="AB15" i="1024"/>
  <c r="Q15" i="1024"/>
  <c r="P15" i="1024"/>
  <c r="AC15" i="1024" s="1"/>
  <c r="O15" i="1024"/>
  <c r="M15" i="1024"/>
  <c r="K15" i="1024"/>
  <c r="AF14" i="1024"/>
  <c r="AB14" i="1024"/>
  <c r="Q14" i="1024"/>
  <c r="P14" i="1024"/>
  <c r="AC14" i="1024" s="1"/>
  <c r="O14" i="1024"/>
  <c r="M14" i="1024"/>
  <c r="K14" i="1024"/>
  <c r="AF13" i="1024"/>
  <c r="AB13" i="1024"/>
  <c r="Q13" i="1024"/>
  <c r="P13" i="1024" s="1"/>
  <c r="AC13" i="1024" s="1"/>
  <c r="O13" i="1024"/>
  <c r="M13" i="1024"/>
  <c r="AF12" i="1024"/>
  <c r="Q12" i="1024"/>
  <c r="O12" i="1024"/>
  <c r="AB12" i="1024"/>
  <c r="AF11" i="1024"/>
  <c r="AB11" i="1024"/>
  <c r="Q11" i="1024"/>
  <c r="P11" i="1024" s="1"/>
  <c r="AC11" i="1024" s="1"/>
  <c r="O11" i="1024"/>
  <c r="M11" i="1024"/>
  <c r="AF10" i="1024"/>
  <c r="Q10" i="1024"/>
  <c r="P10" i="1024" s="1"/>
  <c r="AC10" i="1024" s="1"/>
  <c r="AF9" i="1024"/>
  <c r="Q9" i="1024"/>
  <c r="P9" i="1024"/>
  <c r="AC9" i="1024" s="1"/>
  <c r="AF8" i="1024"/>
  <c r="AB8" i="1024"/>
  <c r="Q8" i="1024"/>
  <c r="P8" i="1024" s="1"/>
  <c r="AC8" i="1024" s="1"/>
  <c r="M8" i="1024"/>
  <c r="AF7" i="1024"/>
  <c r="AB7" i="1024"/>
  <c r="Q7" i="1024"/>
  <c r="AF6" i="1024"/>
  <c r="AB6" i="1024"/>
  <c r="Q6" i="1024"/>
  <c r="P6" i="1024"/>
  <c r="O6" i="1024"/>
  <c r="M6" i="1024"/>
  <c r="K6" i="1024"/>
  <c r="M16" i="1024" l="1"/>
  <c r="AD17" i="1024"/>
  <c r="T14" i="16" s="1"/>
  <c r="AD17" i="1025"/>
  <c r="U13" i="16" s="1"/>
  <c r="AB9" i="1024"/>
  <c r="O16" i="1024"/>
  <c r="P16" i="1024"/>
  <c r="AC16" i="1024" s="1"/>
  <c r="AD16" i="1024" s="1"/>
  <c r="T13" i="16" s="1"/>
  <c r="AE18" i="1028"/>
  <c r="AE13" i="1028"/>
  <c r="AE10" i="1028"/>
  <c r="AE14" i="1028"/>
  <c r="AE11" i="1028"/>
  <c r="AE12" i="1028"/>
  <c r="AE17" i="1028"/>
  <c r="AE16" i="1028"/>
  <c r="AE8" i="1028"/>
  <c r="AE9" i="1028"/>
  <c r="AE20" i="1028"/>
  <c r="AE15" i="1028"/>
  <c r="AE6" i="1028"/>
  <c r="AE7" i="1028"/>
  <c r="AE19" i="1028"/>
  <c r="AD23" i="1027"/>
  <c r="AD22" i="1026"/>
  <c r="AD19" i="1025"/>
  <c r="U15" i="16" s="1"/>
  <c r="AB22" i="1025"/>
  <c r="AD7" i="1025"/>
  <c r="U4" i="16" s="1"/>
  <c r="M22" i="1025"/>
  <c r="AD10" i="1025"/>
  <c r="U7" i="16" s="1"/>
  <c r="AC22" i="1025"/>
  <c r="AD6" i="1025"/>
  <c r="U3" i="16" s="1"/>
  <c r="P22" i="1025"/>
  <c r="AD9" i="1024"/>
  <c r="T6" i="16" s="1"/>
  <c r="P12" i="1024"/>
  <c r="AC12" i="1024" s="1"/>
  <c r="AD12" i="1024" s="1"/>
  <c r="T9" i="16" s="1"/>
  <c r="K12" i="1024"/>
  <c r="Q21" i="1024"/>
  <c r="O8" i="1024"/>
  <c r="AD8" i="1024" s="1"/>
  <c r="T5" i="16" s="1"/>
  <c r="O20" i="1024"/>
  <c r="AB19" i="1024"/>
  <c r="L21" i="1024"/>
  <c r="O21" i="1024" s="1"/>
  <c r="K7" i="1024"/>
  <c r="AD15" i="1024"/>
  <c r="T12" i="16" s="1"/>
  <c r="AD14" i="1024"/>
  <c r="T11" i="16" s="1"/>
  <c r="AD11" i="1024"/>
  <c r="T8" i="16" s="1"/>
  <c r="AD13" i="1024"/>
  <c r="T10" i="16" s="1"/>
  <c r="O7" i="1024"/>
  <c r="M10" i="1024"/>
  <c r="AB10" i="1024"/>
  <c r="M18" i="1024"/>
  <c r="AB18" i="1024"/>
  <c r="O19" i="1024"/>
  <c r="P20" i="1024"/>
  <c r="AC20" i="1024" s="1"/>
  <c r="AC6" i="1024"/>
  <c r="K21" i="1024"/>
  <c r="P7" i="1024"/>
  <c r="AC7" i="1024" s="1"/>
  <c r="AD7" i="1024" s="1"/>
  <c r="T4" i="16" s="1"/>
  <c r="M9" i="1024"/>
  <c r="O10" i="1024"/>
  <c r="M12" i="1024"/>
  <c r="O18" i="1024"/>
  <c r="P19" i="1024"/>
  <c r="AC19" i="1024" s="1"/>
  <c r="AB20" i="1024"/>
  <c r="M19" i="1024"/>
  <c r="L21" i="1023"/>
  <c r="O21" i="1023" s="1"/>
  <c r="L20" i="1023"/>
  <c r="L19" i="1023"/>
  <c r="K16" i="1023"/>
  <c r="AF16" i="1023"/>
  <c r="AB16" i="1023"/>
  <c r="Q16" i="1023"/>
  <c r="P16" i="1023" s="1"/>
  <c r="AC16" i="1023" s="1"/>
  <c r="O16" i="1023"/>
  <c r="M16" i="1023"/>
  <c r="K14" i="1023"/>
  <c r="K13" i="1023"/>
  <c r="L12" i="1023"/>
  <c r="K12" i="1023" s="1"/>
  <c r="L9" i="1023"/>
  <c r="K9" i="1023" s="1"/>
  <c r="L10" i="1023"/>
  <c r="K10" i="1023" s="1"/>
  <c r="AF10" i="1023"/>
  <c r="Q10" i="1023"/>
  <c r="AB10" i="1023"/>
  <c r="L8" i="1023"/>
  <c r="K8" i="1023" s="1"/>
  <c r="L7" i="1023"/>
  <c r="K7" i="1023" s="1"/>
  <c r="K20" i="1023"/>
  <c r="K19" i="1023"/>
  <c r="K17" i="1023"/>
  <c r="A75" i="1023"/>
  <c r="A76" i="1023" s="1"/>
  <c r="A77" i="1023" s="1"/>
  <c r="A78" i="1023" s="1"/>
  <c r="A79" i="1023" s="1"/>
  <c r="A80" i="1023" s="1"/>
  <c r="A81" i="1023" s="1"/>
  <c r="A82" i="1023" s="1"/>
  <c r="AF63" i="1023"/>
  <c r="AF61" i="1023"/>
  <c r="AF60" i="1023"/>
  <c r="AA22" i="1023"/>
  <c r="Z22" i="1023"/>
  <c r="Y22" i="1023"/>
  <c r="X22" i="1023"/>
  <c r="W22" i="1023"/>
  <c r="V22" i="1023"/>
  <c r="U22" i="1023"/>
  <c r="T22" i="1023"/>
  <c r="S22" i="1023"/>
  <c r="R22" i="1023"/>
  <c r="N22" i="1023"/>
  <c r="J22" i="1023"/>
  <c r="I22" i="1023"/>
  <c r="AF21" i="1023"/>
  <c r="Q21" i="1023"/>
  <c r="AB21" i="1023"/>
  <c r="AF20" i="1023"/>
  <c r="AB20" i="1023"/>
  <c r="Q20" i="1023"/>
  <c r="P20" i="1023" s="1"/>
  <c r="AC20" i="1023" s="1"/>
  <c r="M20" i="1023"/>
  <c r="AF19" i="1023"/>
  <c r="Q19" i="1023"/>
  <c r="P19" i="1023" s="1"/>
  <c r="AC19" i="1023" s="1"/>
  <c r="AF18" i="1023"/>
  <c r="AB18" i="1023"/>
  <c r="Q18" i="1023"/>
  <c r="P18" i="1023"/>
  <c r="AC18" i="1023" s="1"/>
  <c r="O18" i="1023"/>
  <c r="M18" i="1023"/>
  <c r="K18" i="1023"/>
  <c r="AF17" i="1023"/>
  <c r="AB17" i="1023"/>
  <c r="Q17" i="1023"/>
  <c r="P17" i="1023" s="1"/>
  <c r="AC17" i="1023" s="1"/>
  <c r="M17" i="1023"/>
  <c r="AF15" i="1023"/>
  <c r="AB15" i="1023"/>
  <c r="Q15" i="1023"/>
  <c r="P15" i="1023"/>
  <c r="AC15" i="1023" s="1"/>
  <c r="O15" i="1023"/>
  <c r="M15" i="1023"/>
  <c r="K15" i="1023"/>
  <c r="AF14" i="1023"/>
  <c r="AB14" i="1023"/>
  <c r="Q14" i="1023"/>
  <c r="P14" i="1023" s="1"/>
  <c r="AC14" i="1023" s="1"/>
  <c r="O14" i="1023"/>
  <c r="M14" i="1023"/>
  <c r="AF13" i="1023"/>
  <c r="AB13" i="1023"/>
  <c r="Q13" i="1023"/>
  <c r="P13" i="1023" s="1"/>
  <c r="AC13" i="1023" s="1"/>
  <c r="O13" i="1023"/>
  <c r="M13" i="1023"/>
  <c r="AF12" i="1023"/>
  <c r="AB12" i="1023"/>
  <c r="Q12" i="1023"/>
  <c r="M12" i="1023"/>
  <c r="AF11" i="1023"/>
  <c r="AB11" i="1023"/>
  <c r="Q11" i="1023"/>
  <c r="P11" i="1023"/>
  <c r="AC11" i="1023" s="1"/>
  <c r="O11" i="1023"/>
  <c r="M11" i="1023"/>
  <c r="K11" i="1023"/>
  <c r="AF9" i="1023"/>
  <c r="AB9" i="1023"/>
  <c r="Q9" i="1023"/>
  <c r="AF8" i="1023"/>
  <c r="Q8" i="1023"/>
  <c r="P8" i="1023" s="1"/>
  <c r="AC8" i="1023" s="1"/>
  <c r="AF7" i="1023"/>
  <c r="Q7" i="1023"/>
  <c r="P7" i="1023" s="1"/>
  <c r="AC7" i="1023" s="1"/>
  <c r="O7" i="1023"/>
  <c r="AF6" i="1023"/>
  <c r="AB6" i="1023"/>
  <c r="Q6" i="1023"/>
  <c r="P6" i="1023"/>
  <c r="AC6" i="1023" s="1"/>
  <c r="O6" i="1023"/>
  <c r="M6" i="1023"/>
  <c r="K6" i="1023"/>
  <c r="M21" i="1023" l="1"/>
  <c r="AE6" i="1027"/>
  <c r="AE12" i="1027"/>
  <c r="W18" i="16"/>
  <c r="AE14" i="1027"/>
  <c r="AE13" i="1027"/>
  <c r="AE11" i="1027"/>
  <c r="AE15" i="1027"/>
  <c r="AE16" i="1027"/>
  <c r="P12" i="1023"/>
  <c r="AC12" i="1023" s="1"/>
  <c r="AD19" i="1024"/>
  <c r="T16" i="16" s="1"/>
  <c r="AD14" i="1023"/>
  <c r="S11" i="16" s="1"/>
  <c r="AE12" i="1026"/>
  <c r="V18" i="16"/>
  <c r="K21" i="1023"/>
  <c r="K22" i="1023" s="1"/>
  <c r="O12" i="1023"/>
  <c r="AE21" i="1027"/>
  <c r="AE19" i="1027"/>
  <c r="AE17" i="1027"/>
  <c r="AE8" i="1027"/>
  <c r="AE7" i="1027"/>
  <c r="AE22" i="1027"/>
  <c r="AE18" i="1027"/>
  <c r="AE10" i="1027"/>
  <c r="AE20" i="1027"/>
  <c r="AE9" i="1027"/>
  <c r="AE19" i="1026"/>
  <c r="AE16" i="1026"/>
  <c r="AE11" i="1026"/>
  <c r="AE13" i="1026"/>
  <c r="AE9" i="1026"/>
  <c r="AE15" i="1026"/>
  <c r="AE18" i="1026"/>
  <c r="AE17" i="1026"/>
  <c r="AE7" i="1026"/>
  <c r="AE14" i="1026"/>
  <c r="AE21" i="1026"/>
  <c r="AE20" i="1026"/>
  <c r="AE10" i="1026"/>
  <c r="AE6" i="1026"/>
  <c r="AE8" i="1026"/>
  <c r="AD22" i="1025"/>
  <c r="AB21" i="1024"/>
  <c r="M21" i="1024"/>
  <c r="AD10" i="1024"/>
  <c r="T7" i="16" s="1"/>
  <c r="AD18" i="1024"/>
  <c r="T15" i="16" s="1"/>
  <c r="AC21" i="1024"/>
  <c r="AD6" i="1024"/>
  <c r="T3" i="16" s="1"/>
  <c r="P21" i="1024"/>
  <c r="AD20" i="1024"/>
  <c r="T17" i="16" s="1"/>
  <c r="AD12" i="1023"/>
  <c r="S9" i="16" s="1"/>
  <c r="AD16" i="1023"/>
  <c r="Q22" i="1023"/>
  <c r="O10" i="1023"/>
  <c r="P10" i="1023"/>
  <c r="AC10" i="1023" s="1"/>
  <c r="M10" i="1023"/>
  <c r="P9" i="1023"/>
  <c r="AC9" i="1023" s="1"/>
  <c r="M9" i="1023"/>
  <c r="L22" i="1023"/>
  <c r="O22" i="1023" s="1"/>
  <c r="AD11" i="1023"/>
  <c r="S8" i="16" s="1"/>
  <c r="AD15" i="1023"/>
  <c r="S12" i="16" s="1"/>
  <c r="AD18" i="1023"/>
  <c r="S14" i="16" s="1"/>
  <c r="AD13" i="1023"/>
  <c r="S10" i="16" s="1"/>
  <c r="AD6" i="1023"/>
  <c r="S3" i="16" s="1"/>
  <c r="M8" i="1023"/>
  <c r="AB8" i="1023"/>
  <c r="O9" i="1023"/>
  <c r="O17" i="1023"/>
  <c r="AD17" i="1023" s="1"/>
  <c r="M19" i="1023"/>
  <c r="AB19" i="1023"/>
  <c r="O20" i="1023"/>
  <c r="AD20" i="1023" s="1"/>
  <c r="S16" i="16" s="1"/>
  <c r="P21" i="1023"/>
  <c r="AC21" i="1023" s="1"/>
  <c r="AD21" i="1023" s="1"/>
  <c r="S17" i="16" s="1"/>
  <c r="M7" i="1023"/>
  <c r="AB7" i="1023"/>
  <c r="AD7" i="1023" s="1"/>
  <c r="S4" i="16" s="1"/>
  <c r="O8" i="1023"/>
  <c r="O19" i="1023"/>
  <c r="L20" i="1022"/>
  <c r="K20" i="1022" s="1"/>
  <c r="L19" i="1022"/>
  <c r="L18" i="1022"/>
  <c r="L16" i="1022"/>
  <c r="K14" i="1022"/>
  <c r="L12" i="1022"/>
  <c r="L9" i="1022"/>
  <c r="L8" i="1022"/>
  <c r="L7" i="1022"/>
  <c r="S13" i="16" l="1"/>
  <c r="AE11" i="1025"/>
  <c r="U18" i="16"/>
  <c r="AE19" i="1025"/>
  <c r="AE16" i="1025"/>
  <c r="AE20" i="1025"/>
  <c r="AE17" i="1025"/>
  <c r="AE12" i="1025"/>
  <c r="AE7" i="1025"/>
  <c r="AE10" i="1025"/>
  <c r="AE21" i="1025"/>
  <c r="AE15" i="1025"/>
  <c r="AE13" i="1025"/>
  <c r="AE8" i="1025"/>
  <c r="AE18" i="1025"/>
  <c r="AE9" i="1025"/>
  <c r="AE14" i="1025"/>
  <c r="AE6" i="1025"/>
  <c r="AD21" i="1024"/>
  <c r="M22" i="1023"/>
  <c r="AD10" i="1023"/>
  <c r="S7" i="16" s="1"/>
  <c r="AD9" i="1023"/>
  <c r="S6" i="16" s="1"/>
  <c r="P22" i="1023"/>
  <c r="AD19" i="1023"/>
  <c r="S15" i="16" s="1"/>
  <c r="AD8" i="1023"/>
  <c r="S5" i="16" s="1"/>
  <c r="AB22" i="1023"/>
  <c r="AC22" i="1023"/>
  <c r="K19" i="1022"/>
  <c r="K18" i="1022"/>
  <c r="K16" i="1022"/>
  <c r="K13" i="1022"/>
  <c r="K12" i="1022"/>
  <c r="K10" i="1022"/>
  <c r="K9" i="1022"/>
  <c r="K8" i="1022"/>
  <c r="K7" i="1022"/>
  <c r="A74" i="1022"/>
  <c r="A75" i="1022" s="1"/>
  <c r="A76" i="1022" s="1"/>
  <c r="A77" i="1022" s="1"/>
  <c r="A78" i="1022" s="1"/>
  <c r="A79" i="1022" s="1"/>
  <c r="A80" i="1022" s="1"/>
  <c r="A81" i="1022" s="1"/>
  <c r="AF60" i="1022"/>
  <c r="AF59" i="1022"/>
  <c r="AF62" i="1022" s="1"/>
  <c r="AA21" i="1022"/>
  <c r="Z21" i="1022"/>
  <c r="Y21" i="1022"/>
  <c r="X21" i="1022"/>
  <c r="W21" i="1022"/>
  <c r="V21" i="1022"/>
  <c r="U21" i="1022"/>
  <c r="T21" i="1022"/>
  <c r="S21" i="1022"/>
  <c r="R21" i="1022"/>
  <c r="N21" i="1022"/>
  <c r="J21" i="1022"/>
  <c r="I21" i="1022"/>
  <c r="AF20" i="1022"/>
  <c r="AB20" i="1022"/>
  <c r="Q20" i="1022"/>
  <c r="P20" i="1022" s="1"/>
  <c r="AC20" i="1022" s="1"/>
  <c r="O20" i="1022"/>
  <c r="M20" i="1022"/>
  <c r="AF19" i="1022"/>
  <c r="Q19" i="1022"/>
  <c r="P19" i="1022" s="1"/>
  <c r="AC19" i="1022" s="1"/>
  <c r="M19" i="1022"/>
  <c r="O19" i="1022"/>
  <c r="AF18" i="1022"/>
  <c r="AB18" i="1022"/>
  <c r="Q18" i="1022"/>
  <c r="P18" i="1022" s="1"/>
  <c r="AC18" i="1022" s="1"/>
  <c r="O18" i="1022"/>
  <c r="M18" i="1022"/>
  <c r="AF17" i="1022"/>
  <c r="AB17" i="1022"/>
  <c r="Q17" i="1022"/>
  <c r="P17" i="1022"/>
  <c r="AC17" i="1022" s="1"/>
  <c r="O17" i="1022"/>
  <c r="M17" i="1022"/>
  <c r="K17" i="1022"/>
  <c r="AF16" i="1022"/>
  <c r="AB16" i="1022"/>
  <c r="Q16" i="1022"/>
  <c r="P16" i="1022"/>
  <c r="AC16" i="1022" s="1"/>
  <c r="O16" i="1022"/>
  <c r="M16" i="1022"/>
  <c r="AF15" i="1022"/>
  <c r="AC15" i="1022"/>
  <c r="AB15" i="1022"/>
  <c r="Q15" i="1022"/>
  <c r="P15" i="1022"/>
  <c r="O15" i="1022"/>
  <c r="M15" i="1022"/>
  <c r="K15" i="1022"/>
  <c r="AF14" i="1022"/>
  <c r="AB14" i="1022"/>
  <c r="Q14" i="1022"/>
  <c r="P14" i="1022" s="1"/>
  <c r="AC14" i="1022" s="1"/>
  <c r="O14" i="1022"/>
  <c r="M14" i="1022"/>
  <c r="AF13" i="1022"/>
  <c r="AB13" i="1022"/>
  <c r="Q13" i="1022"/>
  <c r="P13" i="1022" s="1"/>
  <c r="AC13" i="1022" s="1"/>
  <c r="O13" i="1022"/>
  <c r="M13" i="1022"/>
  <c r="AF12" i="1022"/>
  <c r="Q12" i="1022"/>
  <c r="P12" i="1022" s="1"/>
  <c r="AC12" i="1022" s="1"/>
  <c r="O12" i="1022"/>
  <c r="AF11" i="1022"/>
  <c r="AB11" i="1022"/>
  <c r="Q11" i="1022"/>
  <c r="P11" i="1022"/>
  <c r="AC11" i="1022" s="1"/>
  <c r="O11" i="1022"/>
  <c r="M11" i="1022"/>
  <c r="K11" i="1022"/>
  <c r="AF10" i="1022"/>
  <c r="AB10" i="1022"/>
  <c r="Q10" i="1022"/>
  <c r="P10" i="1022"/>
  <c r="AC10" i="1022" s="1"/>
  <c r="O10" i="1022"/>
  <c r="M10" i="1022"/>
  <c r="AF9" i="1022"/>
  <c r="AB9" i="1022"/>
  <c r="Q9" i="1022"/>
  <c r="P9" i="1022"/>
  <c r="AC9" i="1022" s="1"/>
  <c r="O9" i="1022"/>
  <c r="M9" i="1022"/>
  <c r="AF8" i="1022"/>
  <c r="Q8" i="1022"/>
  <c r="AB8" i="1022"/>
  <c r="AF7" i="1022"/>
  <c r="AB7" i="1022"/>
  <c r="Q7" i="1022"/>
  <c r="P7" i="1022" s="1"/>
  <c r="AC7" i="1022" s="1"/>
  <c r="M7" i="1022"/>
  <c r="L21" i="1022"/>
  <c r="O21" i="1022" s="1"/>
  <c r="AF6" i="1022"/>
  <c r="AB6" i="1022"/>
  <c r="Q6" i="1022"/>
  <c r="P6" i="1022"/>
  <c r="AC6" i="1022" s="1"/>
  <c r="O6" i="1022"/>
  <c r="M6" i="1022"/>
  <c r="K6" i="1022"/>
  <c r="AE16" i="1024" l="1"/>
  <c r="T18" i="16"/>
  <c r="AD17" i="1022"/>
  <c r="Q14" i="16" s="1"/>
  <c r="AE6" i="1024"/>
  <c r="AE13" i="1024"/>
  <c r="AE9" i="1024"/>
  <c r="AE8" i="1024"/>
  <c r="AE15" i="1024"/>
  <c r="AE12" i="1024"/>
  <c r="AE11" i="1024"/>
  <c r="AE19" i="1024"/>
  <c r="AE17" i="1024"/>
  <c r="AE14" i="1024"/>
  <c r="AE7" i="1024"/>
  <c r="AE18" i="1024"/>
  <c r="AE10" i="1024"/>
  <c r="AE20" i="1024"/>
  <c r="AD22" i="1023"/>
  <c r="AD13" i="1022"/>
  <c r="Q10" i="16" s="1"/>
  <c r="AD20" i="1022"/>
  <c r="Q17" i="16" s="1"/>
  <c r="Q21" i="1022"/>
  <c r="AD11" i="1022"/>
  <c r="Q8" i="16" s="1"/>
  <c r="AD10" i="1022"/>
  <c r="Q7" i="16" s="1"/>
  <c r="AD9" i="1022"/>
  <c r="Q6" i="16" s="1"/>
  <c r="AD14" i="1022"/>
  <c r="Q11" i="16" s="1"/>
  <c r="AD15" i="1022"/>
  <c r="Q12" i="16" s="1"/>
  <c r="AD16" i="1022"/>
  <c r="Q13" i="16" s="1"/>
  <c r="AD18" i="1022"/>
  <c r="Q15" i="16" s="1"/>
  <c r="AB19" i="1022"/>
  <c r="AD19" i="1022" s="1"/>
  <c r="Q16" i="16" s="1"/>
  <c r="O8" i="1022"/>
  <c r="O7" i="1022"/>
  <c r="AD7" i="1022" s="1"/>
  <c r="Q4" i="16" s="1"/>
  <c r="K21" i="1022"/>
  <c r="P8" i="1022"/>
  <c r="AC8" i="1022" s="1"/>
  <c r="M12" i="1022"/>
  <c r="AB12" i="1022"/>
  <c r="AD6" i="1022"/>
  <c r="Q3" i="16" s="1"/>
  <c r="M8" i="1022"/>
  <c r="M21" i="1022" s="1"/>
  <c r="L20" i="1021"/>
  <c r="K20" i="1021" s="1"/>
  <c r="K19" i="1021"/>
  <c r="AF19" i="1021"/>
  <c r="Q19" i="1021"/>
  <c r="M19" i="1021"/>
  <c r="AB19" i="1021"/>
  <c r="L18" i="1021"/>
  <c r="K18" i="1021" s="1"/>
  <c r="L16" i="1021"/>
  <c r="K16" i="1021" s="1"/>
  <c r="K13" i="1021"/>
  <c r="L12" i="1021"/>
  <c r="K12" i="1021" s="1"/>
  <c r="L9" i="1021"/>
  <c r="L8" i="1021"/>
  <c r="K8" i="1021" s="1"/>
  <c r="L7" i="1021"/>
  <c r="K7" i="1021" s="1"/>
  <c r="K21" i="1021"/>
  <c r="K11" i="1021"/>
  <c r="K10" i="1021"/>
  <c r="K9" i="1021"/>
  <c r="A75" i="1021"/>
  <c r="A76" i="1021" s="1"/>
  <c r="A77" i="1021" s="1"/>
  <c r="A78" i="1021" s="1"/>
  <c r="A79" i="1021" s="1"/>
  <c r="A80" i="1021" s="1"/>
  <c r="A81" i="1021" s="1"/>
  <c r="A82" i="1021" s="1"/>
  <c r="AF61" i="1021"/>
  <c r="AF63" i="1021" s="1"/>
  <c r="AF60" i="1021"/>
  <c r="AA22" i="1021"/>
  <c r="Z22" i="1021"/>
  <c r="Y22" i="1021"/>
  <c r="X22" i="1021"/>
  <c r="W22" i="1021"/>
  <c r="V22" i="1021"/>
  <c r="U22" i="1021"/>
  <c r="T22" i="1021"/>
  <c r="S22" i="1021"/>
  <c r="R22" i="1021"/>
  <c r="N22" i="1021"/>
  <c r="J22" i="1021"/>
  <c r="I22" i="1021"/>
  <c r="AF21" i="1021"/>
  <c r="AB21" i="1021"/>
  <c r="Q21" i="1021"/>
  <c r="O21" i="1021"/>
  <c r="M21" i="1021"/>
  <c r="P21" i="1021"/>
  <c r="AC21" i="1021" s="1"/>
  <c r="AF20" i="1021"/>
  <c r="Q20" i="1021"/>
  <c r="AB20" i="1021"/>
  <c r="AF18" i="1021"/>
  <c r="Q18" i="1021"/>
  <c r="P18" i="1021" s="1"/>
  <c r="AC18" i="1021" s="1"/>
  <c r="O18" i="1021"/>
  <c r="AF17" i="1021"/>
  <c r="AB17" i="1021"/>
  <c r="Q17" i="1021"/>
  <c r="P17" i="1021"/>
  <c r="AC17" i="1021" s="1"/>
  <c r="O17" i="1021"/>
  <c r="M17" i="1021"/>
  <c r="K17" i="1021"/>
  <c r="AF16" i="1021"/>
  <c r="AB16" i="1021"/>
  <c r="Q16" i="1021"/>
  <c r="P16" i="1021" s="1"/>
  <c r="AC16" i="1021" s="1"/>
  <c r="O16" i="1021"/>
  <c r="M16" i="1021"/>
  <c r="AF15" i="1021"/>
  <c r="AB15" i="1021"/>
  <c r="Q15" i="1021"/>
  <c r="P15" i="1021"/>
  <c r="AC15" i="1021" s="1"/>
  <c r="O15" i="1021"/>
  <c r="M15" i="1021"/>
  <c r="K15" i="1021"/>
  <c r="AF14" i="1021"/>
  <c r="AB14" i="1021"/>
  <c r="Q14" i="1021"/>
  <c r="P14" i="1021"/>
  <c r="AC14" i="1021" s="1"/>
  <c r="O14" i="1021"/>
  <c r="M14" i="1021"/>
  <c r="K14" i="1021"/>
  <c r="AF13" i="1021"/>
  <c r="AB13" i="1021"/>
  <c r="Q13" i="1021"/>
  <c r="P13" i="1021" s="1"/>
  <c r="AC13" i="1021" s="1"/>
  <c r="O13" i="1021"/>
  <c r="M13" i="1021"/>
  <c r="AF12" i="1021"/>
  <c r="Q12" i="1021"/>
  <c r="M12" i="1021"/>
  <c r="AF11" i="1021"/>
  <c r="AB11" i="1021"/>
  <c r="Q11" i="1021"/>
  <c r="P11" i="1021" s="1"/>
  <c r="AC11" i="1021" s="1"/>
  <c r="O11" i="1021"/>
  <c r="M11" i="1021"/>
  <c r="AF10" i="1021"/>
  <c r="AB10" i="1021"/>
  <c r="Q10" i="1021"/>
  <c r="P10" i="1021" s="1"/>
  <c r="AC10" i="1021" s="1"/>
  <c r="O10" i="1021"/>
  <c r="M10" i="1021"/>
  <c r="AF9" i="1021"/>
  <c r="AB9" i="1021"/>
  <c r="Q9" i="1021"/>
  <c r="P9" i="1021" s="1"/>
  <c r="AC9" i="1021" s="1"/>
  <c r="O9" i="1021"/>
  <c r="M9" i="1021"/>
  <c r="AF8" i="1021"/>
  <c r="Q8" i="1021"/>
  <c r="P8" i="1021" s="1"/>
  <c r="AC8" i="1021" s="1"/>
  <c r="O8" i="1021"/>
  <c r="AF7" i="1021"/>
  <c r="AB7" i="1021"/>
  <c r="Q7" i="1021"/>
  <c r="P7" i="1021" s="1"/>
  <c r="AC7" i="1021" s="1"/>
  <c r="O7" i="1021"/>
  <c r="M7" i="1021"/>
  <c r="AF6" i="1021"/>
  <c r="AB6" i="1021"/>
  <c r="Q6" i="1021"/>
  <c r="P6" i="1021"/>
  <c r="AC6" i="1021" s="1"/>
  <c r="O6" i="1021"/>
  <c r="M6" i="1021"/>
  <c r="K6" i="1021"/>
  <c r="AB12" i="1021" l="1"/>
  <c r="L22" i="1021"/>
  <c r="O22" i="1021" s="1"/>
  <c r="O12" i="1021"/>
  <c r="AE16" i="1023"/>
  <c r="S18" i="16"/>
  <c r="AD21" i="1021"/>
  <c r="P17" i="16" s="1"/>
  <c r="AE19" i="1023"/>
  <c r="AE10" i="1023"/>
  <c r="AE8" i="1023"/>
  <c r="AE17" i="1023"/>
  <c r="AE7" i="1023"/>
  <c r="AE13" i="1023"/>
  <c r="AE21" i="1023"/>
  <c r="AE20" i="1023"/>
  <c r="AE6" i="1023"/>
  <c r="AE9" i="1023"/>
  <c r="AE15" i="1023"/>
  <c r="AE14" i="1023"/>
  <c r="AE18" i="1023"/>
  <c r="AE12" i="1023"/>
  <c r="AE11" i="1023"/>
  <c r="AB21" i="1022"/>
  <c r="AC21" i="1022"/>
  <c r="AD12" i="1022"/>
  <c r="Q9" i="16" s="1"/>
  <c r="AD8" i="1022"/>
  <c r="Q5" i="16" s="1"/>
  <c r="P21" i="1022"/>
  <c r="AD14" i="1021"/>
  <c r="P11" i="16" s="1"/>
  <c r="P12" i="1021"/>
  <c r="AC12" i="1021" s="1"/>
  <c r="AD7" i="1021"/>
  <c r="P4" i="16" s="1"/>
  <c r="O19" i="1021"/>
  <c r="K22" i="1021"/>
  <c r="P19" i="1021"/>
  <c r="AC19" i="1021" s="1"/>
  <c r="Q22" i="1021"/>
  <c r="AD17" i="1021"/>
  <c r="P14" i="16" s="1"/>
  <c r="AD9" i="1021"/>
  <c r="P6" i="16" s="1"/>
  <c r="AD13" i="1021"/>
  <c r="P10" i="16" s="1"/>
  <c r="AD16" i="1021"/>
  <c r="P13" i="16" s="1"/>
  <c r="AD10" i="1021"/>
  <c r="P7" i="16" s="1"/>
  <c r="AD11" i="1021"/>
  <c r="P8" i="16" s="1"/>
  <c r="AD15" i="1021"/>
  <c r="P12" i="16" s="1"/>
  <c r="AD6" i="1021"/>
  <c r="P3" i="16" s="1"/>
  <c r="M18" i="1021"/>
  <c r="AB18" i="1021"/>
  <c r="AD18" i="1021" s="1"/>
  <c r="O20" i="1021"/>
  <c r="M8" i="1021"/>
  <c r="AB8" i="1021"/>
  <c r="AD8" i="1021" s="1"/>
  <c r="P5" i="16" s="1"/>
  <c r="P20" i="1021"/>
  <c r="AC20" i="1021" s="1"/>
  <c r="AD20" i="1021" s="1"/>
  <c r="P16" i="16" s="1"/>
  <c r="M20" i="1021"/>
  <c r="L22" i="1020"/>
  <c r="K22" i="1020" s="1"/>
  <c r="L21" i="1020"/>
  <c r="K21" i="1020" s="1"/>
  <c r="L20" i="1020"/>
  <c r="K20" i="1020" s="1"/>
  <c r="K18" i="1020"/>
  <c r="AF18" i="1020"/>
  <c r="AB18" i="1020"/>
  <c r="Q18" i="1020"/>
  <c r="P18" i="1020" s="1"/>
  <c r="AC18" i="1020" s="1"/>
  <c r="O18" i="1020"/>
  <c r="M18" i="1020"/>
  <c r="K10" i="1020"/>
  <c r="L9" i="1020"/>
  <c r="AB9" i="1020" s="1"/>
  <c r="K8" i="1020"/>
  <c r="AF8" i="1020"/>
  <c r="AB8" i="1020"/>
  <c r="Q8" i="1020"/>
  <c r="P8" i="1020" s="1"/>
  <c r="AC8" i="1020" s="1"/>
  <c r="O8" i="1020"/>
  <c r="M8" i="1020"/>
  <c r="K17" i="1020"/>
  <c r="K14" i="1020"/>
  <c r="K13" i="1020"/>
  <c r="K12" i="1020"/>
  <c r="K11" i="1020"/>
  <c r="K7" i="1020"/>
  <c r="A76" i="1020"/>
  <c r="A77" i="1020" s="1"/>
  <c r="A78" i="1020" s="1"/>
  <c r="A79" i="1020" s="1"/>
  <c r="A80" i="1020" s="1"/>
  <c r="A81" i="1020" s="1"/>
  <c r="A82" i="1020" s="1"/>
  <c r="A83" i="1020" s="1"/>
  <c r="AF64" i="1020"/>
  <c r="AF62" i="1020"/>
  <c r="AF61" i="1020"/>
  <c r="AA23" i="1020"/>
  <c r="Z23" i="1020"/>
  <c r="Y23" i="1020"/>
  <c r="X23" i="1020"/>
  <c r="W23" i="1020"/>
  <c r="V23" i="1020"/>
  <c r="U23" i="1020"/>
  <c r="T23" i="1020"/>
  <c r="S23" i="1020"/>
  <c r="R23" i="1020"/>
  <c r="N23" i="1020"/>
  <c r="J23" i="1020"/>
  <c r="I23" i="1020"/>
  <c r="AF22" i="1020"/>
  <c r="Q22" i="1020"/>
  <c r="O22" i="1020"/>
  <c r="AF21" i="1020"/>
  <c r="Q21" i="1020"/>
  <c r="AF20" i="1020"/>
  <c r="AB20" i="1020"/>
  <c r="Q20" i="1020"/>
  <c r="P20" i="1020"/>
  <c r="AC20" i="1020" s="1"/>
  <c r="O20" i="1020"/>
  <c r="M20" i="1020"/>
  <c r="AF19" i="1020"/>
  <c r="AB19" i="1020"/>
  <c r="Q19" i="1020"/>
  <c r="P19" i="1020"/>
  <c r="AC19" i="1020" s="1"/>
  <c r="O19" i="1020"/>
  <c r="M19" i="1020"/>
  <c r="K19" i="1020"/>
  <c r="AF17" i="1020"/>
  <c r="AB17" i="1020"/>
  <c r="Q17" i="1020"/>
  <c r="P17" i="1020" s="1"/>
  <c r="AC17" i="1020" s="1"/>
  <c r="M17" i="1020"/>
  <c r="AF16" i="1020"/>
  <c r="AB16" i="1020"/>
  <c r="Q16" i="1020"/>
  <c r="P16" i="1020"/>
  <c r="AC16" i="1020" s="1"/>
  <c r="O16" i="1020"/>
  <c r="M16" i="1020"/>
  <c r="K16" i="1020"/>
  <c r="AF15" i="1020"/>
  <c r="AB15" i="1020"/>
  <c r="Q15" i="1020"/>
  <c r="P15" i="1020"/>
  <c r="AC15" i="1020" s="1"/>
  <c r="O15" i="1020"/>
  <c r="M15" i="1020"/>
  <c r="K15" i="1020"/>
  <c r="AF14" i="1020"/>
  <c r="Q14" i="1020"/>
  <c r="P14" i="1020"/>
  <c r="AC14" i="1020" s="1"/>
  <c r="AF13" i="1020"/>
  <c r="Q13" i="1020"/>
  <c r="P13" i="1020" s="1"/>
  <c r="AC13" i="1020" s="1"/>
  <c r="O13" i="1020"/>
  <c r="AB13" i="1020"/>
  <c r="AF12" i="1020"/>
  <c r="AB12" i="1020"/>
  <c r="Q12" i="1020"/>
  <c r="P12" i="1020" s="1"/>
  <c r="AC12" i="1020" s="1"/>
  <c r="AD12" i="1020" s="1"/>
  <c r="O8" i="16" s="1"/>
  <c r="O12" i="1020"/>
  <c r="M12" i="1020"/>
  <c r="AF11" i="1020"/>
  <c r="AB11" i="1020"/>
  <c r="Q11" i="1020"/>
  <c r="P11" i="1020" s="1"/>
  <c r="AC11" i="1020" s="1"/>
  <c r="O11" i="1020"/>
  <c r="M11" i="1020"/>
  <c r="AF10" i="1020"/>
  <c r="AB10" i="1020"/>
  <c r="Q10" i="1020"/>
  <c r="P10" i="1020" s="1"/>
  <c r="AC10" i="1020" s="1"/>
  <c r="O10" i="1020"/>
  <c r="M10" i="1020"/>
  <c r="AF9" i="1020"/>
  <c r="Q9" i="1020"/>
  <c r="AF7" i="1020"/>
  <c r="Q7" i="1020"/>
  <c r="P7" i="1020" s="1"/>
  <c r="AC7" i="1020" s="1"/>
  <c r="AF6" i="1020"/>
  <c r="AB6" i="1020"/>
  <c r="Q6" i="1020"/>
  <c r="P6" i="1020"/>
  <c r="AC6" i="1020" s="1"/>
  <c r="O6" i="1020"/>
  <c r="M6" i="1020"/>
  <c r="K6" i="1020"/>
  <c r="M22" i="1020" l="1"/>
  <c r="AB22" i="1020"/>
  <c r="AD22" i="1020" s="1"/>
  <c r="O17" i="16" s="1"/>
  <c r="AD12" i="1021"/>
  <c r="P9" i="16" s="1"/>
  <c r="P22" i="1020"/>
  <c r="AC22" i="1020" s="1"/>
  <c r="AD21" i="1022"/>
  <c r="AD19" i="1021"/>
  <c r="AD22" i="1021" s="1"/>
  <c r="M22" i="1021"/>
  <c r="AB22" i="1021"/>
  <c r="AC22" i="1021"/>
  <c r="P22" i="1021"/>
  <c r="AD20" i="1020"/>
  <c r="O15" i="16" s="1"/>
  <c r="M21" i="1020"/>
  <c r="AB21" i="1020"/>
  <c r="O21" i="1020"/>
  <c r="P21" i="1020"/>
  <c r="AC21" i="1020" s="1"/>
  <c r="AD18" i="1020"/>
  <c r="AD13" i="1020"/>
  <c r="O9" i="16" s="1"/>
  <c r="AD15" i="1020"/>
  <c r="O11" i="16" s="1"/>
  <c r="P9" i="1020"/>
  <c r="AC9" i="1020" s="1"/>
  <c r="K9" i="1020"/>
  <c r="M9" i="1020"/>
  <c r="AD8" i="1020"/>
  <c r="Q23" i="1020"/>
  <c r="AD10" i="1020"/>
  <c r="O6" i="16" s="1"/>
  <c r="AD11" i="1020"/>
  <c r="O7" i="16" s="1"/>
  <c r="AD16" i="1020"/>
  <c r="O12" i="16" s="1"/>
  <c r="AD19" i="1020"/>
  <c r="O14" i="16" s="1"/>
  <c r="AD6" i="1020"/>
  <c r="O3" i="16" s="1"/>
  <c r="M7" i="1020"/>
  <c r="AB7" i="1020"/>
  <c r="O9" i="1020"/>
  <c r="M14" i="1020"/>
  <c r="AB14" i="1020"/>
  <c r="O17" i="1020"/>
  <c r="AD17" i="1020" s="1"/>
  <c r="O13" i="16" s="1"/>
  <c r="O7" i="1020"/>
  <c r="M13" i="1020"/>
  <c r="O14" i="1020"/>
  <c r="L23" i="1020"/>
  <c r="O23" i="1020" s="1"/>
  <c r="K23" i="1020"/>
  <c r="L20" i="1019"/>
  <c r="O20" i="1019" s="1"/>
  <c r="L19" i="1019"/>
  <c r="K19" i="1019" s="1"/>
  <c r="L16" i="1019"/>
  <c r="K16" i="1019" s="1"/>
  <c r="L13" i="1019"/>
  <c r="K13" i="1019" s="1"/>
  <c r="L12" i="1019"/>
  <c r="L11" i="1019"/>
  <c r="K11" i="1019" s="1"/>
  <c r="L8" i="1019"/>
  <c r="K8" i="1019" s="1"/>
  <c r="L7" i="1019"/>
  <c r="K7" i="1019" s="1"/>
  <c r="K12" i="1019"/>
  <c r="K10" i="1019"/>
  <c r="K9" i="1019"/>
  <c r="A74" i="1019"/>
  <c r="A75" i="1019" s="1"/>
  <c r="A76" i="1019" s="1"/>
  <c r="A77" i="1019" s="1"/>
  <c r="A78" i="1019" s="1"/>
  <c r="A79" i="1019" s="1"/>
  <c r="A80" i="1019" s="1"/>
  <c r="A81" i="1019" s="1"/>
  <c r="AF60" i="1019"/>
  <c r="AF59" i="1019"/>
  <c r="AF62" i="1019" s="1"/>
  <c r="AA21" i="1019"/>
  <c r="Z21" i="1019"/>
  <c r="Y21" i="1019"/>
  <c r="X21" i="1019"/>
  <c r="W21" i="1019"/>
  <c r="V21" i="1019"/>
  <c r="U21" i="1019"/>
  <c r="T21" i="1019"/>
  <c r="S21" i="1019"/>
  <c r="R21" i="1019"/>
  <c r="N21" i="1019"/>
  <c r="J21" i="1019"/>
  <c r="I21" i="1019"/>
  <c r="AF20" i="1019"/>
  <c r="Q20" i="1019"/>
  <c r="AF19" i="1019"/>
  <c r="Q19" i="1019"/>
  <c r="AF18" i="1019"/>
  <c r="AB18" i="1019"/>
  <c r="Q18" i="1019"/>
  <c r="P18" i="1019"/>
  <c r="AC18" i="1019" s="1"/>
  <c r="O18" i="1019"/>
  <c r="M18" i="1019"/>
  <c r="K18" i="1019"/>
  <c r="AF17" i="1019"/>
  <c r="AB17" i="1019"/>
  <c r="Q17" i="1019"/>
  <c r="P17" i="1019"/>
  <c r="AC17" i="1019" s="1"/>
  <c r="O17" i="1019"/>
  <c r="M17" i="1019"/>
  <c r="K17" i="1019"/>
  <c r="AF16" i="1019"/>
  <c r="Q16" i="1019"/>
  <c r="P16" i="1019" s="1"/>
  <c r="AC16" i="1019" s="1"/>
  <c r="AF15" i="1019"/>
  <c r="AB15" i="1019"/>
  <c r="Q15" i="1019"/>
  <c r="P15" i="1019"/>
  <c r="AC15" i="1019" s="1"/>
  <c r="O15" i="1019"/>
  <c r="M15" i="1019"/>
  <c r="K15" i="1019"/>
  <c r="AF14" i="1019"/>
  <c r="AB14" i="1019"/>
  <c r="Q14" i="1019"/>
  <c r="P14" i="1019"/>
  <c r="AC14" i="1019" s="1"/>
  <c r="O14" i="1019"/>
  <c r="M14" i="1019"/>
  <c r="K14" i="1019"/>
  <c r="AF13" i="1019"/>
  <c r="AB13" i="1019"/>
  <c r="Q13" i="1019"/>
  <c r="P13" i="1019"/>
  <c r="AC13" i="1019" s="1"/>
  <c r="O13" i="1019"/>
  <c r="M13" i="1019"/>
  <c r="AF12" i="1019"/>
  <c r="Q12" i="1019"/>
  <c r="AB12" i="1019"/>
  <c r="AF11" i="1019"/>
  <c r="Q11" i="1019"/>
  <c r="O11" i="1019"/>
  <c r="AF10" i="1019"/>
  <c r="AB10" i="1019"/>
  <c r="Q10" i="1019"/>
  <c r="P10" i="1019" s="1"/>
  <c r="AC10" i="1019" s="1"/>
  <c r="O10" i="1019"/>
  <c r="M10" i="1019"/>
  <c r="AF9" i="1019"/>
  <c r="AB9" i="1019"/>
  <c r="Q9" i="1019"/>
  <c r="P9" i="1019" s="1"/>
  <c r="AC9" i="1019" s="1"/>
  <c r="O9" i="1019"/>
  <c r="M9" i="1019"/>
  <c r="AF8" i="1019"/>
  <c r="Q8" i="1019"/>
  <c r="P8" i="1019" s="1"/>
  <c r="AC8" i="1019" s="1"/>
  <c r="AF7" i="1019"/>
  <c r="Q7" i="1019"/>
  <c r="P7" i="1019" s="1"/>
  <c r="AC7" i="1019" s="1"/>
  <c r="O7" i="1019"/>
  <c r="M7" i="1019"/>
  <c r="AF6" i="1019"/>
  <c r="AB6" i="1019"/>
  <c r="Q6" i="1019"/>
  <c r="P6" i="1019"/>
  <c r="AC6" i="1019" s="1"/>
  <c r="O6" i="1019"/>
  <c r="M6" i="1019"/>
  <c r="K6" i="1019"/>
  <c r="M11" i="1019" l="1"/>
  <c r="AE19" i="1021"/>
  <c r="P18" i="16"/>
  <c r="P11" i="1019"/>
  <c r="AC11" i="1019" s="1"/>
  <c r="AE19" i="1022"/>
  <c r="Q18" i="16"/>
  <c r="P19" i="1019"/>
  <c r="AC19" i="1019" s="1"/>
  <c r="AD21" i="1020"/>
  <c r="O16" i="16" s="1"/>
  <c r="P15" i="16"/>
  <c r="AE6" i="1022"/>
  <c r="AE11" i="1022"/>
  <c r="AE13" i="1022"/>
  <c r="AE10" i="1022"/>
  <c r="AE9" i="1022"/>
  <c r="AE7" i="1022"/>
  <c r="AE12" i="1022"/>
  <c r="AE16" i="1022"/>
  <c r="AE15" i="1022"/>
  <c r="AE17" i="1022"/>
  <c r="AE18" i="1022"/>
  <c r="AE8" i="1022"/>
  <c r="AE14" i="1022"/>
  <c r="AE20" i="1022"/>
  <c r="AE18" i="1021"/>
  <c r="AE16" i="1021"/>
  <c r="AE13" i="1021"/>
  <c r="AE11" i="1021"/>
  <c r="AE20" i="1021"/>
  <c r="AE21" i="1021"/>
  <c r="AE7" i="1021"/>
  <c r="AE6" i="1021"/>
  <c r="AE15" i="1021"/>
  <c r="AE17" i="1021"/>
  <c r="AE14" i="1021"/>
  <c r="AE12" i="1021"/>
  <c r="AE10" i="1021"/>
  <c r="AE8" i="1021"/>
  <c r="AE9" i="1021"/>
  <c r="AC23" i="1020"/>
  <c r="M23" i="1020"/>
  <c r="P23" i="1020"/>
  <c r="AD9" i="1020"/>
  <c r="O5" i="16" s="1"/>
  <c r="AD7" i="1020"/>
  <c r="O4" i="16" s="1"/>
  <c r="AD14" i="1020"/>
  <c r="O10" i="16" s="1"/>
  <c r="AB23" i="1020"/>
  <c r="AD10" i="1019"/>
  <c r="N7" i="16" s="1"/>
  <c r="AB11" i="1019"/>
  <c r="AD11" i="1019" s="1"/>
  <c r="N8" i="16" s="1"/>
  <c r="M19" i="1019"/>
  <c r="AB19" i="1019"/>
  <c r="Q21" i="1019"/>
  <c r="L21" i="1019"/>
  <c r="O21" i="1019" s="1"/>
  <c r="AB20" i="1019"/>
  <c r="K20" i="1019"/>
  <c r="M20" i="1019"/>
  <c r="AD14" i="1019"/>
  <c r="N11" i="16" s="1"/>
  <c r="AD18" i="1019"/>
  <c r="N15" i="16" s="1"/>
  <c r="AD9" i="1019"/>
  <c r="N6" i="16" s="1"/>
  <c r="AD13" i="1019"/>
  <c r="N10" i="16" s="1"/>
  <c r="AD17" i="1019"/>
  <c r="N14" i="16" s="1"/>
  <c r="AD15" i="1019"/>
  <c r="N12" i="16" s="1"/>
  <c r="AD6" i="1019"/>
  <c r="N3" i="16" s="1"/>
  <c r="M8" i="1019"/>
  <c r="AB8" i="1019"/>
  <c r="O12" i="1019"/>
  <c r="M16" i="1019"/>
  <c r="AB16" i="1019"/>
  <c r="AD16" i="1019" s="1"/>
  <c r="N13" i="16" s="1"/>
  <c r="O19" i="1019"/>
  <c r="AD19" i="1019" s="1"/>
  <c r="N16" i="16" s="1"/>
  <c r="P20" i="1019"/>
  <c r="AC20" i="1019" s="1"/>
  <c r="AB7" i="1019"/>
  <c r="AD7" i="1019" s="1"/>
  <c r="N4" i="16" s="1"/>
  <c r="O8" i="1019"/>
  <c r="P12" i="1019"/>
  <c r="AC12" i="1019" s="1"/>
  <c r="AD12" i="1019" s="1"/>
  <c r="N9" i="16" s="1"/>
  <c r="O16" i="1019"/>
  <c r="K21" i="1019"/>
  <c r="M12" i="1019"/>
  <c r="L21" i="1018"/>
  <c r="K21" i="1018" s="1"/>
  <c r="L20" i="1018"/>
  <c r="L17" i="1018"/>
  <c r="L13" i="1018"/>
  <c r="AB13" i="1018" s="1"/>
  <c r="K13" i="1018"/>
  <c r="AF13" i="1018"/>
  <c r="Q13" i="1018"/>
  <c r="P13" i="1018" s="1"/>
  <c r="AC13" i="1018" s="1"/>
  <c r="O13" i="1018"/>
  <c r="K10" i="1018"/>
  <c r="AF10" i="1018"/>
  <c r="AB10" i="1018"/>
  <c r="Q10" i="1018"/>
  <c r="P10" i="1018" s="1"/>
  <c r="AC10" i="1018" s="1"/>
  <c r="O10" i="1018"/>
  <c r="M10" i="1018"/>
  <c r="K9" i="1018"/>
  <c r="L8" i="1018"/>
  <c r="L7" i="1018"/>
  <c r="K20" i="1018"/>
  <c r="K18" i="1018"/>
  <c r="K17" i="1018"/>
  <c r="K12" i="1018"/>
  <c r="K8" i="1018"/>
  <c r="K7" i="1018"/>
  <c r="A75" i="1018"/>
  <c r="A76" i="1018" s="1"/>
  <c r="A77" i="1018" s="1"/>
  <c r="A78" i="1018" s="1"/>
  <c r="A79" i="1018" s="1"/>
  <c r="A80" i="1018" s="1"/>
  <c r="A81" i="1018" s="1"/>
  <c r="A82" i="1018" s="1"/>
  <c r="AF61" i="1018"/>
  <c r="AF63" i="1018" s="1"/>
  <c r="AF60" i="1018"/>
  <c r="AA22" i="1018"/>
  <c r="Z22" i="1018"/>
  <c r="Y22" i="1018"/>
  <c r="X22" i="1018"/>
  <c r="W22" i="1018"/>
  <c r="V22" i="1018"/>
  <c r="U22" i="1018"/>
  <c r="T22" i="1018"/>
  <c r="S22" i="1018"/>
  <c r="R22" i="1018"/>
  <c r="N22" i="1018"/>
  <c r="J22" i="1018"/>
  <c r="I22" i="1018"/>
  <c r="AF21" i="1018"/>
  <c r="Q21" i="1018"/>
  <c r="AF20" i="1018"/>
  <c r="Q20" i="1018"/>
  <c r="AB20" i="1018"/>
  <c r="AF19" i="1018"/>
  <c r="AB19" i="1018"/>
  <c r="Q19" i="1018"/>
  <c r="P19" i="1018"/>
  <c r="AC19" i="1018" s="1"/>
  <c r="O19" i="1018"/>
  <c r="M19" i="1018"/>
  <c r="K19" i="1018"/>
  <c r="AF18" i="1018"/>
  <c r="AB18" i="1018"/>
  <c r="Q18" i="1018"/>
  <c r="P18" i="1018" s="1"/>
  <c r="AC18" i="1018" s="1"/>
  <c r="O18" i="1018"/>
  <c r="M18" i="1018"/>
  <c r="AF17" i="1018"/>
  <c r="Q17" i="1018"/>
  <c r="P17" i="1018" s="1"/>
  <c r="AC17" i="1018" s="1"/>
  <c r="O17" i="1018"/>
  <c r="AB17" i="1018"/>
  <c r="AF16" i="1018"/>
  <c r="AB16" i="1018"/>
  <c r="Q16" i="1018"/>
  <c r="P16" i="1018"/>
  <c r="AC16" i="1018" s="1"/>
  <c r="O16" i="1018"/>
  <c r="M16" i="1018"/>
  <c r="K16" i="1018"/>
  <c r="AF15" i="1018"/>
  <c r="AB15" i="1018"/>
  <c r="Q15" i="1018"/>
  <c r="P15" i="1018"/>
  <c r="AC15" i="1018" s="1"/>
  <c r="O15" i="1018"/>
  <c r="M15" i="1018"/>
  <c r="K15" i="1018"/>
  <c r="AF14" i="1018"/>
  <c r="AB14" i="1018"/>
  <c r="Q14" i="1018"/>
  <c r="P14" i="1018"/>
  <c r="AC14" i="1018" s="1"/>
  <c r="O14" i="1018"/>
  <c r="M14" i="1018"/>
  <c r="K14" i="1018"/>
  <c r="AF12" i="1018"/>
  <c r="Q12" i="1018"/>
  <c r="AB12" i="1018"/>
  <c r="AF11" i="1018"/>
  <c r="AB11" i="1018"/>
  <c r="Q11" i="1018"/>
  <c r="P11" i="1018"/>
  <c r="AC11" i="1018" s="1"/>
  <c r="O11" i="1018"/>
  <c r="M11" i="1018"/>
  <c r="K11" i="1018"/>
  <c r="AF9" i="1018"/>
  <c r="AB9" i="1018"/>
  <c r="Q9" i="1018"/>
  <c r="P9" i="1018" s="1"/>
  <c r="AC9" i="1018" s="1"/>
  <c r="O9" i="1018"/>
  <c r="M9" i="1018"/>
  <c r="AF8" i="1018"/>
  <c r="AB8" i="1018"/>
  <c r="Q8" i="1018"/>
  <c r="P8" i="1018" s="1"/>
  <c r="AC8" i="1018" s="1"/>
  <c r="O8" i="1018"/>
  <c r="M8" i="1018"/>
  <c r="AF7" i="1018"/>
  <c r="AB7" i="1018"/>
  <c r="Q7" i="1018"/>
  <c r="M7" i="1018"/>
  <c r="AF6" i="1018"/>
  <c r="AB6" i="1018"/>
  <c r="Q6" i="1018"/>
  <c r="P6" i="1018"/>
  <c r="O6" i="1018"/>
  <c r="M6" i="1018"/>
  <c r="K6" i="1018"/>
  <c r="O21" i="1018" l="1"/>
  <c r="M13" i="1018"/>
  <c r="AD15" i="1018"/>
  <c r="M11" i="16" s="1"/>
  <c r="L22" i="1018"/>
  <c r="O22" i="1018" s="1"/>
  <c r="AD23" i="1020"/>
  <c r="AD20" i="1019"/>
  <c r="M21" i="1019"/>
  <c r="AD8" i="1019"/>
  <c r="AC21" i="1019"/>
  <c r="AB21" i="1019"/>
  <c r="P21" i="1019"/>
  <c r="AD8" i="1018"/>
  <c r="M5" i="16" s="1"/>
  <c r="Q22" i="1018"/>
  <c r="AD13" i="1018"/>
  <c r="AD14" i="1018"/>
  <c r="M10" i="16" s="1"/>
  <c r="AD16" i="1018"/>
  <c r="M12" i="16" s="1"/>
  <c r="AD10" i="1018"/>
  <c r="M7" i="16" s="1"/>
  <c r="AD19" i="1018"/>
  <c r="M15" i="16" s="1"/>
  <c r="AD9" i="1018"/>
  <c r="M6" i="16" s="1"/>
  <c r="AD11" i="1018"/>
  <c r="M8" i="16" s="1"/>
  <c r="AD17" i="1018"/>
  <c r="M13" i="16" s="1"/>
  <c r="AD18" i="1018"/>
  <c r="M14" i="16" s="1"/>
  <c r="O7" i="1018"/>
  <c r="AC6" i="1018"/>
  <c r="K22" i="1018"/>
  <c r="P7" i="1018"/>
  <c r="AC7" i="1018" s="1"/>
  <c r="O12" i="1018"/>
  <c r="M17" i="1018"/>
  <c r="O20" i="1018"/>
  <c r="P21" i="1018"/>
  <c r="AC21" i="1018" s="1"/>
  <c r="P12" i="1018"/>
  <c r="AC12" i="1018" s="1"/>
  <c r="P20" i="1018"/>
  <c r="AC20" i="1018" s="1"/>
  <c r="M21" i="1018"/>
  <c r="AB21" i="1018"/>
  <c r="AB22" i="1018" s="1"/>
  <c r="M12" i="1018"/>
  <c r="M20" i="1018"/>
  <c r="L20" i="1017"/>
  <c r="L19" i="1017"/>
  <c r="K19" i="1017" s="1"/>
  <c r="K17" i="1017"/>
  <c r="L16" i="1017"/>
  <c r="L12" i="1017"/>
  <c r="K12" i="1017"/>
  <c r="L10" i="1017"/>
  <c r="K10" i="1017" s="1"/>
  <c r="L8" i="1017"/>
  <c r="K8" i="1017"/>
  <c r="L7" i="1017"/>
  <c r="K7" i="1017" s="1"/>
  <c r="AD21" i="1019" l="1"/>
  <c r="N18" i="16" s="1"/>
  <c r="N5" i="16"/>
  <c r="AE12" i="1019"/>
  <c r="N17" i="16"/>
  <c r="O18" i="16"/>
  <c r="AE13" i="1020"/>
  <c r="AE14" i="1020"/>
  <c r="AE8" i="1020"/>
  <c r="AE18" i="1020"/>
  <c r="AE6" i="1020"/>
  <c r="AE12" i="1020"/>
  <c r="AE22" i="1020"/>
  <c r="AE7" i="1020"/>
  <c r="AE10" i="1020"/>
  <c r="AE15" i="1020"/>
  <c r="AE16" i="1020"/>
  <c r="AE19" i="1020"/>
  <c r="AE21" i="1020"/>
  <c r="AE9" i="1020"/>
  <c r="AE11" i="1020"/>
  <c r="AE17" i="1020"/>
  <c r="AE20" i="1020"/>
  <c r="AE18" i="1019"/>
  <c r="AE16" i="1019"/>
  <c r="AE19" i="1019"/>
  <c r="AE14" i="1019"/>
  <c r="AE20" i="1019"/>
  <c r="AE17" i="1019"/>
  <c r="AE11" i="1019"/>
  <c r="AE9" i="1019"/>
  <c r="AE6" i="1019"/>
  <c r="AE10" i="1019"/>
  <c r="AE15" i="1019"/>
  <c r="AE13" i="1019"/>
  <c r="AE7" i="1019"/>
  <c r="AE8" i="1019"/>
  <c r="M22" i="1018"/>
  <c r="AD20" i="1018"/>
  <c r="M16" i="16" s="1"/>
  <c r="AD21" i="1018"/>
  <c r="AD7" i="1018"/>
  <c r="M4" i="16" s="1"/>
  <c r="P22" i="1018"/>
  <c r="AC22" i="1018"/>
  <c r="AD6" i="1018"/>
  <c r="M3" i="16" s="1"/>
  <c r="AD12" i="1018"/>
  <c r="M9" i="16" s="1"/>
  <c r="K20" i="1017"/>
  <c r="K18" i="1017"/>
  <c r="K16" i="1017"/>
  <c r="A74" i="1017"/>
  <c r="A75" i="1017" s="1"/>
  <c r="A76" i="1017" s="1"/>
  <c r="A77" i="1017" s="1"/>
  <c r="A78" i="1017" s="1"/>
  <c r="A79" i="1017" s="1"/>
  <c r="A80" i="1017" s="1"/>
  <c r="A81" i="1017" s="1"/>
  <c r="AF60" i="1017"/>
  <c r="AF62" i="1017" s="1"/>
  <c r="AF59" i="1017"/>
  <c r="AA21" i="1017"/>
  <c r="Z21" i="1017"/>
  <c r="Y21" i="1017"/>
  <c r="X21" i="1017"/>
  <c r="W21" i="1017"/>
  <c r="V21" i="1017"/>
  <c r="U21" i="1017"/>
  <c r="T21" i="1017"/>
  <c r="S21" i="1017"/>
  <c r="R21" i="1017"/>
  <c r="N21" i="1017"/>
  <c r="J21" i="1017"/>
  <c r="I21" i="1017"/>
  <c r="AF20" i="1017"/>
  <c r="AB20" i="1017"/>
  <c r="Q20" i="1017"/>
  <c r="M20" i="1017"/>
  <c r="O20" i="1017"/>
  <c r="AF19" i="1017"/>
  <c r="AB19" i="1017"/>
  <c r="Q19" i="1017"/>
  <c r="P19" i="1017" s="1"/>
  <c r="AC19" i="1017" s="1"/>
  <c r="O19" i="1017"/>
  <c r="M19" i="1017"/>
  <c r="AF18" i="1017"/>
  <c r="AB18" i="1017"/>
  <c r="Q18" i="1017"/>
  <c r="P18" i="1017"/>
  <c r="AC18" i="1017" s="1"/>
  <c r="O18" i="1017"/>
  <c r="M18" i="1017"/>
  <c r="AF17" i="1017"/>
  <c r="AB17" i="1017"/>
  <c r="Q17" i="1017"/>
  <c r="P17" i="1017" s="1"/>
  <c r="AC17" i="1017" s="1"/>
  <c r="O17" i="1017"/>
  <c r="M17" i="1017"/>
  <c r="AF16" i="1017"/>
  <c r="AB16" i="1017"/>
  <c r="Q16" i="1017"/>
  <c r="O16" i="1017"/>
  <c r="M16" i="1017"/>
  <c r="P16" i="1017"/>
  <c r="AC16" i="1017" s="1"/>
  <c r="AF15" i="1017"/>
  <c r="AB15" i="1017"/>
  <c r="Q15" i="1017"/>
  <c r="P15" i="1017"/>
  <c r="AC15" i="1017" s="1"/>
  <c r="O15" i="1017"/>
  <c r="M15" i="1017"/>
  <c r="K15" i="1017"/>
  <c r="AF14" i="1017"/>
  <c r="AB14" i="1017"/>
  <c r="Q14" i="1017"/>
  <c r="P14" i="1017"/>
  <c r="AC14" i="1017" s="1"/>
  <c r="O14" i="1017"/>
  <c r="M14" i="1017"/>
  <c r="K14" i="1017"/>
  <c r="AF13" i="1017"/>
  <c r="AB13" i="1017"/>
  <c r="Q13" i="1017"/>
  <c r="P13" i="1017"/>
  <c r="AC13" i="1017" s="1"/>
  <c r="AD13" i="1017" s="1"/>
  <c r="L10" i="16" s="1"/>
  <c r="O13" i="1017"/>
  <c r="M13" i="1017"/>
  <c r="K13" i="1017"/>
  <c r="AF12" i="1017"/>
  <c r="AB12" i="1017"/>
  <c r="Q12" i="1017"/>
  <c r="P12" i="1017" s="1"/>
  <c r="AC12" i="1017" s="1"/>
  <c r="O12" i="1017"/>
  <c r="M12" i="1017"/>
  <c r="AF11" i="1017"/>
  <c r="AB11" i="1017"/>
  <c r="Q11" i="1017"/>
  <c r="P11" i="1017"/>
  <c r="AC11" i="1017" s="1"/>
  <c r="O11" i="1017"/>
  <c r="M11" i="1017"/>
  <c r="K11" i="1017"/>
  <c r="AF10" i="1017"/>
  <c r="AB10" i="1017"/>
  <c r="Q10" i="1017"/>
  <c r="P10" i="1017" s="1"/>
  <c r="AC10" i="1017" s="1"/>
  <c r="AD10" i="1017" s="1"/>
  <c r="L7" i="16" s="1"/>
  <c r="O10" i="1017"/>
  <c r="M10" i="1017"/>
  <c r="AF9" i="1017"/>
  <c r="AB9" i="1017"/>
  <c r="Q9" i="1017"/>
  <c r="P9" i="1017"/>
  <c r="AC9" i="1017" s="1"/>
  <c r="O9" i="1017"/>
  <c r="M9" i="1017"/>
  <c r="K9" i="1017"/>
  <c r="AF8" i="1017"/>
  <c r="AB8" i="1017"/>
  <c r="Q8" i="1017"/>
  <c r="P8" i="1017" s="1"/>
  <c r="AC8" i="1017" s="1"/>
  <c r="O8" i="1017"/>
  <c r="M8" i="1017"/>
  <c r="AF7" i="1017"/>
  <c r="AB7" i="1017"/>
  <c r="Q7" i="1017"/>
  <c r="P7" i="1017" s="1"/>
  <c r="AC7" i="1017" s="1"/>
  <c r="O7" i="1017"/>
  <c r="M7" i="1017"/>
  <c r="AF6" i="1017"/>
  <c r="AB6" i="1017"/>
  <c r="Q6" i="1017"/>
  <c r="P6" i="1017"/>
  <c r="O6" i="1017"/>
  <c r="M6" i="1017"/>
  <c r="K6" i="1017"/>
  <c r="AE13" i="1018" l="1"/>
  <c r="M17" i="16"/>
  <c r="AD22" i="1018"/>
  <c r="AD19" i="1017"/>
  <c r="L16" i="16" s="1"/>
  <c r="Q21" i="1017"/>
  <c r="AD7" i="1017"/>
  <c r="L4" i="16" s="1"/>
  <c r="M21" i="1017"/>
  <c r="AD8" i="1017"/>
  <c r="L5" i="16" s="1"/>
  <c r="AD15" i="1017"/>
  <c r="L12" i="16" s="1"/>
  <c r="AD16" i="1017"/>
  <c r="L13" i="16" s="1"/>
  <c r="AB21" i="1017"/>
  <c r="AD11" i="1017"/>
  <c r="L8" i="16" s="1"/>
  <c r="AD14" i="1017"/>
  <c r="L11" i="16" s="1"/>
  <c r="AD17" i="1017"/>
  <c r="L14" i="16" s="1"/>
  <c r="AD18" i="1017"/>
  <c r="L15" i="16" s="1"/>
  <c r="AD9" i="1017"/>
  <c r="L6" i="16" s="1"/>
  <c r="AD12" i="1017"/>
  <c r="L9" i="16" s="1"/>
  <c r="P20" i="1017"/>
  <c r="AC20" i="1017" s="1"/>
  <c r="AD20" i="1017" s="1"/>
  <c r="L17" i="16" s="1"/>
  <c r="AC6" i="1017"/>
  <c r="L21" i="1017"/>
  <c r="O21" i="1017" s="1"/>
  <c r="K21" i="1017"/>
  <c r="L20" i="1016"/>
  <c r="L16" i="1016"/>
  <c r="K20" i="1016"/>
  <c r="K19" i="1016"/>
  <c r="K18" i="1016"/>
  <c r="K16" i="1016"/>
  <c r="K15" i="1016"/>
  <c r="K13" i="1016"/>
  <c r="K12" i="1016"/>
  <c r="K11" i="1016"/>
  <c r="K10" i="1016"/>
  <c r="K9" i="1016"/>
  <c r="K8" i="1016"/>
  <c r="K7" i="1016"/>
  <c r="A74" i="1016"/>
  <c r="A75" i="1016" s="1"/>
  <c r="A76" i="1016" s="1"/>
  <c r="A77" i="1016" s="1"/>
  <c r="A78" i="1016" s="1"/>
  <c r="A79" i="1016" s="1"/>
  <c r="A80" i="1016" s="1"/>
  <c r="A81" i="1016" s="1"/>
  <c r="AF60" i="1016"/>
  <c r="AF62" i="1016" s="1"/>
  <c r="AF59" i="1016"/>
  <c r="AA21" i="1016"/>
  <c r="Z21" i="1016"/>
  <c r="Y21" i="1016"/>
  <c r="X21" i="1016"/>
  <c r="W21" i="1016"/>
  <c r="V21" i="1016"/>
  <c r="U21" i="1016"/>
  <c r="T21" i="1016"/>
  <c r="S21" i="1016"/>
  <c r="R21" i="1016"/>
  <c r="N21" i="1016"/>
  <c r="J21" i="1016"/>
  <c r="I21" i="1016"/>
  <c r="AF20" i="1016"/>
  <c r="AB20" i="1016"/>
  <c r="Q20" i="1016"/>
  <c r="M20" i="1016"/>
  <c r="O20" i="1016"/>
  <c r="AF19" i="1016"/>
  <c r="Q19" i="1016"/>
  <c r="AB19" i="1016"/>
  <c r="AF18" i="1016"/>
  <c r="Q18" i="1016"/>
  <c r="P18" i="1016" s="1"/>
  <c r="AC18" i="1016" s="1"/>
  <c r="O18" i="1016"/>
  <c r="AF17" i="1016"/>
  <c r="AB17" i="1016"/>
  <c r="Q17" i="1016"/>
  <c r="P17" i="1016"/>
  <c r="AC17" i="1016" s="1"/>
  <c r="O17" i="1016"/>
  <c r="M17" i="1016"/>
  <c r="K17" i="1016"/>
  <c r="AF16" i="1016"/>
  <c r="Q16" i="1016"/>
  <c r="AB16" i="1016"/>
  <c r="AF15" i="1016"/>
  <c r="AB15" i="1016"/>
  <c r="Q15" i="1016"/>
  <c r="P15" i="1016"/>
  <c r="AC15" i="1016" s="1"/>
  <c r="AD15" i="1016" s="1"/>
  <c r="I12" i="16" s="1"/>
  <c r="O15" i="1016"/>
  <c r="M15" i="1016"/>
  <c r="AF14" i="1016"/>
  <c r="AC14" i="1016"/>
  <c r="AB14" i="1016"/>
  <c r="Q14" i="1016"/>
  <c r="P14" i="1016"/>
  <c r="O14" i="1016"/>
  <c r="M14" i="1016"/>
  <c r="K14" i="1016"/>
  <c r="AF13" i="1016"/>
  <c r="Q13" i="1016"/>
  <c r="P13" i="1016"/>
  <c r="AC13" i="1016" s="1"/>
  <c r="O13" i="1016"/>
  <c r="AF12" i="1016"/>
  <c r="Q12" i="1016"/>
  <c r="P12" i="1016" s="1"/>
  <c r="AC12" i="1016" s="1"/>
  <c r="O12" i="1016"/>
  <c r="AB12" i="1016"/>
  <c r="AF11" i="1016"/>
  <c r="AB11" i="1016"/>
  <c r="Q11" i="1016"/>
  <c r="P11" i="1016"/>
  <c r="AC11" i="1016" s="1"/>
  <c r="O11" i="1016"/>
  <c r="M11" i="1016"/>
  <c r="AF10" i="1016"/>
  <c r="AB10" i="1016"/>
  <c r="Q10" i="1016"/>
  <c r="P10" i="1016"/>
  <c r="AC10" i="1016" s="1"/>
  <c r="O10" i="1016"/>
  <c r="M10" i="1016"/>
  <c r="AF9" i="1016"/>
  <c r="AB9" i="1016"/>
  <c r="Q9" i="1016"/>
  <c r="P9" i="1016"/>
  <c r="AC9" i="1016" s="1"/>
  <c r="O9" i="1016"/>
  <c r="M9" i="1016"/>
  <c r="AF8" i="1016"/>
  <c r="Q8" i="1016"/>
  <c r="P8" i="1016" s="1"/>
  <c r="AC8" i="1016" s="1"/>
  <c r="O8" i="1016"/>
  <c r="AF7" i="1016"/>
  <c r="Q7" i="1016"/>
  <c r="P7" i="1016"/>
  <c r="AC7" i="1016" s="1"/>
  <c r="O7" i="1016"/>
  <c r="L21" i="1016"/>
  <c r="O21" i="1016" s="1"/>
  <c r="AF6" i="1016"/>
  <c r="AC6" i="1016"/>
  <c r="AB6" i="1016"/>
  <c r="Q6" i="1016"/>
  <c r="P6" i="1016"/>
  <c r="O6" i="1016"/>
  <c r="M6" i="1016"/>
  <c r="K6" i="1016"/>
  <c r="AE10" i="1018" l="1"/>
  <c r="M18" i="16"/>
  <c r="AD11" i="1016"/>
  <c r="I8" i="16" s="1"/>
  <c r="AD17" i="1016"/>
  <c r="I14" i="16" s="1"/>
  <c r="AE18" i="1018"/>
  <c r="AE9" i="1018"/>
  <c r="AE8" i="1018"/>
  <c r="AE17" i="1018"/>
  <c r="AE16" i="1018"/>
  <c r="AE20" i="1018"/>
  <c r="AE15" i="1018"/>
  <c r="AE14" i="1018"/>
  <c r="AE21" i="1018"/>
  <c r="AE12" i="1018"/>
  <c r="AE7" i="1018"/>
  <c r="AE6" i="1018"/>
  <c r="AE11" i="1018"/>
  <c r="AE19" i="1018"/>
  <c r="AC21" i="1017"/>
  <c r="AD6" i="1017"/>
  <c r="P21" i="1017"/>
  <c r="Q21" i="1016"/>
  <c r="AD14" i="1016"/>
  <c r="I11" i="16" s="1"/>
  <c r="AD10" i="1016"/>
  <c r="I7" i="16" s="1"/>
  <c r="AD9" i="1016"/>
  <c r="I6" i="16" s="1"/>
  <c r="AD12" i="1016"/>
  <c r="I9" i="16" s="1"/>
  <c r="M8" i="1016"/>
  <c r="AB8" i="1016"/>
  <c r="AD8" i="1016" s="1"/>
  <c r="I5" i="16" s="1"/>
  <c r="M13" i="1016"/>
  <c r="AB13" i="1016"/>
  <c r="AD13" i="1016" s="1"/>
  <c r="I10" i="16" s="1"/>
  <c r="O16" i="1016"/>
  <c r="M18" i="1016"/>
  <c r="AB18" i="1016"/>
  <c r="AD18" i="1016" s="1"/>
  <c r="I15" i="16" s="1"/>
  <c r="O19" i="1016"/>
  <c r="P20" i="1016"/>
  <c r="AC20" i="1016" s="1"/>
  <c r="AD20" i="1016" s="1"/>
  <c r="I17" i="16" s="1"/>
  <c r="AD6" i="1016"/>
  <c r="I3" i="16" s="1"/>
  <c r="M7" i="1016"/>
  <c r="AB7" i="1016"/>
  <c r="M12" i="1016"/>
  <c r="K21" i="1016"/>
  <c r="P16" i="1016"/>
  <c r="AC16" i="1016" s="1"/>
  <c r="P19" i="1016"/>
  <c r="AC19" i="1016" s="1"/>
  <c r="AD19" i="1016" s="1"/>
  <c r="I16" i="16" s="1"/>
  <c r="M16" i="1016"/>
  <c r="M19" i="1016"/>
  <c r="L20" i="1015"/>
  <c r="K20" i="1015" s="1"/>
  <c r="L19" i="1015"/>
  <c r="L18" i="1015"/>
  <c r="O18" i="1015" s="1"/>
  <c r="L16" i="1015"/>
  <c r="K16" i="1015" s="1"/>
  <c r="K15" i="1015"/>
  <c r="L13" i="1015"/>
  <c r="K13" i="1015" s="1"/>
  <c r="L12" i="1015"/>
  <c r="O12" i="1015" s="1"/>
  <c r="K9" i="1015"/>
  <c r="L8" i="1015"/>
  <c r="L7" i="1015"/>
  <c r="K7" i="1015" s="1"/>
  <c r="K19" i="1015"/>
  <c r="K11" i="1015"/>
  <c r="K10" i="1015"/>
  <c r="K8" i="1015"/>
  <c r="A74" i="1015"/>
  <c r="A75" i="1015" s="1"/>
  <c r="A76" i="1015" s="1"/>
  <c r="A77" i="1015" s="1"/>
  <c r="A78" i="1015" s="1"/>
  <c r="A79" i="1015" s="1"/>
  <c r="A80" i="1015" s="1"/>
  <c r="A81" i="1015" s="1"/>
  <c r="AF60" i="1015"/>
  <c r="AF59" i="1015"/>
  <c r="AF62" i="1015" s="1"/>
  <c r="AA21" i="1015"/>
  <c r="Z21" i="1015"/>
  <c r="Y21" i="1015"/>
  <c r="X21" i="1015"/>
  <c r="W21" i="1015"/>
  <c r="V21" i="1015"/>
  <c r="U21" i="1015"/>
  <c r="T21" i="1015"/>
  <c r="S21" i="1015"/>
  <c r="R21" i="1015"/>
  <c r="N21" i="1015"/>
  <c r="J21" i="1015"/>
  <c r="AF20" i="1015"/>
  <c r="Q20" i="1015"/>
  <c r="M20" i="1015"/>
  <c r="O20" i="1015"/>
  <c r="AF19" i="1015"/>
  <c r="Q19" i="1015"/>
  <c r="AB19" i="1015"/>
  <c r="AF18" i="1015"/>
  <c r="Q18" i="1015"/>
  <c r="AF17" i="1015"/>
  <c r="AB17" i="1015"/>
  <c r="Q17" i="1015"/>
  <c r="P17" i="1015"/>
  <c r="AC17" i="1015" s="1"/>
  <c r="O17" i="1015"/>
  <c r="M17" i="1015"/>
  <c r="K17" i="1015"/>
  <c r="AF16" i="1015"/>
  <c r="Q16" i="1015"/>
  <c r="AF15" i="1015"/>
  <c r="AB15" i="1015"/>
  <c r="Q15" i="1015"/>
  <c r="P15" i="1015" s="1"/>
  <c r="AC15" i="1015" s="1"/>
  <c r="O15" i="1015"/>
  <c r="M15" i="1015"/>
  <c r="AF14" i="1015"/>
  <c r="AB14" i="1015"/>
  <c r="Q14" i="1015"/>
  <c r="P14" i="1015"/>
  <c r="AC14" i="1015" s="1"/>
  <c r="O14" i="1015"/>
  <c r="M14" i="1015"/>
  <c r="K14" i="1015"/>
  <c r="AF13" i="1015"/>
  <c r="AB13" i="1015"/>
  <c r="Q13" i="1015"/>
  <c r="P13" i="1015" s="1"/>
  <c r="AC13" i="1015" s="1"/>
  <c r="O13" i="1015"/>
  <c r="M13" i="1015"/>
  <c r="AF12" i="1015"/>
  <c r="Q12" i="1015"/>
  <c r="M12" i="1015"/>
  <c r="AF11" i="1015"/>
  <c r="AB11" i="1015"/>
  <c r="Q11" i="1015"/>
  <c r="P11" i="1015" s="1"/>
  <c r="AC11" i="1015" s="1"/>
  <c r="M11" i="1015"/>
  <c r="AF10" i="1015"/>
  <c r="AB10" i="1015"/>
  <c r="Q10" i="1015"/>
  <c r="P10" i="1015" s="1"/>
  <c r="AC10" i="1015" s="1"/>
  <c r="O10" i="1015"/>
  <c r="M10" i="1015"/>
  <c r="AF9" i="1015"/>
  <c r="AB9" i="1015"/>
  <c r="Q9" i="1015"/>
  <c r="P9" i="1015" s="1"/>
  <c r="AC9" i="1015" s="1"/>
  <c r="O9" i="1015"/>
  <c r="M9" i="1015"/>
  <c r="I21" i="1015"/>
  <c r="AF8" i="1015"/>
  <c r="AB8" i="1015"/>
  <c r="Q8" i="1015"/>
  <c r="P8" i="1015" s="1"/>
  <c r="AC8" i="1015" s="1"/>
  <c r="M8" i="1015"/>
  <c r="AF7" i="1015"/>
  <c r="Q7" i="1015"/>
  <c r="L21" i="1015"/>
  <c r="O21" i="1015" s="1"/>
  <c r="AF6" i="1015"/>
  <c r="AB6" i="1015"/>
  <c r="Q6" i="1015"/>
  <c r="P6" i="1015"/>
  <c r="O6" i="1015"/>
  <c r="M6" i="1015"/>
  <c r="K6" i="1015"/>
  <c r="AD14" i="1015" l="1"/>
  <c r="H11" i="16" s="1"/>
  <c r="AB12" i="1015"/>
  <c r="AD17" i="1015"/>
  <c r="H14" i="16" s="1"/>
  <c r="K12" i="1015"/>
  <c r="AD21" i="1017"/>
  <c r="L18" i="16" s="1"/>
  <c r="L3" i="16"/>
  <c r="P12" i="1015"/>
  <c r="AC12" i="1015" s="1"/>
  <c r="AD12" i="1015" s="1"/>
  <c r="H9" i="16" s="1"/>
  <c r="AE12" i="1017"/>
  <c r="AE8" i="1017"/>
  <c r="AE19" i="1017"/>
  <c r="AE20" i="1017"/>
  <c r="AE13" i="1017"/>
  <c r="AE9" i="1017"/>
  <c r="AE18" i="1017"/>
  <c r="AB21" i="1016"/>
  <c r="AD16" i="1016"/>
  <c r="I13" i="16" s="1"/>
  <c r="M21" i="1016"/>
  <c r="AC21" i="1016"/>
  <c r="AD7" i="1016"/>
  <c r="I4" i="16" s="1"/>
  <c r="P21" i="1016"/>
  <c r="AD15" i="1015"/>
  <c r="H12" i="16" s="1"/>
  <c r="AD10" i="1015"/>
  <c r="H7" i="16" s="1"/>
  <c r="Q21" i="1015"/>
  <c r="AD9" i="1015"/>
  <c r="H6" i="16" s="1"/>
  <c r="K18" i="1015"/>
  <c r="K21" i="1015" s="1"/>
  <c r="P18" i="1015"/>
  <c r="AC18" i="1015" s="1"/>
  <c r="M16" i="1015"/>
  <c r="AB16" i="1015"/>
  <c r="P16" i="1015"/>
  <c r="AC16" i="1015" s="1"/>
  <c r="AD13" i="1015"/>
  <c r="H10" i="16" s="1"/>
  <c r="M7" i="1015"/>
  <c r="AB7" i="1015"/>
  <c r="O8" i="1015"/>
  <c r="AD8" i="1015" s="1"/>
  <c r="H5" i="16" s="1"/>
  <c r="O11" i="1015"/>
  <c r="AD11" i="1015" s="1"/>
  <c r="H8" i="16" s="1"/>
  <c r="O16" i="1015"/>
  <c r="M18" i="1015"/>
  <c r="AB18" i="1015"/>
  <c r="AD18" i="1015" s="1"/>
  <c r="H15" i="16" s="1"/>
  <c r="O19" i="1015"/>
  <c r="P20" i="1015"/>
  <c r="AC20" i="1015" s="1"/>
  <c r="O7" i="1015"/>
  <c r="P19" i="1015"/>
  <c r="AC19" i="1015" s="1"/>
  <c r="AD19" i="1015" s="1"/>
  <c r="H16" i="16" s="1"/>
  <c r="AC6" i="1015"/>
  <c r="P7" i="1015"/>
  <c r="AC7" i="1015" s="1"/>
  <c r="AB20" i="1015"/>
  <c r="M19" i="1015"/>
  <c r="L20" i="1014"/>
  <c r="M20" i="1014" s="1"/>
  <c r="L19" i="1014"/>
  <c r="K19" i="1014" s="1"/>
  <c r="L18" i="1014"/>
  <c r="K18" i="1014" s="1"/>
  <c r="L16" i="1014"/>
  <c r="K16" i="1014" s="1"/>
  <c r="L12" i="1014"/>
  <c r="K12" i="1014" s="1"/>
  <c r="L11" i="1014"/>
  <c r="K11" i="1014" s="1"/>
  <c r="K10" i="1014"/>
  <c r="L8" i="1014"/>
  <c r="K8" i="1014" s="1"/>
  <c r="L7" i="1014"/>
  <c r="K7" i="1014" s="1"/>
  <c r="K9" i="1014"/>
  <c r="A74" i="1014"/>
  <c r="A75" i="1014" s="1"/>
  <c r="A76" i="1014" s="1"/>
  <c r="A77" i="1014" s="1"/>
  <c r="A78" i="1014" s="1"/>
  <c r="A79" i="1014" s="1"/>
  <c r="A80" i="1014" s="1"/>
  <c r="A81" i="1014" s="1"/>
  <c r="AF60" i="1014"/>
  <c r="AF59" i="1014"/>
  <c r="AF62" i="1014" s="1"/>
  <c r="AA21" i="1014"/>
  <c r="Z21" i="1014"/>
  <c r="Y21" i="1014"/>
  <c r="X21" i="1014"/>
  <c r="W21" i="1014"/>
  <c r="V21" i="1014"/>
  <c r="U21" i="1014"/>
  <c r="T21" i="1014"/>
  <c r="S21" i="1014"/>
  <c r="R21" i="1014"/>
  <c r="N21" i="1014"/>
  <c r="J21" i="1014"/>
  <c r="AF20" i="1014"/>
  <c r="Q20" i="1014"/>
  <c r="AF19" i="1014"/>
  <c r="Q19" i="1014"/>
  <c r="AF18" i="1014"/>
  <c r="Q18" i="1014"/>
  <c r="P18" i="1014"/>
  <c r="AC18" i="1014" s="1"/>
  <c r="M18" i="1014"/>
  <c r="O18" i="1014"/>
  <c r="AF17" i="1014"/>
  <c r="AB17" i="1014"/>
  <c r="Q17" i="1014"/>
  <c r="P17" i="1014"/>
  <c r="AC17" i="1014" s="1"/>
  <c r="O17" i="1014"/>
  <c r="M17" i="1014"/>
  <c r="K17" i="1014"/>
  <c r="AF16" i="1014"/>
  <c r="Q16" i="1014"/>
  <c r="AF15" i="1014"/>
  <c r="AB15" i="1014"/>
  <c r="Q15" i="1014"/>
  <c r="P15" i="1014"/>
  <c r="AC15" i="1014" s="1"/>
  <c r="O15" i="1014"/>
  <c r="M15" i="1014"/>
  <c r="K15" i="1014"/>
  <c r="AF14" i="1014"/>
  <c r="AB14" i="1014"/>
  <c r="Q14" i="1014"/>
  <c r="P14" i="1014"/>
  <c r="AC14" i="1014" s="1"/>
  <c r="O14" i="1014"/>
  <c r="M14" i="1014"/>
  <c r="K14" i="1014"/>
  <c r="AF13" i="1014"/>
  <c r="AB13" i="1014"/>
  <c r="Q13" i="1014"/>
  <c r="P13" i="1014"/>
  <c r="AC13" i="1014" s="1"/>
  <c r="O13" i="1014"/>
  <c r="M13" i="1014"/>
  <c r="K13" i="1014"/>
  <c r="AF12" i="1014"/>
  <c r="AB12" i="1014"/>
  <c r="Q12" i="1014"/>
  <c r="P12" i="1014" s="1"/>
  <c r="AC12" i="1014" s="1"/>
  <c r="O12" i="1014"/>
  <c r="M12" i="1014"/>
  <c r="AF11" i="1014"/>
  <c r="Q11" i="1014"/>
  <c r="P11" i="1014" s="1"/>
  <c r="AC11" i="1014" s="1"/>
  <c r="AF10" i="1014"/>
  <c r="AB10" i="1014"/>
  <c r="Q10" i="1014"/>
  <c r="P10" i="1014" s="1"/>
  <c r="AC10" i="1014" s="1"/>
  <c r="O10" i="1014"/>
  <c r="M10" i="1014"/>
  <c r="AF9" i="1014"/>
  <c r="AB9" i="1014"/>
  <c r="Q9" i="1014"/>
  <c r="M9" i="1014"/>
  <c r="P9" i="1014"/>
  <c r="AC9" i="1014" s="1"/>
  <c r="I9" i="1014"/>
  <c r="I21" i="1014" s="1"/>
  <c r="AF8" i="1014"/>
  <c r="Q8" i="1014"/>
  <c r="M8" i="1014"/>
  <c r="AF7" i="1014"/>
  <c r="AB7" i="1014"/>
  <c r="Q7" i="1014"/>
  <c r="P7" i="1014" s="1"/>
  <c r="AC7" i="1014" s="1"/>
  <c r="O7" i="1014"/>
  <c r="M7" i="1014"/>
  <c r="AF6" i="1014"/>
  <c r="AB6" i="1014"/>
  <c r="Q6" i="1014"/>
  <c r="P6" i="1014"/>
  <c r="AC6" i="1014" s="1"/>
  <c r="O6" i="1014"/>
  <c r="M6" i="1014"/>
  <c r="K6" i="1014"/>
  <c r="M11" i="1014" l="1"/>
  <c r="O11" i="1014"/>
  <c r="AB19" i="1014"/>
  <c r="AE7" i="1017"/>
  <c r="AE15" i="1017"/>
  <c r="AE6" i="1017"/>
  <c r="AE14" i="1017"/>
  <c r="AB11" i="1014"/>
  <c r="AD11" i="1014" s="1"/>
  <c r="G8" i="16" s="1"/>
  <c r="AE16" i="1017"/>
  <c r="AE11" i="1017"/>
  <c r="AE17" i="1017"/>
  <c r="AE10" i="1017"/>
  <c r="AD21" i="1016"/>
  <c r="AD20" i="1015"/>
  <c r="H17" i="16" s="1"/>
  <c r="AD16" i="1015"/>
  <c r="H13" i="16" s="1"/>
  <c r="AD7" i="1015"/>
  <c r="H4" i="16" s="1"/>
  <c r="M21" i="1015"/>
  <c r="AB21" i="1015"/>
  <c r="AC21" i="1015"/>
  <c r="AD6" i="1015"/>
  <c r="H3" i="16" s="1"/>
  <c r="P21" i="1015"/>
  <c r="Q21" i="1014"/>
  <c r="K20" i="1014"/>
  <c r="K21" i="1014" s="1"/>
  <c r="AB16" i="1014"/>
  <c r="AB8" i="1014"/>
  <c r="L21" i="1014"/>
  <c r="O21" i="1014" s="1"/>
  <c r="AD12" i="1014"/>
  <c r="G9" i="16" s="1"/>
  <c r="AD14" i="1014"/>
  <c r="G11" i="16" s="1"/>
  <c r="AD7" i="1014"/>
  <c r="G4" i="16" s="1"/>
  <c r="AD10" i="1014"/>
  <c r="G7" i="16" s="1"/>
  <c r="AD13" i="1014"/>
  <c r="G10" i="16" s="1"/>
  <c r="O20" i="1014"/>
  <c r="AD15" i="1014"/>
  <c r="G12" i="16" s="1"/>
  <c r="AD17" i="1014"/>
  <c r="G14" i="16" s="1"/>
  <c r="AD6" i="1014"/>
  <c r="G3" i="16" s="1"/>
  <c r="O8" i="1014"/>
  <c r="O9" i="1014"/>
  <c r="AD9" i="1014" s="1"/>
  <c r="G6" i="16" s="1"/>
  <c r="O16" i="1014"/>
  <c r="AB18" i="1014"/>
  <c r="O19" i="1014"/>
  <c r="P20" i="1014"/>
  <c r="AC20" i="1014" s="1"/>
  <c r="P8" i="1014"/>
  <c r="AC8" i="1014" s="1"/>
  <c r="P16" i="1014"/>
  <c r="AC16" i="1014" s="1"/>
  <c r="AD16" i="1014" s="1"/>
  <c r="G13" i="16" s="1"/>
  <c r="P19" i="1014"/>
  <c r="AC19" i="1014" s="1"/>
  <c r="AB20" i="1014"/>
  <c r="M16" i="1014"/>
  <c r="M19" i="1014"/>
  <c r="L20" i="1013"/>
  <c r="O20" i="1013" s="1"/>
  <c r="L19" i="1013"/>
  <c r="K19" i="1013"/>
  <c r="L18" i="1013"/>
  <c r="K18" i="1013" s="1"/>
  <c r="L16" i="1013"/>
  <c r="K16" i="1013" s="1"/>
  <c r="K10" i="1013"/>
  <c r="L9" i="1013"/>
  <c r="L8" i="1013"/>
  <c r="AB8" i="1013" s="1"/>
  <c r="K20" i="1013"/>
  <c r="K12" i="1013"/>
  <c r="K11" i="1013"/>
  <c r="K9" i="1013"/>
  <c r="K7" i="1013"/>
  <c r="A74" i="1013"/>
  <c r="A75" i="1013" s="1"/>
  <c r="A76" i="1013" s="1"/>
  <c r="A77" i="1013" s="1"/>
  <c r="A78" i="1013" s="1"/>
  <c r="A79" i="1013" s="1"/>
  <c r="A80" i="1013" s="1"/>
  <c r="A81" i="1013" s="1"/>
  <c r="AF60" i="1013"/>
  <c r="AF62" i="1013" s="1"/>
  <c r="AF59" i="1013"/>
  <c r="AA21" i="1013"/>
  <c r="Z21" i="1013"/>
  <c r="Y21" i="1013"/>
  <c r="X21" i="1013"/>
  <c r="W21" i="1013"/>
  <c r="V21" i="1013"/>
  <c r="U21" i="1013"/>
  <c r="T21" i="1013"/>
  <c r="S21" i="1013"/>
  <c r="R21" i="1013"/>
  <c r="N21" i="1013"/>
  <c r="J21" i="1013"/>
  <c r="AF20" i="1013"/>
  <c r="Q20" i="1013"/>
  <c r="AB20" i="1013"/>
  <c r="AF19" i="1013"/>
  <c r="AB19" i="1013"/>
  <c r="Q19" i="1013"/>
  <c r="P19" i="1013" s="1"/>
  <c r="AC19" i="1013" s="1"/>
  <c r="M19" i="1013"/>
  <c r="AF18" i="1013"/>
  <c r="Q18" i="1013"/>
  <c r="AF17" i="1013"/>
  <c r="AB17" i="1013"/>
  <c r="Q17" i="1013"/>
  <c r="P17" i="1013"/>
  <c r="AC17" i="1013" s="1"/>
  <c r="O17" i="1013"/>
  <c r="M17" i="1013"/>
  <c r="K17" i="1013"/>
  <c r="AF16" i="1013"/>
  <c r="AB16" i="1013"/>
  <c r="Q16" i="1013"/>
  <c r="P16" i="1013" s="1"/>
  <c r="AC16" i="1013" s="1"/>
  <c r="M16" i="1013"/>
  <c r="AF15" i="1013"/>
  <c r="AB15" i="1013"/>
  <c r="Q15" i="1013"/>
  <c r="P15" i="1013"/>
  <c r="AC15" i="1013" s="1"/>
  <c r="O15" i="1013"/>
  <c r="M15" i="1013"/>
  <c r="K15" i="1013"/>
  <c r="AF14" i="1013"/>
  <c r="AB14" i="1013"/>
  <c r="Q14" i="1013"/>
  <c r="P14" i="1013"/>
  <c r="AC14" i="1013" s="1"/>
  <c r="O14" i="1013"/>
  <c r="M14" i="1013"/>
  <c r="K14" i="1013"/>
  <c r="AF13" i="1013"/>
  <c r="AB13" i="1013"/>
  <c r="Q13" i="1013"/>
  <c r="P13" i="1013"/>
  <c r="AC13" i="1013" s="1"/>
  <c r="O13" i="1013"/>
  <c r="M13" i="1013"/>
  <c r="K13" i="1013"/>
  <c r="AF12" i="1013"/>
  <c r="AB12" i="1013"/>
  <c r="Q12" i="1013"/>
  <c r="O12" i="1013"/>
  <c r="M12" i="1013"/>
  <c r="P12" i="1013"/>
  <c r="AC12" i="1013" s="1"/>
  <c r="I12" i="1013"/>
  <c r="AF11" i="1013"/>
  <c r="AB11" i="1013"/>
  <c r="Q11" i="1013"/>
  <c r="O11" i="1013"/>
  <c r="M11" i="1013"/>
  <c r="P11" i="1013"/>
  <c r="AC11" i="1013" s="1"/>
  <c r="AF10" i="1013"/>
  <c r="AB10" i="1013"/>
  <c r="Q10" i="1013"/>
  <c r="P10" i="1013" s="1"/>
  <c r="AC10" i="1013" s="1"/>
  <c r="O10" i="1013"/>
  <c r="M10" i="1013"/>
  <c r="AF9" i="1013"/>
  <c r="Q9" i="1013"/>
  <c r="P9" i="1013"/>
  <c r="AC9" i="1013" s="1"/>
  <c r="O9" i="1013"/>
  <c r="AB9" i="1013"/>
  <c r="I9" i="1013"/>
  <c r="I21" i="1013" s="1"/>
  <c r="AF8" i="1013"/>
  <c r="Q8" i="1013"/>
  <c r="M8" i="1013"/>
  <c r="AF7" i="1013"/>
  <c r="AB7" i="1013"/>
  <c r="Q7" i="1013"/>
  <c r="M7" i="1013"/>
  <c r="AF6" i="1013"/>
  <c r="AB6" i="1013"/>
  <c r="Q6" i="1013"/>
  <c r="P6" i="1013"/>
  <c r="O6" i="1013"/>
  <c r="M6" i="1013"/>
  <c r="K6" i="1013"/>
  <c r="O8" i="1013" l="1"/>
  <c r="P8" i="1013"/>
  <c r="AC8" i="1013" s="1"/>
  <c r="AD15" i="1013"/>
  <c r="F12" i="16" s="1"/>
  <c r="AD17" i="1013"/>
  <c r="F14" i="16" s="1"/>
  <c r="L21" i="1013"/>
  <c r="O21" i="1013" s="1"/>
  <c r="K8" i="1013"/>
  <c r="AD12" i="1013"/>
  <c r="F9" i="16" s="1"/>
  <c r="AD14" i="1013"/>
  <c r="F11" i="16" s="1"/>
  <c r="AE18" i="1016"/>
  <c r="I18" i="16"/>
  <c r="AE10" i="1016"/>
  <c r="AE17" i="1016"/>
  <c r="AE9" i="1016"/>
  <c r="AE19" i="1016"/>
  <c r="AE20" i="1016"/>
  <c r="AE13" i="1016"/>
  <c r="AE16" i="1016"/>
  <c r="AE11" i="1016"/>
  <c r="AE15" i="1016"/>
  <c r="AE12" i="1016"/>
  <c r="AE6" i="1016"/>
  <c r="AE7" i="1016"/>
  <c r="AE8" i="1016"/>
  <c r="AE14" i="1016"/>
  <c r="AD21" i="1015"/>
  <c r="AB21" i="1014"/>
  <c r="AD19" i="1014"/>
  <c r="G16" i="16" s="1"/>
  <c r="M21" i="1014"/>
  <c r="AD8" i="1014"/>
  <c r="G5" i="16" s="1"/>
  <c r="AC21" i="1014"/>
  <c r="AD18" i="1014"/>
  <c r="G15" i="16" s="1"/>
  <c r="AD20" i="1014"/>
  <c r="G17" i="16" s="1"/>
  <c r="P21" i="1014"/>
  <c r="P18" i="1013"/>
  <c r="AC18" i="1013" s="1"/>
  <c r="AD8" i="1013"/>
  <c r="F5" i="16" s="1"/>
  <c r="Q21" i="1013"/>
  <c r="AD10" i="1013"/>
  <c r="F7" i="16" s="1"/>
  <c r="AD11" i="1013"/>
  <c r="F8" i="16" s="1"/>
  <c r="AD13" i="1013"/>
  <c r="F10" i="16" s="1"/>
  <c r="AD9" i="1013"/>
  <c r="F6" i="16" s="1"/>
  <c r="O7" i="1013"/>
  <c r="O16" i="1013"/>
  <c r="AD16" i="1013" s="1"/>
  <c r="F13" i="16" s="1"/>
  <c r="M18" i="1013"/>
  <c r="AB18" i="1013"/>
  <c r="AB21" i="1013" s="1"/>
  <c r="O19" i="1013"/>
  <c r="AD19" i="1013" s="1"/>
  <c r="F16" i="16" s="1"/>
  <c r="P20" i="1013"/>
  <c r="AC20" i="1013" s="1"/>
  <c r="AD20" i="1013" s="1"/>
  <c r="F17" i="16" s="1"/>
  <c r="AC6" i="1013"/>
  <c r="K21" i="1013"/>
  <c r="P7" i="1013"/>
  <c r="AC7" i="1013" s="1"/>
  <c r="M9" i="1013"/>
  <c r="O18" i="1013"/>
  <c r="M20" i="1013"/>
  <c r="L20" i="1012"/>
  <c r="L19" i="1012"/>
  <c r="L18" i="1012"/>
  <c r="K18" i="1012"/>
  <c r="L16" i="1012"/>
  <c r="L12" i="1012"/>
  <c r="L11" i="1012"/>
  <c r="L9" i="1012"/>
  <c r="K9" i="1012" s="1"/>
  <c r="L7" i="1012"/>
  <c r="AF7" i="1012"/>
  <c r="AB7" i="1012"/>
  <c r="Q7" i="1012"/>
  <c r="P7" i="1012" s="1"/>
  <c r="AC7" i="1012" s="1"/>
  <c r="O7" i="1012"/>
  <c r="M7" i="1012"/>
  <c r="K7" i="1012"/>
  <c r="K20" i="1012"/>
  <c r="K19" i="1012"/>
  <c r="K16" i="1012"/>
  <c r="K12" i="1012"/>
  <c r="K11" i="1012"/>
  <c r="K8" i="1012"/>
  <c r="A74" i="1012"/>
  <c r="A75" i="1012" s="1"/>
  <c r="A76" i="1012" s="1"/>
  <c r="A77" i="1012" s="1"/>
  <c r="A78" i="1012" s="1"/>
  <c r="A79" i="1012" s="1"/>
  <c r="A80" i="1012" s="1"/>
  <c r="A81" i="1012" s="1"/>
  <c r="AF60" i="1012"/>
  <c r="AF62" i="1012" s="1"/>
  <c r="AF59" i="1012"/>
  <c r="AA21" i="1012"/>
  <c r="Z21" i="1012"/>
  <c r="Y21" i="1012"/>
  <c r="X21" i="1012"/>
  <c r="W21" i="1012"/>
  <c r="V21" i="1012"/>
  <c r="U21" i="1012"/>
  <c r="T21" i="1012"/>
  <c r="S21" i="1012"/>
  <c r="R21" i="1012"/>
  <c r="N21" i="1012"/>
  <c r="J21" i="1012"/>
  <c r="AF20" i="1012"/>
  <c r="AB20" i="1012"/>
  <c r="Q20" i="1012"/>
  <c r="M20" i="1012"/>
  <c r="O20" i="1012"/>
  <c r="AF19" i="1012"/>
  <c r="Q19" i="1012"/>
  <c r="AB19" i="1012"/>
  <c r="AF18" i="1012"/>
  <c r="Q18" i="1012"/>
  <c r="P18" i="1012" s="1"/>
  <c r="AC18" i="1012" s="1"/>
  <c r="O18" i="1012"/>
  <c r="AF17" i="1012"/>
  <c r="AB17" i="1012"/>
  <c r="Q17" i="1012"/>
  <c r="P17" i="1012"/>
  <c r="AC17" i="1012" s="1"/>
  <c r="O17" i="1012"/>
  <c r="M17" i="1012"/>
  <c r="K17" i="1012"/>
  <c r="AF16" i="1012"/>
  <c r="Q16" i="1012"/>
  <c r="AB16" i="1012"/>
  <c r="AF15" i="1012"/>
  <c r="AB15" i="1012"/>
  <c r="Q15" i="1012"/>
  <c r="P15" i="1012"/>
  <c r="AC15" i="1012" s="1"/>
  <c r="O15" i="1012"/>
  <c r="M15" i="1012"/>
  <c r="K15" i="1012"/>
  <c r="AF14" i="1012"/>
  <c r="AB14" i="1012"/>
  <c r="Q14" i="1012"/>
  <c r="P14" i="1012"/>
  <c r="AC14" i="1012" s="1"/>
  <c r="O14" i="1012"/>
  <c r="M14" i="1012"/>
  <c r="K14" i="1012"/>
  <c r="AF13" i="1012"/>
  <c r="AB13" i="1012"/>
  <c r="Q13" i="1012"/>
  <c r="P13" i="1012"/>
  <c r="AC13" i="1012" s="1"/>
  <c r="O13" i="1012"/>
  <c r="M13" i="1012"/>
  <c r="K13" i="1012"/>
  <c r="AF12" i="1012"/>
  <c r="AB12" i="1012"/>
  <c r="Q12" i="1012"/>
  <c r="P12" i="1012" s="1"/>
  <c r="AC12" i="1012" s="1"/>
  <c r="O12" i="1012"/>
  <c r="M12" i="1012"/>
  <c r="I12" i="1012"/>
  <c r="AF11" i="1012"/>
  <c r="AB11" i="1012"/>
  <c r="Q11" i="1012"/>
  <c r="O11" i="1012"/>
  <c r="M11" i="1012"/>
  <c r="P11" i="1012"/>
  <c r="AC11" i="1012" s="1"/>
  <c r="AF10" i="1012"/>
  <c r="AB10" i="1012"/>
  <c r="Q10" i="1012"/>
  <c r="P10" i="1012"/>
  <c r="AC10" i="1012" s="1"/>
  <c r="O10" i="1012"/>
  <c r="M10" i="1012"/>
  <c r="K10" i="1012"/>
  <c r="AF9" i="1012"/>
  <c r="Q9" i="1012"/>
  <c r="M9" i="1012"/>
  <c r="I9" i="1012"/>
  <c r="I21" i="1012" s="1"/>
  <c r="AF8" i="1012"/>
  <c r="AB8" i="1012"/>
  <c r="Q8" i="1012"/>
  <c r="P8" i="1012"/>
  <c r="AC8" i="1012" s="1"/>
  <c r="AD8" i="1012" s="1"/>
  <c r="E5" i="16" s="1"/>
  <c r="O8" i="1012"/>
  <c r="M8" i="1012"/>
  <c r="L21" i="1012"/>
  <c r="O21" i="1012" s="1"/>
  <c r="AF6" i="1012"/>
  <c r="AB6" i="1012"/>
  <c r="Q6" i="1012"/>
  <c r="P6" i="1012"/>
  <c r="O6" i="1012"/>
  <c r="M6" i="1012"/>
  <c r="K6" i="1012"/>
  <c r="O9" i="1012" l="1"/>
  <c r="AD12" i="1012"/>
  <c r="E9" i="16" s="1"/>
  <c r="AD15" i="1012"/>
  <c r="E12" i="16" s="1"/>
  <c r="P9" i="1012"/>
  <c r="AC9" i="1012" s="1"/>
  <c r="AD9" i="1012" s="1"/>
  <c r="E6" i="16" s="1"/>
  <c r="AD14" i="1012"/>
  <c r="E11" i="16" s="1"/>
  <c r="AB9" i="1012"/>
  <c r="AE18" i="1015"/>
  <c r="H18" i="16"/>
  <c r="AE7" i="1015"/>
  <c r="AE9" i="1015"/>
  <c r="AE10" i="1015"/>
  <c r="AE19" i="1015"/>
  <c r="AE13" i="1015"/>
  <c r="AE16" i="1015"/>
  <c r="AE6" i="1015"/>
  <c r="AE12" i="1015"/>
  <c r="AE8" i="1015"/>
  <c r="AE15" i="1015"/>
  <c r="AE20" i="1015"/>
  <c r="AE17" i="1015"/>
  <c r="AE14" i="1015"/>
  <c r="AE11" i="1015"/>
  <c r="AD21" i="1014"/>
  <c r="M21" i="1013"/>
  <c r="AD7" i="1013"/>
  <c r="F4" i="16" s="1"/>
  <c r="AD18" i="1013"/>
  <c r="F15" i="16" s="1"/>
  <c r="P21" i="1013"/>
  <c r="AC21" i="1013"/>
  <c r="AD6" i="1013"/>
  <c r="F3" i="16" s="1"/>
  <c r="AD7" i="1012"/>
  <c r="E4" i="16" s="1"/>
  <c r="AD11" i="1012"/>
  <c r="E8" i="16" s="1"/>
  <c r="Q21" i="1012"/>
  <c r="AD13" i="1012"/>
  <c r="E10" i="16" s="1"/>
  <c r="AD10" i="1012"/>
  <c r="E7" i="16" s="1"/>
  <c r="AD17" i="1012"/>
  <c r="E14" i="16" s="1"/>
  <c r="K21" i="1012"/>
  <c r="O16" i="1012"/>
  <c r="M18" i="1012"/>
  <c r="AB18" i="1012"/>
  <c r="AB21" i="1012" s="1"/>
  <c r="O19" i="1012"/>
  <c r="P20" i="1012"/>
  <c r="AC20" i="1012" s="1"/>
  <c r="AD20" i="1012" s="1"/>
  <c r="E17" i="16" s="1"/>
  <c r="AC6" i="1012"/>
  <c r="P16" i="1012"/>
  <c r="AC16" i="1012" s="1"/>
  <c r="P19" i="1012"/>
  <c r="AC19" i="1012" s="1"/>
  <c r="AD19" i="1012" s="1"/>
  <c r="E16" i="16" s="1"/>
  <c r="M16" i="1012"/>
  <c r="M19" i="1012"/>
  <c r="L20" i="1011"/>
  <c r="K20" i="1011" s="1"/>
  <c r="L19" i="1011"/>
  <c r="L18" i="1011"/>
  <c r="K18" i="1011" s="1"/>
  <c r="L16" i="1011"/>
  <c r="L12" i="1011"/>
  <c r="K12" i="1011" s="1"/>
  <c r="I12" i="1011"/>
  <c r="L11" i="1011"/>
  <c r="K11" i="1011" s="1"/>
  <c r="L9" i="1011"/>
  <c r="K9" i="1011" s="1"/>
  <c r="I9" i="1011"/>
  <c r="L8" i="1011"/>
  <c r="K8" i="1011" s="1"/>
  <c r="K19" i="1011"/>
  <c r="K16" i="1011"/>
  <c r="K13" i="1011"/>
  <c r="K10" i="1011"/>
  <c r="AE15" i="1014" l="1"/>
  <c r="G18" i="16"/>
  <c r="AE14" i="1014"/>
  <c r="AE18" i="1014"/>
  <c r="AE7" i="1014"/>
  <c r="AE11" i="1014"/>
  <c r="AE10" i="1014"/>
  <c r="AE6" i="1014"/>
  <c r="AE8" i="1014"/>
  <c r="AE19" i="1014"/>
  <c r="AE13" i="1014"/>
  <c r="AE20" i="1014"/>
  <c r="AE16" i="1014"/>
  <c r="AE17" i="1014"/>
  <c r="AE12" i="1014"/>
  <c r="AE9" i="1014"/>
  <c r="AD21" i="1013"/>
  <c r="M21" i="1012"/>
  <c r="AD16" i="1012"/>
  <c r="E13" i="16" s="1"/>
  <c r="AD18" i="1012"/>
  <c r="E15" i="16" s="1"/>
  <c r="AC21" i="1012"/>
  <c r="AD6" i="1012"/>
  <c r="E3" i="16" s="1"/>
  <c r="P21" i="1012"/>
  <c r="M20" i="1011"/>
  <c r="A74" i="1011"/>
  <c r="A75" i="1011" s="1"/>
  <c r="A76" i="1011" s="1"/>
  <c r="A77" i="1011" s="1"/>
  <c r="A78" i="1011" s="1"/>
  <c r="A79" i="1011" s="1"/>
  <c r="A80" i="1011" s="1"/>
  <c r="A81" i="1011" s="1"/>
  <c r="AF60" i="1011"/>
  <c r="AF62" i="1011" s="1"/>
  <c r="AF59" i="1011"/>
  <c r="AA21" i="1011"/>
  <c r="Z21" i="1011"/>
  <c r="Y21" i="1011"/>
  <c r="X21" i="1011"/>
  <c r="W21" i="1011"/>
  <c r="V21" i="1011"/>
  <c r="U21" i="1011"/>
  <c r="T21" i="1011"/>
  <c r="S21" i="1011"/>
  <c r="R21" i="1011"/>
  <c r="N21" i="1011"/>
  <c r="J21" i="1011"/>
  <c r="I21" i="1011"/>
  <c r="AF20" i="1011"/>
  <c r="AB20" i="1011"/>
  <c r="Q20" i="1011"/>
  <c r="O20" i="1011"/>
  <c r="AF19" i="1011"/>
  <c r="Q19" i="1011"/>
  <c r="AB19" i="1011"/>
  <c r="AF18" i="1011"/>
  <c r="Q18" i="1011"/>
  <c r="P18" i="1011"/>
  <c r="AC18" i="1011" s="1"/>
  <c r="O18" i="1011"/>
  <c r="AF17" i="1011"/>
  <c r="AB17" i="1011"/>
  <c r="Q17" i="1011"/>
  <c r="P17" i="1011"/>
  <c r="AC17" i="1011" s="1"/>
  <c r="O17" i="1011"/>
  <c r="M17" i="1011"/>
  <c r="K17" i="1011"/>
  <c r="AF16" i="1011"/>
  <c r="Q16" i="1011"/>
  <c r="AB16" i="1011"/>
  <c r="AF15" i="1011"/>
  <c r="AB15" i="1011"/>
  <c r="Q15" i="1011"/>
  <c r="P15" i="1011"/>
  <c r="AC15" i="1011" s="1"/>
  <c r="O15" i="1011"/>
  <c r="M15" i="1011"/>
  <c r="K15" i="1011"/>
  <c r="AF14" i="1011"/>
  <c r="AB14" i="1011"/>
  <c r="Q14" i="1011"/>
  <c r="P14" i="1011"/>
  <c r="AC14" i="1011" s="1"/>
  <c r="O14" i="1011"/>
  <c r="M14" i="1011"/>
  <c r="K14" i="1011"/>
  <c r="AF13" i="1011"/>
  <c r="AB13" i="1011"/>
  <c r="Q13" i="1011"/>
  <c r="P13" i="1011" s="1"/>
  <c r="AC13" i="1011" s="1"/>
  <c r="O13" i="1011"/>
  <c r="M13" i="1011"/>
  <c r="AF12" i="1011"/>
  <c r="AB12" i="1011"/>
  <c r="Q12" i="1011"/>
  <c r="P12" i="1011"/>
  <c r="AC12" i="1011" s="1"/>
  <c r="O12" i="1011"/>
  <c r="M12" i="1011"/>
  <c r="AF11" i="1011"/>
  <c r="AB11" i="1011"/>
  <c r="Q11" i="1011"/>
  <c r="P11" i="1011" s="1"/>
  <c r="AC11" i="1011" s="1"/>
  <c r="O11" i="1011"/>
  <c r="M11" i="1011"/>
  <c r="AF10" i="1011"/>
  <c r="AB10" i="1011"/>
  <c r="Q10" i="1011"/>
  <c r="P10" i="1011" s="1"/>
  <c r="AC10" i="1011" s="1"/>
  <c r="O10" i="1011"/>
  <c r="M10" i="1011"/>
  <c r="AF9" i="1011"/>
  <c r="Q9" i="1011"/>
  <c r="AB9" i="1011"/>
  <c r="AF8" i="1011"/>
  <c r="AB8" i="1011"/>
  <c r="Q8" i="1011"/>
  <c r="P8" i="1011" s="1"/>
  <c r="AC8" i="1011" s="1"/>
  <c r="M8" i="1011"/>
  <c r="L21" i="1011"/>
  <c r="O21" i="1011" s="1"/>
  <c r="AF7" i="1011"/>
  <c r="AB7" i="1011"/>
  <c r="Q7" i="1011"/>
  <c r="P7" i="1011"/>
  <c r="AC7" i="1011" s="1"/>
  <c r="O7" i="1011"/>
  <c r="M7" i="1011"/>
  <c r="K7" i="1011"/>
  <c r="AF6" i="1011"/>
  <c r="AB6" i="1011"/>
  <c r="Q6" i="1011"/>
  <c r="P6" i="1011"/>
  <c r="AC6" i="1011" s="1"/>
  <c r="O6" i="1011"/>
  <c r="M6" i="1011"/>
  <c r="K6" i="1011"/>
  <c r="AD17" i="1011" l="1"/>
  <c r="B14" i="16" s="1"/>
  <c r="AG14" i="16" s="1"/>
  <c r="AE18" i="1013"/>
  <c r="F18" i="16"/>
  <c r="AE8" i="1013"/>
  <c r="AE13" i="1013"/>
  <c r="AE20" i="1013"/>
  <c r="AE19" i="1013"/>
  <c r="AE6" i="1013"/>
  <c r="AE16" i="1013"/>
  <c r="AE9" i="1013"/>
  <c r="AE11" i="1013"/>
  <c r="AE7" i="1013"/>
  <c r="AE15" i="1013"/>
  <c r="AE14" i="1013"/>
  <c r="AE17" i="1013"/>
  <c r="AE12" i="1013"/>
  <c r="AE10" i="1013"/>
  <c r="AD21" i="1012"/>
  <c r="E18" i="16" s="1"/>
  <c r="AD11" i="1011"/>
  <c r="B8" i="16" s="1"/>
  <c r="AG8" i="16" s="1"/>
  <c r="Q21" i="1011"/>
  <c r="AD13" i="1011"/>
  <c r="B10" i="16" s="1"/>
  <c r="AG10" i="16" s="1"/>
  <c r="AD15" i="1011"/>
  <c r="B12" i="16" s="1"/>
  <c r="AG12" i="16" s="1"/>
  <c r="AD7" i="1011"/>
  <c r="B4" i="16" s="1"/>
  <c r="AG4" i="16" s="1"/>
  <c r="AD10" i="1011"/>
  <c r="B7" i="16" s="1"/>
  <c r="AG7" i="16" s="1"/>
  <c r="AD14" i="1011"/>
  <c r="B11" i="16" s="1"/>
  <c r="AG11" i="16" s="1"/>
  <c r="AD12" i="1011"/>
  <c r="B9" i="16" s="1"/>
  <c r="AG9" i="16" s="1"/>
  <c r="O16" i="1011"/>
  <c r="M18" i="1011"/>
  <c r="AB18" i="1011"/>
  <c r="AD18" i="1011" s="1"/>
  <c r="B15" i="16" s="1"/>
  <c r="AG15" i="16" s="1"/>
  <c r="O19" i="1011"/>
  <c r="P20" i="1011"/>
  <c r="AC20" i="1011" s="1"/>
  <c r="AD20" i="1011" s="1"/>
  <c r="B17" i="16" s="1"/>
  <c r="AG17" i="16" s="1"/>
  <c r="O9" i="1011"/>
  <c r="AD6" i="1011"/>
  <c r="B3" i="16" s="1"/>
  <c r="AG3" i="16" s="1"/>
  <c r="O8" i="1011"/>
  <c r="AD8" i="1011" s="1"/>
  <c r="B5" i="16" s="1"/>
  <c r="K21" i="1011"/>
  <c r="P9" i="1011"/>
  <c r="AC9" i="1011" s="1"/>
  <c r="AD9" i="1011" s="1"/>
  <c r="B6" i="16" s="1"/>
  <c r="AG6" i="16" s="1"/>
  <c r="P16" i="1011"/>
  <c r="AC16" i="1011" s="1"/>
  <c r="P19" i="1011"/>
  <c r="AC19" i="1011" s="1"/>
  <c r="M9" i="1011"/>
  <c r="M16" i="1011"/>
  <c r="M19" i="1011"/>
  <c r="AE15" i="1012" l="1"/>
  <c r="AE7" i="1012"/>
  <c r="AE13" i="1012"/>
  <c r="AE17" i="1012"/>
  <c r="AE14" i="1012"/>
  <c r="AE18" i="1012"/>
  <c r="AE10" i="1012"/>
  <c r="AE20" i="1012"/>
  <c r="AE8" i="1012"/>
  <c r="AE16" i="1012"/>
  <c r="AE11" i="1012"/>
  <c r="AE19" i="1012"/>
  <c r="AE9" i="1012"/>
  <c r="AE6" i="1012"/>
  <c r="AE12" i="1012"/>
  <c r="AD16" i="1011"/>
  <c r="B13" i="16" s="1"/>
  <c r="AG13" i="16" s="1"/>
  <c r="M21" i="1011"/>
  <c r="AC21" i="1011"/>
  <c r="P21" i="1011"/>
  <c r="AD19" i="1011"/>
  <c r="AB21" i="1011"/>
  <c r="AD21" i="1011" l="1"/>
  <c r="B18" i="16" s="1"/>
  <c r="B16" i="16"/>
  <c r="AG16" i="16" s="1"/>
  <c r="AE13" i="1011"/>
  <c r="AE19" i="1011"/>
  <c r="AE11" i="1011"/>
  <c r="AE17" i="1011"/>
  <c r="AE7" i="1011"/>
  <c r="AE10" i="1011" l="1"/>
  <c r="AE12" i="1011"/>
  <c r="AE9" i="1011"/>
  <c r="AE15" i="1011"/>
  <c r="AE14" i="1011"/>
  <c r="AE16" i="1011"/>
  <c r="AE18" i="1011"/>
  <c r="AE6" i="1011"/>
  <c r="AE20" i="1011"/>
  <c r="AE8" i="1011"/>
  <c r="L21" i="1032"/>
  <c r="O21" i="1032" s="1"/>
  <c r="O8" i="1032"/>
  <c r="P8" i="1032"/>
  <c r="P21" i="1032" s="1"/>
  <c r="M8" i="1032"/>
  <c r="M21" i="1032" s="1"/>
  <c r="AB8" i="1032"/>
  <c r="AB21" i="1032" s="1"/>
  <c r="AC8" i="1032" l="1"/>
  <c r="AD8" i="1032" l="1"/>
  <c r="AC21" i="1032"/>
  <c r="AD21" i="1032" l="1"/>
  <c r="AB18" i="16" s="1"/>
  <c r="AG18" i="16" s="1"/>
  <c r="AB5" i="16"/>
  <c r="AG5" i="16" s="1"/>
  <c r="AE19" i="1032"/>
  <c r="AE10" i="1032"/>
  <c r="AE15" i="1032"/>
  <c r="AE8" i="1032"/>
  <c r="AE12" i="1032"/>
  <c r="AE18" i="1032"/>
  <c r="AE6" i="1032"/>
  <c r="AE9" i="1032"/>
  <c r="AE13" i="1032" l="1"/>
  <c r="AE20" i="1032"/>
  <c r="AE16" i="1032"/>
  <c r="AE14" i="1032"/>
  <c r="AE17" i="1032"/>
  <c r="AE7" i="1032"/>
  <c r="AE11" i="1032"/>
</calcChain>
</file>

<file path=xl/sharedStrings.xml><?xml version="1.0" encoding="utf-8"?>
<sst xmlns="http://schemas.openxmlformats.org/spreadsheetml/2006/main" count="5682" uniqueCount="1161">
  <si>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</si>
  <si>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</si>
  <si>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</si>
  <si>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</si>
  <si>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</si>
  <si>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</si>
  <si>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</si>
  <si>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</si>
  <si>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</si>
  <si>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</si>
  <si>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</si>
  <si>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</si>
  <si>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</si>
  <si>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</si>
  <si>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</si>
  <si>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</si>
  <si>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</si>
  <si>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</si>
  <si>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</si>
  <si>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</si>
  <si>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</si>
  <si>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</si>
  <si>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</si>
  <si>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</si>
  <si>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</si>
  <si>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</si>
  <si>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</si>
  <si>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</si>
  <si>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</si>
  <si>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</si>
  <si>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</si>
  <si>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</si>
  <si>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</si>
  <si>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</si>
  <si>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</si>
  <si>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</si>
  <si>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</si>
  <si>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순위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</si>
  <si>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</si>
  <si>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</si>
  <si>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</si>
  <si>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</si>
  <si>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</si>
  <si>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</si>
  <si>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</si>
  <si>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</si>
  <si>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</si>
  <si>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</si>
  <si>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</si>
  <si>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</si>
  <si>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</si>
  <si>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</si>
  <si>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</si>
  <si>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</si>
  <si>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</si>
  <si>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</si>
  <si>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</si>
  <si>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</si>
  <si>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BASE</t>
    <phoneticPr fontId="2" type="noConversion"/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</si>
  <si>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</si>
  <si>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</si>
  <si>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</si>
  <si>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</si>
  <si>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</si>
  <si>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</si>
  <si>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</si>
  <si>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</si>
  <si>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</si>
  <si>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</si>
  <si>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</si>
  <si>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</si>
  <si>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</si>
  <si>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</si>
  <si>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</si>
  <si>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</si>
  <si>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</si>
  <si>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</si>
  <si>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</si>
  <si>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</si>
  <si>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</si>
  <si>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</si>
  <si>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</si>
  <si>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</si>
  <si>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</si>
  <si>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</si>
  <si>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</si>
  <si>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</si>
  <si>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</si>
  <si>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</si>
  <si>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</si>
  <si>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</si>
  <si>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</si>
  <si>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</si>
  <si>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</si>
  <si>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</si>
  <si>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</si>
  <si>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</si>
  <si>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</si>
  <si>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</si>
  <si>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</si>
  <si>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</si>
  <si>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</si>
  <si>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</si>
  <si>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</si>
  <si>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</si>
  <si>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</si>
  <si>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</si>
  <si>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</si>
  <si>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</si>
  <si>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</si>
  <si>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</si>
  <si>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</si>
  <si>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</si>
  <si>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</si>
  <si>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</si>
  <si>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</si>
  <si>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DI</t>
    <phoneticPr fontId="2" type="noConversion"/>
  </si>
  <si>
    <t>PA46</t>
    <phoneticPr fontId="2" type="noConversion"/>
  </si>
  <si>
    <t>MCS</t>
    <phoneticPr fontId="2" type="noConversion"/>
  </si>
  <si>
    <t>SST</t>
    <phoneticPr fontId="2" type="noConversion"/>
  </si>
  <si>
    <t xml:space="preserve"> 코아파손</t>
    <phoneticPr fontId="2" type="noConversion"/>
  </si>
  <si>
    <t>IC GUIDE</t>
    <phoneticPr fontId="2" type="noConversion"/>
  </si>
  <si>
    <t>AMB07H9A-KAA-R1</t>
    <phoneticPr fontId="2" type="noConversion"/>
  </si>
  <si>
    <t xml:space="preserve"> 미성형,단차</t>
    <phoneticPr fontId="2" type="noConversion"/>
  </si>
  <si>
    <t>38P</t>
    <phoneticPr fontId="2" type="noConversion"/>
  </si>
  <si>
    <t>AM0164A-A</t>
    <phoneticPr fontId="2" type="noConversion"/>
  </si>
  <si>
    <t>LEAD GUIDE</t>
    <phoneticPr fontId="2" type="noConversion"/>
  </si>
  <si>
    <t>테스트</t>
    <phoneticPr fontId="2" type="noConversion"/>
  </si>
  <si>
    <t>LOWER PLATE</t>
    <phoneticPr fontId="2" type="noConversion"/>
  </si>
  <si>
    <t>자동시 형폐안됨</t>
    <phoneticPr fontId="2" type="noConversion"/>
  </si>
  <si>
    <t>입출력카드교환</t>
    <phoneticPr fontId="2" type="noConversion"/>
  </si>
  <si>
    <t>키트</t>
    <phoneticPr fontId="2" type="noConversion"/>
  </si>
  <si>
    <t>대기중</t>
    <phoneticPr fontId="2" type="noConversion"/>
  </si>
  <si>
    <t>JD4901</t>
    <phoneticPr fontId="2" type="noConversion"/>
  </si>
  <si>
    <t>KR6197AB841CA</t>
    <phoneticPr fontId="2" type="noConversion"/>
  </si>
  <si>
    <t>KR6197-F841UA</t>
    <phoneticPr fontId="2" type="noConversion"/>
  </si>
  <si>
    <t>SGF2033</t>
    <phoneticPr fontId="2" type="noConversion"/>
  </si>
  <si>
    <t>ADAPTER</t>
    <phoneticPr fontId="2" type="noConversion"/>
  </si>
  <si>
    <t>KR6414-GA414QA</t>
    <phoneticPr fontId="2" type="noConversion"/>
  </si>
  <si>
    <t>SLIDER</t>
    <phoneticPr fontId="2" type="noConversion"/>
  </si>
  <si>
    <t xml:space="preserve"> BURR</t>
    <phoneticPr fontId="2" type="noConversion"/>
  </si>
  <si>
    <t>AYE</t>
    <phoneticPr fontId="2" type="noConversion"/>
  </si>
  <si>
    <t>4</t>
    <phoneticPr fontId="2" type="noConversion"/>
  </si>
  <si>
    <t>SGP2030R N/P</t>
    <phoneticPr fontId="2" type="noConversion"/>
  </si>
  <si>
    <t>HICON</t>
    <phoneticPr fontId="2" type="noConversion"/>
  </si>
  <si>
    <t>HSB65-M002A1</t>
    <phoneticPr fontId="2" type="noConversion"/>
  </si>
  <si>
    <t>SST</t>
    <phoneticPr fontId="2" type="noConversion"/>
  </si>
  <si>
    <t>HICON</t>
    <phoneticPr fontId="2" type="noConversion"/>
  </si>
  <si>
    <t>SGF2030 N/P</t>
    <phoneticPr fontId="2" type="noConversion"/>
  </si>
  <si>
    <t>8</t>
    <phoneticPr fontId="2" type="noConversion"/>
  </si>
  <si>
    <t>SLIDER</t>
    <phoneticPr fontId="2" type="noConversion"/>
  </si>
  <si>
    <t>COVER</t>
    <phoneticPr fontId="2" type="noConversion"/>
  </si>
  <si>
    <t>ODT</t>
    <phoneticPr fontId="2" type="noConversion"/>
  </si>
  <si>
    <t>HSA65-M002B1-13A</t>
    <phoneticPr fontId="2" type="noConversion"/>
  </si>
  <si>
    <t>NP571-178-025#LB</t>
    <phoneticPr fontId="2" type="noConversion"/>
  </si>
  <si>
    <t>SAM</t>
    <phoneticPr fontId="2" type="noConversion"/>
  </si>
  <si>
    <t>AM0610B-J</t>
    <phoneticPr fontId="2" type="noConversion"/>
  </si>
  <si>
    <t>72P</t>
    <phoneticPr fontId="2" type="noConversion"/>
  </si>
  <si>
    <t>SGF2033</t>
    <phoneticPr fontId="2" type="noConversion"/>
  </si>
  <si>
    <t>AMM0863A-KAA-R2</t>
    <phoneticPr fontId="2" type="noConversion"/>
  </si>
  <si>
    <t>BLUE</t>
    <phoneticPr fontId="2" type="noConversion"/>
  </si>
  <si>
    <t>COVER</t>
    <phoneticPr fontId="2" type="noConversion"/>
  </si>
  <si>
    <t>SW-003354</t>
    <phoneticPr fontId="2" type="noConversion"/>
  </si>
  <si>
    <t>141R B/K</t>
    <phoneticPr fontId="2" type="noConversion"/>
  </si>
  <si>
    <t>발주</t>
    <phoneticPr fontId="2" type="noConversion"/>
  </si>
  <si>
    <t>STOPPER</t>
    <phoneticPr fontId="2" type="noConversion"/>
  </si>
  <si>
    <t>KR6197-D841PB</t>
    <phoneticPr fontId="2" type="noConversion"/>
  </si>
  <si>
    <t>SF2255</t>
    <phoneticPr fontId="2" type="noConversion"/>
  </si>
  <si>
    <t>ACTUATOR</t>
    <phoneticPr fontId="2" type="noConversion"/>
  </si>
  <si>
    <t>AMB1904D-KAA-R2</t>
    <phoneticPr fontId="2" type="noConversion"/>
  </si>
  <si>
    <t>SGF2050 I/V</t>
    <phoneticPr fontId="2" type="noConversion"/>
  </si>
  <si>
    <t>KR6197-C841TA</t>
    <phoneticPr fontId="2" type="noConversion"/>
  </si>
  <si>
    <t>HSA65-M002B1-13A</t>
    <phoneticPr fontId="2" type="noConversion"/>
  </si>
  <si>
    <t xml:space="preserve"> 세척</t>
    <phoneticPr fontId="2" type="noConversion"/>
  </si>
  <si>
    <t>AM0149A-K</t>
    <phoneticPr fontId="2" type="noConversion"/>
  </si>
  <si>
    <t>SST</t>
    <phoneticPr fontId="2" type="noConversion"/>
  </si>
  <si>
    <t>SLIDER</t>
    <phoneticPr fontId="2" type="noConversion"/>
  </si>
  <si>
    <t>KR6156FA841YA</t>
    <phoneticPr fontId="2" type="noConversion"/>
  </si>
  <si>
    <t>14</t>
    <phoneticPr fontId="2" type="noConversion"/>
  </si>
  <si>
    <t>KR6197AB841CA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</si>
  <si>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</si>
  <si>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</si>
  <si>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r>
      <t>2017년 09월 01일 일일생산현황</t>
    </r>
    <r>
      <rPr>
        <b/>
        <sz val="14"/>
        <color indexed="8"/>
        <rFont val="굴림체"/>
        <family val="3"/>
        <charset val="129"/>
      </rPr>
      <t>(02일(토) 09시 현재)</t>
    </r>
    <phoneticPr fontId="2" type="noConversion"/>
  </si>
  <si>
    <t>09월 호기별 가동현황</t>
    <phoneticPr fontId="2" type="noConversion"/>
  </si>
  <si>
    <t>SLIDER</t>
    <phoneticPr fontId="2" type="noConversion"/>
  </si>
  <si>
    <t>KR6156FA841YA</t>
    <phoneticPr fontId="2" type="noConversion"/>
  </si>
  <si>
    <t>SGF250</t>
    <phoneticPr fontId="2" type="noConversion"/>
  </si>
  <si>
    <t>KR6156DB841CA</t>
    <phoneticPr fontId="2" type="noConversion"/>
  </si>
  <si>
    <t>전일 ISSUE 사항(01일)</t>
    <phoneticPr fontId="2" type="noConversion"/>
  </si>
  <si>
    <t>수리후양산</t>
    <phoneticPr fontId="2" type="noConversion"/>
  </si>
  <si>
    <t>SST</t>
    <phoneticPr fontId="2" type="noConversion"/>
  </si>
  <si>
    <t>7</t>
    <phoneticPr fontId="2" type="noConversion"/>
  </si>
  <si>
    <t>BASE</t>
    <phoneticPr fontId="2" type="noConversion"/>
  </si>
  <si>
    <t>KR6156DB841CA</t>
    <phoneticPr fontId="2" type="noConversion"/>
  </si>
  <si>
    <t>발주분양산</t>
    <phoneticPr fontId="2" type="noConversion"/>
  </si>
  <si>
    <t>코아파손수리후양산</t>
    <phoneticPr fontId="2" type="noConversion"/>
  </si>
  <si>
    <t>11</t>
    <phoneticPr fontId="2" type="noConversion"/>
  </si>
  <si>
    <t>LEAD GUIDE</t>
    <phoneticPr fontId="2" type="noConversion"/>
  </si>
  <si>
    <t>KR6197-F841UA</t>
    <phoneticPr fontId="2" type="noConversion"/>
  </si>
  <si>
    <t>세척후양산</t>
    <phoneticPr fontId="2" type="noConversion"/>
  </si>
  <si>
    <t>HICON</t>
    <phoneticPr fontId="2" type="noConversion"/>
  </si>
  <si>
    <t>BASE</t>
    <phoneticPr fontId="2" type="noConversion"/>
  </si>
  <si>
    <t>SAMPLE 진행 사항(01일)</t>
    <phoneticPr fontId="2" type="noConversion"/>
  </si>
  <si>
    <t>NHS-152T11/NHS-152T12</t>
    <phoneticPr fontId="2" type="noConversion"/>
  </si>
  <si>
    <t>승인후양산</t>
    <phoneticPr fontId="2" type="noConversion"/>
  </si>
  <si>
    <t>SST</t>
    <phoneticPr fontId="2" type="noConversion"/>
  </si>
  <si>
    <t>3</t>
    <phoneticPr fontId="2" type="noConversion"/>
  </si>
  <si>
    <t>STOPPER</t>
    <phoneticPr fontId="2" type="noConversion"/>
  </si>
  <si>
    <t>KR6197-D841PB</t>
    <phoneticPr fontId="2" type="noConversion"/>
  </si>
  <si>
    <t>세척후양산</t>
    <phoneticPr fontId="2" type="noConversion"/>
  </si>
  <si>
    <t>당일 진행 사항(04일)</t>
    <phoneticPr fontId="2" type="noConversion"/>
  </si>
  <si>
    <t>NHS-152T11/NHS-152T12</t>
    <phoneticPr fontId="2" type="noConversion"/>
  </si>
  <si>
    <t>BASE</t>
    <phoneticPr fontId="2" type="noConversion"/>
  </si>
  <si>
    <t>SGF2050</t>
    <phoneticPr fontId="2" type="noConversion"/>
  </si>
  <si>
    <t>수정</t>
    <phoneticPr fontId="2" type="noConversion"/>
  </si>
  <si>
    <r>
      <t>2017년 09월 04일 일일생산현황</t>
    </r>
    <r>
      <rPr>
        <b/>
        <sz val="14"/>
        <color indexed="8"/>
        <rFont val="굴림체"/>
        <family val="3"/>
        <charset val="129"/>
      </rPr>
      <t>(05일(화) 09시 현재)</t>
    </r>
    <phoneticPr fontId="2" type="noConversion"/>
  </si>
  <si>
    <t>ACTUATOR</t>
    <phoneticPr fontId="2" type="noConversion"/>
  </si>
  <si>
    <t>AMB1901D-JAA-R2</t>
    <phoneticPr fontId="2" type="noConversion"/>
  </si>
  <si>
    <t>SGF2030</t>
    <phoneticPr fontId="2" type="noConversion"/>
  </si>
  <si>
    <t>전일 ISSUE 사항(04일)</t>
    <phoneticPr fontId="2" type="noConversion"/>
  </si>
  <si>
    <t>2</t>
    <phoneticPr fontId="2" type="noConversion"/>
  </si>
  <si>
    <t>COVER</t>
    <phoneticPr fontId="2" type="noConversion"/>
  </si>
  <si>
    <t>KR6197-C841TA</t>
    <phoneticPr fontId="2" type="noConversion"/>
  </si>
  <si>
    <t>설비수리후양산</t>
    <phoneticPr fontId="2" type="noConversion"/>
  </si>
  <si>
    <t>3</t>
    <phoneticPr fontId="2" type="noConversion"/>
  </si>
  <si>
    <t>STOPPER</t>
    <phoneticPr fontId="2" type="noConversion"/>
  </si>
  <si>
    <t>KR6197-D841PB</t>
    <phoneticPr fontId="2" type="noConversion"/>
  </si>
  <si>
    <t>세척후양산-&gt;하측눌림(사고)</t>
    <phoneticPr fontId="2" type="noConversion"/>
  </si>
  <si>
    <t>MCS</t>
    <phoneticPr fontId="2" type="noConversion"/>
  </si>
  <si>
    <t>13</t>
    <phoneticPr fontId="2" type="noConversion"/>
  </si>
  <si>
    <t>ACTUATOR</t>
    <phoneticPr fontId="2" type="noConversion"/>
  </si>
  <si>
    <t>발주분양산-&gt;코아파손정지</t>
    <phoneticPr fontId="2" type="noConversion"/>
  </si>
  <si>
    <t>당일 진행 사항(05일)</t>
    <phoneticPr fontId="2" type="noConversion"/>
  </si>
  <si>
    <t>7</t>
    <phoneticPr fontId="2" type="noConversion"/>
  </si>
  <si>
    <t>KR6156DB841CA</t>
    <phoneticPr fontId="2" type="noConversion"/>
  </si>
  <si>
    <t>세척후양산</t>
    <phoneticPr fontId="2" type="noConversion"/>
  </si>
  <si>
    <t>ACTUATOR</t>
    <phoneticPr fontId="2" type="noConversion"/>
  </si>
  <si>
    <t>AMB1901D-JAA-R2</t>
    <phoneticPr fontId="2" type="noConversion"/>
  </si>
  <si>
    <t>수리후양산</t>
    <phoneticPr fontId="2" type="noConversion"/>
  </si>
  <si>
    <t>케미텍</t>
    <phoneticPr fontId="2" type="noConversion"/>
  </si>
  <si>
    <t>5</t>
    <phoneticPr fontId="2" type="noConversion"/>
  </si>
  <si>
    <t>Z280-F30</t>
    <phoneticPr fontId="2" type="noConversion"/>
  </si>
  <si>
    <t>발주분양산</t>
    <phoneticPr fontId="2" type="noConversion"/>
  </si>
  <si>
    <t>SAMPLE 진행 사항(04일)</t>
    <phoneticPr fontId="2" type="noConversion"/>
  </si>
  <si>
    <t>메카텍</t>
    <phoneticPr fontId="2" type="noConversion"/>
  </si>
  <si>
    <t>42P TOP/BOTTOM</t>
    <phoneticPr fontId="2" type="noConversion"/>
  </si>
  <si>
    <t>신작</t>
    <phoneticPr fontId="2" type="noConversion"/>
  </si>
  <si>
    <t>금형 수리 내역(04일)</t>
    <phoneticPr fontId="2" type="noConversion"/>
  </si>
  <si>
    <t>ACTUATOR</t>
    <phoneticPr fontId="2" type="noConversion"/>
  </si>
  <si>
    <t>설비 점검 내역(04일)</t>
    <phoneticPr fontId="2" type="noConversion"/>
  </si>
  <si>
    <r>
      <t>2017년 09월 05일 일일생산현황</t>
    </r>
    <r>
      <rPr>
        <b/>
        <sz val="14"/>
        <color indexed="8"/>
        <rFont val="굴림체"/>
        <family val="3"/>
        <charset val="129"/>
      </rPr>
      <t>(06일(수) 09시 현재)</t>
    </r>
    <phoneticPr fontId="2" type="noConversion"/>
  </si>
  <si>
    <t>케미텍</t>
    <phoneticPr fontId="2" type="noConversion"/>
  </si>
  <si>
    <t>Z280FPGD</t>
    <phoneticPr fontId="2" type="noConversion"/>
  </si>
  <si>
    <t>Z280-F30</t>
    <phoneticPr fontId="2" type="noConversion"/>
  </si>
  <si>
    <t>E473i</t>
    <phoneticPr fontId="2" type="noConversion"/>
  </si>
  <si>
    <t>재고</t>
    <phoneticPr fontId="2" type="noConversion"/>
  </si>
  <si>
    <t>전일 ISSUE 사항(05일)</t>
    <phoneticPr fontId="2" type="noConversion"/>
  </si>
  <si>
    <t>설비이상정지</t>
    <phoneticPr fontId="2" type="noConversion"/>
  </si>
  <si>
    <t>수리후양산</t>
    <phoneticPr fontId="2" type="noConversion"/>
  </si>
  <si>
    <t>수리후양산</t>
    <phoneticPr fontId="2" type="noConversion"/>
  </si>
  <si>
    <t>케미텍</t>
    <phoneticPr fontId="2" type="noConversion"/>
  </si>
  <si>
    <t>5</t>
    <phoneticPr fontId="2" type="noConversion"/>
  </si>
  <si>
    <t>Z280-F30</t>
    <phoneticPr fontId="2" type="noConversion"/>
  </si>
  <si>
    <t>발주분양산</t>
    <phoneticPr fontId="2" type="noConversion"/>
  </si>
  <si>
    <t>당일 진행 사항(06일)</t>
    <phoneticPr fontId="2" type="noConversion"/>
  </si>
  <si>
    <t>2</t>
    <phoneticPr fontId="2" type="noConversion"/>
  </si>
  <si>
    <t>COVER</t>
    <phoneticPr fontId="2" type="noConversion"/>
  </si>
  <si>
    <t>KR6197-C841TA</t>
    <phoneticPr fontId="2" type="noConversion"/>
  </si>
  <si>
    <t>설비수리후양산</t>
    <phoneticPr fontId="2" type="noConversion"/>
  </si>
  <si>
    <t>11</t>
    <phoneticPr fontId="2" type="noConversion"/>
  </si>
  <si>
    <t>LEAD GUIDE</t>
    <phoneticPr fontId="2" type="noConversion"/>
  </si>
  <si>
    <t>KR6197-F841UA</t>
    <phoneticPr fontId="2" type="noConversion"/>
  </si>
  <si>
    <t>세척후양산</t>
    <phoneticPr fontId="2" type="noConversion"/>
  </si>
  <si>
    <t>Z280-F40</t>
    <phoneticPr fontId="2" type="noConversion"/>
  </si>
  <si>
    <t>Z280-ASSY</t>
    <phoneticPr fontId="2" type="noConversion"/>
  </si>
  <si>
    <t>SAMPLE 진행 사항(05일)</t>
    <phoneticPr fontId="2" type="noConversion"/>
  </si>
  <si>
    <t>ADAPTER</t>
    <phoneticPr fontId="2" type="noConversion"/>
  </si>
  <si>
    <t>NP504-828-128#LB</t>
    <phoneticPr fontId="2" type="noConversion"/>
  </si>
  <si>
    <t>SGP2030R N/P</t>
    <phoneticPr fontId="2" type="noConversion"/>
  </si>
  <si>
    <t>AYE</t>
    <phoneticPr fontId="2" type="noConversion"/>
  </si>
  <si>
    <t>AYE</t>
    <phoneticPr fontId="2" type="noConversion"/>
  </si>
  <si>
    <t>SPACER A,B</t>
    <phoneticPr fontId="2" type="noConversion"/>
  </si>
  <si>
    <t>NP504-828-128#SP-A,B</t>
    <phoneticPr fontId="2" type="noConversion"/>
  </si>
  <si>
    <t>SGF2033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</si>
  <si>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</si>
  <si>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</si>
  <si>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t>SLIDER</t>
    <phoneticPr fontId="2" type="noConversion"/>
  </si>
  <si>
    <t>KR6156FA841YA</t>
    <phoneticPr fontId="2" type="noConversion"/>
  </si>
  <si>
    <t>LEAD GUIDE</t>
    <phoneticPr fontId="2" type="noConversion"/>
  </si>
  <si>
    <t>KR6197-F841UA</t>
    <phoneticPr fontId="2" type="noConversion"/>
  </si>
  <si>
    <r>
      <t>2017년 09월 06일 일일생산현황</t>
    </r>
    <r>
      <rPr>
        <b/>
        <sz val="14"/>
        <color indexed="8"/>
        <rFont val="굴림체"/>
        <family val="3"/>
        <charset val="129"/>
      </rPr>
      <t>(07일(목) 09시 현재)</t>
    </r>
    <phoneticPr fontId="2" type="noConversion"/>
  </si>
  <si>
    <t>Z280ASSY</t>
    <phoneticPr fontId="2" type="noConversion"/>
  </si>
  <si>
    <t>Z280-430</t>
    <phoneticPr fontId="2" type="noConversion"/>
  </si>
  <si>
    <t>MCS</t>
    <phoneticPr fontId="2" type="noConversion"/>
  </si>
  <si>
    <t>BODY</t>
    <phoneticPr fontId="2" type="noConversion"/>
  </si>
  <si>
    <t>AMB0114E-JAA-R2</t>
    <phoneticPr fontId="2" type="noConversion"/>
  </si>
  <si>
    <t>SF2255</t>
    <phoneticPr fontId="2" type="noConversion"/>
  </si>
  <si>
    <t>메카텍</t>
    <phoneticPr fontId="2" type="noConversion"/>
  </si>
  <si>
    <t>BASE HINGE</t>
    <phoneticPr fontId="2" type="noConversion"/>
  </si>
  <si>
    <t>전일 ISSUE 사항(06일)</t>
    <phoneticPr fontId="2" type="noConversion"/>
  </si>
  <si>
    <t>설비수리후양산</t>
    <phoneticPr fontId="2" type="noConversion"/>
  </si>
  <si>
    <t>Z280ASSY</t>
    <phoneticPr fontId="2" type="noConversion"/>
  </si>
  <si>
    <t>Z280-F40</t>
    <phoneticPr fontId="2" type="noConversion"/>
  </si>
  <si>
    <t>MCS</t>
    <phoneticPr fontId="2" type="noConversion"/>
  </si>
  <si>
    <t>7</t>
    <phoneticPr fontId="2" type="noConversion"/>
  </si>
  <si>
    <t>BODY</t>
    <phoneticPr fontId="2" type="noConversion"/>
  </si>
  <si>
    <t>발주분양산-&gt;밀핀파손정지</t>
    <phoneticPr fontId="2" type="noConversion"/>
  </si>
  <si>
    <t>메카텍</t>
    <phoneticPr fontId="2" type="noConversion"/>
  </si>
  <si>
    <t>11</t>
    <phoneticPr fontId="2" type="noConversion"/>
  </si>
  <si>
    <t>당일 진행 사항(07일)</t>
    <phoneticPr fontId="2" type="noConversion"/>
  </si>
  <si>
    <t>7</t>
    <phoneticPr fontId="2" type="noConversion"/>
  </si>
  <si>
    <t>AMB0114E-JAA-R2</t>
    <phoneticPr fontId="2" type="noConversion"/>
  </si>
  <si>
    <t>수리후양산</t>
    <phoneticPr fontId="2" type="noConversion"/>
  </si>
  <si>
    <t>8</t>
    <phoneticPr fontId="2" type="noConversion"/>
  </si>
  <si>
    <t>COVER HINGE</t>
    <phoneticPr fontId="2" type="noConversion"/>
  </si>
  <si>
    <t>발주분양산</t>
    <phoneticPr fontId="2" type="noConversion"/>
  </si>
  <si>
    <t>ODT</t>
    <phoneticPr fontId="2" type="noConversion"/>
  </si>
  <si>
    <t>203T</t>
    <phoneticPr fontId="2" type="noConversion"/>
  </si>
  <si>
    <t>SW-003068-01</t>
    <phoneticPr fontId="2" type="noConversion"/>
  </si>
  <si>
    <t>SAMPLE 진행 사항(06일)</t>
    <phoneticPr fontId="2" type="noConversion"/>
  </si>
  <si>
    <t>STOPPER</t>
    <phoneticPr fontId="2" type="noConversion"/>
  </si>
  <si>
    <t>KR6197-D475PB</t>
    <phoneticPr fontId="2" type="noConversion"/>
  </si>
  <si>
    <t>SF2255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</si>
  <si>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</si>
  <si>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</si>
  <si>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2017년 09월 07일 일일생산현황</t>
    </r>
    <r>
      <rPr>
        <b/>
        <sz val="14"/>
        <color indexed="8"/>
        <rFont val="굴림체"/>
        <family val="3"/>
        <charset val="129"/>
      </rPr>
      <t>(08일(금) 09시 현재)</t>
    </r>
    <phoneticPr fontId="2" type="noConversion"/>
  </si>
  <si>
    <t>야마이찌</t>
    <phoneticPr fontId="2" type="noConversion"/>
  </si>
  <si>
    <t>SPACER A,B</t>
    <phoneticPr fontId="2" type="noConversion"/>
  </si>
  <si>
    <t>NP504-828-128#SP-A,B</t>
    <phoneticPr fontId="2" type="noConversion"/>
  </si>
  <si>
    <t>SGF2033</t>
    <phoneticPr fontId="2" type="noConversion"/>
  </si>
  <si>
    <t>2*1</t>
    <phoneticPr fontId="2" type="noConversion"/>
  </si>
  <si>
    <t>Z280-F40</t>
    <phoneticPr fontId="2" type="noConversion"/>
  </si>
  <si>
    <t>메카텍</t>
    <phoneticPr fontId="2" type="noConversion"/>
  </si>
  <si>
    <t>COVER HINGE</t>
    <phoneticPr fontId="2" type="noConversion"/>
  </si>
  <si>
    <t>NP504-828-128#LB</t>
    <phoneticPr fontId="2" type="noConversion"/>
  </si>
  <si>
    <t>ODT</t>
    <phoneticPr fontId="2" type="noConversion"/>
  </si>
  <si>
    <t>203T</t>
    <phoneticPr fontId="2" type="noConversion"/>
  </si>
  <si>
    <t>SW-003068-01</t>
    <phoneticPr fontId="2" type="noConversion"/>
  </si>
  <si>
    <t>PC GF30%</t>
    <phoneticPr fontId="2" type="noConversion"/>
  </si>
  <si>
    <t>전일 ISSUE 사항(07일)</t>
    <phoneticPr fontId="2" type="noConversion"/>
  </si>
  <si>
    <t>설비이상정지</t>
    <phoneticPr fontId="2" type="noConversion"/>
  </si>
  <si>
    <t>수리후양산</t>
    <phoneticPr fontId="2" type="noConversion"/>
  </si>
  <si>
    <t>8</t>
    <phoneticPr fontId="2" type="noConversion"/>
  </si>
  <si>
    <t>COVER HINGE</t>
    <phoneticPr fontId="2" type="noConversion"/>
  </si>
  <si>
    <t>AYE</t>
    <phoneticPr fontId="2" type="noConversion"/>
  </si>
  <si>
    <t>4</t>
    <phoneticPr fontId="2" type="noConversion"/>
  </si>
  <si>
    <t>AYE</t>
    <phoneticPr fontId="2" type="noConversion"/>
  </si>
  <si>
    <t>10</t>
    <phoneticPr fontId="2" type="noConversion"/>
  </si>
  <si>
    <t>ADAPTER</t>
    <phoneticPr fontId="2" type="noConversion"/>
  </si>
  <si>
    <t>NP504-828-128#LB</t>
    <phoneticPr fontId="2" type="noConversion"/>
  </si>
  <si>
    <t>당일 진행 사항(08일)</t>
    <phoneticPr fontId="2" type="noConversion"/>
  </si>
  <si>
    <t>SST</t>
    <phoneticPr fontId="2" type="noConversion"/>
  </si>
  <si>
    <t>3</t>
    <phoneticPr fontId="2" type="noConversion"/>
  </si>
  <si>
    <t>STOPPER</t>
    <phoneticPr fontId="2" type="noConversion"/>
  </si>
  <si>
    <t>KR6197-D841PB</t>
    <phoneticPr fontId="2" type="noConversion"/>
  </si>
  <si>
    <t>세척후양산</t>
    <phoneticPr fontId="2" type="noConversion"/>
  </si>
  <si>
    <t>SST</t>
    <phoneticPr fontId="2" type="noConversion"/>
  </si>
  <si>
    <t>14</t>
    <phoneticPr fontId="2" type="noConversion"/>
  </si>
  <si>
    <t>BASE</t>
    <phoneticPr fontId="2" type="noConversion"/>
  </si>
  <si>
    <t>KR6197AB841CA</t>
    <phoneticPr fontId="2" type="noConversion"/>
  </si>
  <si>
    <t>SAMPLE 진행 사항(07일)</t>
    <phoneticPr fontId="2" type="noConversion"/>
  </si>
  <si>
    <t>ADAPTER</t>
    <phoneticPr fontId="2" type="noConversion"/>
  </si>
  <si>
    <t>K-JR01911-G01HXX</t>
    <phoneticPr fontId="2" type="noConversion"/>
  </si>
  <si>
    <t>SGF2030 N/P</t>
    <phoneticPr fontId="2" type="noConversion"/>
  </si>
  <si>
    <t>수정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</si>
  <si>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</si>
  <si>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</si>
  <si>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2017년 09월 08일(주간) 일일생산현황</t>
    </r>
    <r>
      <rPr>
        <b/>
        <sz val="14"/>
        <color indexed="8"/>
        <rFont val="굴림체"/>
        <family val="3"/>
        <charset val="129"/>
      </rPr>
      <t>(09일(토) 09시 현재)</t>
    </r>
    <phoneticPr fontId="2" type="noConversion"/>
  </si>
  <si>
    <t>전일 ISSUE 사항(08일)</t>
    <phoneticPr fontId="2" type="noConversion"/>
  </si>
  <si>
    <t>STOPPER</t>
    <phoneticPr fontId="2" type="noConversion"/>
  </si>
  <si>
    <t>KR6197-D841PB</t>
    <phoneticPr fontId="2" type="noConversion"/>
  </si>
  <si>
    <t>세척후양산</t>
    <phoneticPr fontId="2" type="noConversion"/>
  </si>
  <si>
    <t>SST</t>
    <phoneticPr fontId="2" type="noConversion"/>
  </si>
  <si>
    <t>14</t>
    <phoneticPr fontId="2" type="noConversion"/>
  </si>
  <si>
    <t>KR6197AB841CA</t>
    <phoneticPr fontId="2" type="noConversion"/>
  </si>
  <si>
    <t>당일 진행 사항(11일)</t>
    <phoneticPr fontId="2" type="noConversion"/>
  </si>
  <si>
    <t>MCS</t>
    <phoneticPr fontId="2" type="noConversion"/>
  </si>
  <si>
    <t>13</t>
    <phoneticPr fontId="2" type="noConversion"/>
  </si>
  <si>
    <t>ACTUATOR</t>
    <phoneticPr fontId="2" type="noConversion"/>
  </si>
  <si>
    <t>AMB1901D-JAA-R2</t>
    <phoneticPr fontId="2" type="noConversion"/>
  </si>
  <si>
    <t>AMB0226A-KAA-R1</t>
    <phoneticPr fontId="2" type="noConversion"/>
  </si>
  <si>
    <t>발주분양산</t>
    <phoneticPr fontId="2" type="noConversion"/>
  </si>
  <si>
    <t>SST</t>
    <phoneticPr fontId="2" type="noConversion"/>
  </si>
  <si>
    <t>5</t>
    <phoneticPr fontId="2" type="noConversion"/>
  </si>
  <si>
    <t>SHAFT</t>
    <phoneticPr fontId="2" type="noConversion"/>
  </si>
  <si>
    <t>KR6197-06KA</t>
    <phoneticPr fontId="2" type="noConversion"/>
  </si>
  <si>
    <t>SAMPLE 진행 사항(08일)</t>
    <phoneticPr fontId="2" type="noConversion"/>
  </si>
  <si>
    <t>BODY</t>
    <phoneticPr fontId="2" type="noConversion"/>
  </si>
  <si>
    <t>AMB0104J-KAA-R2</t>
    <phoneticPr fontId="2" type="noConversion"/>
  </si>
  <si>
    <t>수정</t>
    <phoneticPr fontId="2" type="noConversion"/>
  </si>
  <si>
    <t>AMB0158A-KAA-R1</t>
    <phoneticPr fontId="2" type="noConversion"/>
  </si>
  <si>
    <t>SGF2050</t>
    <phoneticPr fontId="2" type="noConversion"/>
  </si>
  <si>
    <t>조건변경</t>
    <phoneticPr fontId="2" type="noConversion"/>
  </si>
  <si>
    <t>ADAPTER</t>
    <phoneticPr fontId="2" type="noConversion"/>
  </si>
  <si>
    <t>AMB07P2A-KAA-R1</t>
    <phoneticPr fontId="2" type="noConversion"/>
  </si>
  <si>
    <t>SGF2030 N/P</t>
    <phoneticPr fontId="2" type="noConversion"/>
  </si>
  <si>
    <t>원재료</t>
    <phoneticPr fontId="2" type="noConversion"/>
  </si>
  <si>
    <t>AYE</t>
    <phoneticPr fontId="2" type="noConversion"/>
  </si>
  <si>
    <t>SEPARATOR</t>
    <phoneticPr fontId="2" type="noConversion"/>
  </si>
  <si>
    <t>0.25P</t>
    <phoneticPr fontId="2" type="noConversion"/>
  </si>
  <si>
    <t>S475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</si>
  <si>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</si>
  <si>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</si>
  <si>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2017년 09월 11일 일일생산현황</t>
    </r>
    <r>
      <rPr>
        <b/>
        <sz val="14"/>
        <color indexed="8"/>
        <rFont val="굴림체"/>
        <family val="3"/>
        <charset val="129"/>
      </rPr>
      <t>(12일(화) 09시 현재)</t>
    </r>
    <phoneticPr fontId="2" type="noConversion"/>
  </si>
  <si>
    <t>재고</t>
    <phoneticPr fontId="2" type="noConversion"/>
  </si>
  <si>
    <t>SHAFT</t>
    <phoneticPr fontId="2" type="noConversion"/>
  </si>
  <si>
    <t>KR6197-06KA</t>
    <phoneticPr fontId="2" type="noConversion"/>
  </si>
  <si>
    <t>JCL3030</t>
    <phoneticPr fontId="2" type="noConversion"/>
  </si>
  <si>
    <t>STOPPER</t>
    <phoneticPr fontId="2" type="noConversion"/>
  </si>
  <si>
    <t>AMB0226A-KAA-R1</t>
    <phoneticPr fontId="2" type="noConversion"/>
  </si>
  <si>
    <t>테라</t>
    <phoneticPr fontId="2" type="noConversion"/>
  </si>
  <si>
    <t>LEVER</t>
    <phoneticPr fontId="2" type="noConversion"/>
  </si>
  <si>
    <t>LV006</t>
    <phoneticPr fontId="2" type="noConversion"/>
  </si>
  <si>
    <t>전일 ISSUE 사항(11일)</t>
    <phoneticPr fontId="2" type="noConversion"/>
  </si>
  <si>
    <t>2</t>
    <phoneticPr fontId="2" type="noConversion"/>
  </si>
  <si>
    <t>COVER</t>
    <phoneticPr fontId="2" type="noConversion"/>
  </si>
  <si>
    <t>KR6197-C841TA</t>
    <phoneticPr fontId="2" type="noConversion"/>
  </si>
  <si>
    <t>설비수리후양산</t>
    <phoneticPr fontId="2" type="noConversion"/>
  </si>
  <si>
    <t>5</t>
    <phoneticPr fontId="2" type="noConversion"/>
  </si>
  <si>
    <t>발주분양산</t>
    <phoneticPr fontId="2" type="noConversion"/>
  </si>
  <si>
    <t>MCS</t>
    <phoneticPr fontId="2" type="noConversion"/>
  </si>
  <si>
    <t>7</t>
    <phoneticPr fontId="2" type="noConversion"/>
  </si>
  <si>
    <t>STOPPER</t>
    <phoneticPr fontId="2" type="noConversion"/>
  </si>
  <si>
    <t>12</t>
    <phoneticPr fontId="2" type="noConversion"/>
  </si>
  <si>
    <t>당일 진행 사항(12일)</t>
    <phoneticPr fontId="2" type="noConversion"/>
  </si>
  <si>
    <t>MCS</t>
    <phoneticPr fontId="2" type="noConversion"/>
  </si>
  <si>
    <t>BODY</t>
    <phoneticPr fontId="2" type="noConversion"/>
  </si>
  <si>
    <t>AMB0114E-JAA-R2</t>
    <phoneticPr fontId="2" type="noConversion"/>
  </si>
  <si>
    <t>세척후양산</t>
    <phoneticPr fontId="2" type="noConversion"/>
  </si>
  <si>
    <t>케미텍</t>
    <phoneticPr fontId="2" type="noConversion"/>
  </si>
  <si>
    <t>Z280-ASSY</t>
    <phoneticPr fontId="2" type="noConversion"/>
  </si>
  <si>
    <t>Z280-F40</t>
    <phoneticPr fontId="2" type="noConversion"/>
  </si>
  <si>
    <t>SAMPLE 진행 사항(11일)</t>
    <phoneticPr fontId="2" type="noConversion"/>
  </si>
  <si>
    <t>양산테스트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</si>
  <si>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</si>
  <si>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</si>
  <si>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2017년 09월 12일 일일생산현황</t>
    </r>
    <r>
      <rPr>
        <b/>
        <sz val="14"/>
        <color indexed="8"/>
        <rFont val="굴림체"/>
        <family val="3"/>
        <charset val="129"/>
      </rPr>
      <t>(13일(수) 09시 현재)</t>
    </r>
    <phoneticPr fontId="2" type="noConversion"/>
  </si>
  <si>
    <t>SEPARATOR</t>
    <phoneticPr fontId="2" type="noConversion"/>
  </si>
  <si>
    <t>0.25P</t>
    <phoneticPr fontId="2" type="noConversion"/>
  </si>
  <si>
    <t>SPL</t>
    <phoneticPr fontId="2" type="noConversion"/>
  </si>
  <si>
    <t>S475 B/K</t>
    <phoneticPr fontId="2" type="noConversion"/>
  </si>
  <si>
    <t>재고</t>
    <phoneticPr fontId="2" type="noConversion"/>
  </si>
  <si>
    <t>전일 ISSUE 사항(12일)</t>
    <phoneticPr fontId="2" type="noConversion"/>
  </si>
  <si>
    <t>케미텍</t>
    <phoneticPr fontId="2" type="noConversion"/>
  </si>
  <si>
    <t>5</t>
    <phoneticPr fontId="2" type="noConversion"/>
  </si>
  <si>
    <t>Z280ASSY</t>
    <phoneticPr fontId="2" type="noConversion"/>
  </si>
  <si>
    <t>Z280-F40</t>
    <phoneticPr fontId="2" type="noConversion"/>
  </si>
  <si>
    <t>발주분양산</t>
    <phoneticPr fontId="2" type="noConversion"/>
  </si>
  <si>
    <t>BODY</t>
    <phoneticPr fontId="2" type="noConversion"/>
  </si>
  <si>
    <t>AMB0114E-JAA-R2</t>
    <phoneticPr fontId="2" type="noConversion"/>
  </si>
  <si>
    <t>재고분양산</t>
    <phoneticPr fontId="2" type="noConversion"/>
  </si>
  <si>
    <t>SST</t>
    <phoneticPr fontId="2" type="noConversion"/>
  </si>
  <si>
    <t>14</t>
    <phoneticPr fontId="2" type="noConversion"/>
  </si>
  <si>
    <t>BASE</t>
    <phoneticPr fontId="2" type="noConversion"/>
  </si>
  <si>
    <t>KR6197AB841CA</t>
    <phoneticPr fontId="2" type="noConversion"/>
  </si>
  <si>
    <t>코아파손정지</t>
    <phoneticPr fontId="2" type="noConversion"/>
  </si>
  <si>
    <t>당일 진행 사항(13일)</t>
    <phoneticPr fontId="2" type="noConversion"/>
  </si>
  <si>
    <t>KR6197AB841CA</t>
    <phoneticPr fontId="2" type="noConversion"/>
  </si>
  <si>
    <t>수리후양산</t>
    <phoneticPr fontId="2" type="noConversion"/>
  </si>
  <si>
    <t>MCS</t>
    <phoneticPr fontId="2" type="noConversion"/>
  </si>
  <si>
    <t>6</t>
    <phoneticPr fontId="2" type="noConversion"/>
  </si>
  <si>
    <t>F/ADAPTER</t>
    <phoneticPr fontId="2" type="noConversion"/>
  </si>
  <si>
    <t>AMB2071A-KAA-R2</t>
    <phoneticPr fontId="2" type="noConversion"/>
  </si>
  <si>
    <t>MCS</t>
    <phoneticPr fontId="2" type="noConversion"/>
  </si>
  <si>
    <t>11</t>
    <phoneticPr fontId="2" type="noConversion"/>
  </si>
  <si>
    <t>BODY</t>
    <phoneticPr fontId="2" type="noConversion"/>
  </si>
  <si>
    <t>AM0148E-K-R2</t>
    <phoneticPr fontId="2" type="noConversion"/>
  </si>
  <si>
    <t>SAMPLE 진행 사항(12일)</t>
    <phoneticPr fontId="2" type="noConversion"/>
  </si>
  <si>
    <t>BASE</t>
    <phoneticPr fontId="2" type="noConversion"/>
  </si>
  <si>
    <t>SST</t>
    <phoneticPr fontId="2" type="noConversion"/>
  </si>
  <si>
    <t>K-JR01928-B01AXX</t>
    <phoneticPr fontId="2" type="noConversion"/>
  </si>
  <si>
    <t>SGP2020R</t>
    <phoneticPr fontId="2" type="noConversion"/>
  </si>
  <si>
    <t>신작</t>
    <phoneticPr fontId="2" type="noConversion"/>
  </si>
  <si>
    <t>13,8</t>
    <phoneticPr fontId="2" type="noConversion"/>
  </si>
  <si>
    <t>COVER</t>
    <phoneticPr fontId="2" type="noConversion"/>
  </si>
  <si>
    <t>SGF2030</t>
    <phoneticPr fontId="2" type="noConversion"/>
  </si>
  <si>
    <t>형상이상 2회진행</t>
    <phoneticPr fontId="2" type="noConversion"/>
  </si>
  <si>
    <t>LATCH</t>
    <phoneticPr fontId="2" type="noConversion"/>
  </si>
  <si>
    <t>K-JR01928-E01AXX</t>
    <phoneticPr fontId="2" type="noConversion"/>
  </si>
  <si>
    <t>형상이상</t>
    <phoneticPr fontId="2" type="noConversion"/>
  </si>
  <si>
    <t>ADAPTER</t>
    <phoneticPr fontId="2" type="noConversion"/>
  </si>
  <si>
    <t>K-JR01928-G01AXX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</si>
  <si>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</si>
  <si>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</si>
  <si>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2017년 09월 13일 일일생산현황</t>
    </r>
    <r>
      <rPr>
        <b/>
        <sz val="14"/>
        <color indexed="8"/>
        <rFont val="굴림체"/>
        <family val="3"/>
        <charset val="129"/>
      </rPr>
      <t>(14일(목) 09시 현재)</t>
    </r>
    <phoneticPr fontId="2" type="noConversion"/>
  </si>
  <si>
    <t>F/ADAPTER</t>
    <phoneticPr fontId="2" type="noConversion"/>
  </si>
  <si>
    <t>AMB2071A-KAA-R2</t>
    <phoneticPr fontId="2" type="noConversion"/>
  </si>
  <si>
    <t>HICON</t>
    <phoneticPr fontId="2" type="noConversion"/>
  </si>
  <si>
    <t>LATCH C</t>
    <phoneticPr fontId="2" type="noConversion"/>
  </si>
  <si>
    <t>LH-01A1</t>
    <phoneticPr fontId="2" type="noConversion"/>
  </si>
  <si>
    <t>SGF2050</t>
    <phoneticPr fontId="2" type="noConversion"/>
  </si>
  <si>
    <t>MCS</t>
    <phoneticPr fontId="2" type="noConversion"/>
  </si>
  <si>
    <t>BODY</t>
    <phoneticPr fontId="2" type="noConversion"/>
  </si>
  <si>
    <t>AM0148E-K-R2</t>
    <phoneticPr fontId="2" type="noConversion"/>
  </si>
  <si>
    <t>전일 ISSUE 사항(13일)</t>
    <phoneticPr fontId="2" type="noConversion"/>
  </si>
  <si>
    <t>수리후양산</t>
    <phoneticPr fontId="2" type="noConversion"/>
  </si>
  <si>
    <t>3</t>
    <phoneticPr fontId="2" type="noConversion"/>
  </si>
  <si>
    <t>STOPPER</t>
    <phoneticPr fontId="2" type="noConversion"/>
  </si>
  <si>
    <t>KR6197-D841PB</t>
    <phoneticPr fontId="2" type="noConversion"/>
  </si>
  <si>
    <t>세척후양산</t>
    <phoneticPr fontId="2" type="noConversion"/>
  </si>
  <si>
    <t>6</t>
    <phoneticPr fontId="2" type="noConversion"/>
  </si>
  <si>
    <t>발주분양산</t>
    <phoneticPr fontId="2" type="noConversion"/>
  </si>
  <si>
    <t>11</t>
    <phoneticPr fontId="2" type="noConversion"/>
  </si>
  <si>
    <t>8</t>
    <phoneticPr fontId="2" type="noConversion"/>
  </si>
  <si>
    <t>당일 진행 사항(14일)</t>
    <phoneticPr fontId="2" type="noConversion"/>
  </si>
  <si>
    <t>시스템</t>
    <phoneticPr fontId="2" type="noConversion"/>
  </si>
  <si>
    <t>13</t>
    <phoneticPr fontId="2" type="noConversion"/>
  </si>
  <si>
    <t>COVER</t>
    <phoneticPr fontId="2" type="noConversion"/>
  </si>
  <si>
    <t>AMS SIDE COVER A,B</t>
    <phoneticPr fontId="2" type="noConversion"/>
  </si>
  <si>
    <t>발주분양산</t>
    <phoneticPr fontId="2" type="noConversion"/>
  </si>
  <si>
    <t>SST</t>
    <phoneticPr fontId="2" type="noConversion"/>
  </si>
  <si>
    <t>LEAD GUIDE</t>
    <phoneticPr fontId="2" type="noConversion"/>
  </si>
  <si>
    <t>KR6197-F841UA</t>
    <phoneticPr fontId="2" type="noConversion"/>
  </si>
  <si>
    <t>재고분양산</t>
    <phoneticPr fontId="2" type="noConversion"/>
  </si>
  <si>
    <t>SAMPLE 진행 사항(13일)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</si>
  <si>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</si>
  <si>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</si>
  <si>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2017년 09월 14일 일일생산현황</t>
    </r>
    <r>
      <rPr>
        <b/>
        <sz val="14"/>
        <color indexed="8"/>
        <rFont val="굴림체"/>
        <family val="3"/>
        <charset val="129"/>
      </rPr>
      <t>(15일(금) 09시 현재)</t>
    </r>
    <phoneticPr fontId="2" type="noConversion"/>
  </si>
  <si>
    <t>발주</t>
    <phoneticPr fontId="2" type="noConversion"/>
  </si>
  <si>
    <t>KR6197AC841TA</t>
    <phoneticPr fontId="2" type="noConversion"/>
  </si>
  <si>
    <t>SLIDER</t>
    <phoneticPr fontId="2" type="noConversion"/>
  </si>
  <si>
    <t>KR6197-A221YA</t>
    <phoneticPr fontId="2" type="noConversion"/>
  </si>
  <si>
    <t>SGF2050</t>
    <phoneticPr fontId="2" type="noConversion"/>
  </si>
  <si>
    <t>KR6197-F841UA</t>
    <phoneticPr fontId="2" type="noConversion"/>
  </si>
  <si>
    <t>시스템</t>
    <phoneticPr fontId="2" type="noConversion"/>
  </si>
  <si>
    <t>COVER A,B</t>
    <phoneticPr fontId="2" type="noConversion"/>
  </si>
  <si>
    <t>H-0016/17</t>
    <phoneticPr fontId="2" type="noConversion"/>
  </si>
  <si>
    <t>PC/ABS 15%</t>
    <phoneticPr fontId="2" type="noConversion"/>
  </si>
  <si>
    <t>2*1</t>
    <phoneticPr fontId="2" type="noConversion"/>
  </si>
  <si>
    <t>전일 ISSUE 사항(14일)</t>
    <phoneticPr fontId="2" type="noConversion"/>
  </si>
  <si>
    <t>미성형정지</t>
    <phoneticPr fontId="2" type="noConversion"/>
  </si>
  <si>
    <t>SST</t>
    <phoneticPr fontId="2" type="noConversion"/>
  </si>
  <si>
    <t>11</t>
    <phoneticPr fontId="2" type="noConversion"/>
  </si>
  <si>
    <t>LEAD GUIDE</t>
    <phoneticPr fontId="2" type="noConversion"/>
  </si>
  <si>
    <t>4</t>
    <phoneticPr fontId="2" type="noConversion"/>
  </si>
  <si>
    <t>SLIDER</t>
    <phoneticPr fontId="2" type="noConversion"/>
  </si>
  <si>
    <t>KR6197-A221YA</t>
    <phoneticPr fontId="2" type="noConversion"/>
  </si>
  <si>
    <t>SST</t>
    <phoneticPr fontId="2" type="noConversion"/>
  </si>
  <si>
    <t>2</t>
    <phoneticPr fontId="2" type="noConversion"/>
  </si>
  <si>
    <t>COVER</t>
    <phoneticPr fontId="2" type="noConversion"/>
  </si>
  <si>
    <t>STOPPER</t>
    <phoneticPr fontId="2" type="noConversion"/>
  </si>
  <si>
    <t>KR6197-D841PB</t>
    <phoneticPr fontId="2" type="noConversion"/>
  </si>
  <si>
    <t>코아파손정지</t>
    <phoneticPr fontId="2" type="noConversion"/>
  </si>
  <si>
    <t>당일 진행 사항(15일)</t>
    <phoneticPr fontId="2" type="noConversion"/>
  </si>
  <si>
    <t>13</t>
    <phoneticPr fontId="2" type="noConversion"/>
  </si>
  <si>
    <t>SIDE COVER A,B</t>
    <phoneticPr fontId="2" type="noConversion"/>
  </si>
  <si>
    <t>AMS HOLDER</t>
    <phoneticPr fontId="2" type="noConversion"/>
  </si>
  <si>
    <t>STOPPER</t>
    <phoneticPr fontId="2" type="noConversion"/>
  </si>
  <si>
    <t>KR6197-D841PB</t>
    <phoneticPr fontId="2" type="noConversion"/>
  </si>
  <si>
    <t>발주분양산</t>
    <phoneticPr fontId="2" type="noConversion"/>
  </si>
  <si>
    <t>MCS</t>
    <phoneticPr fontId="2" type="noConversion"/>
  </si>
  <si>
    <t>7</t>
    <phoneticPr fontId="2" type="noConversion"/>
  </si>
  <si>
    <t>BODY</t>
    <phoneticPr fontId="2" type="noConversion"/>
  </si>
  <si>
    <t>AMB0114E-JAA-R2</t>
    <phoneticPr fontId="2" type="noConversion"/>
  </si>
  <si>
    <t>세척후양산</t>
    <phoneticPr fontId="2" type="noConversion"/>
  </si>
  <si>
    <t>MCS</t>
    <phoneticPr fontId="2" type="noConversion"/>
  </si>
  <si>
    <t>ACTUATOR</t>
    <phoneticPr fontId="2" type="noConversion"/>
  </si>
  <si>
    <t>AMB1901D-JAA-R2</t>
    <phoneticPr fontId="2" type="noConversion"/>
  </si>
  <si>
    <t>SAMPLE 진행 사항(14일)</t>
    <phoneticPr fontId="2" type="noConversion"/>
  </si>
  <si>
    <t>BASE</t>
    <phoneticPr fontId="2" type="noConversion"/>
  </si>
  <si>
    <t>AMB0104A-KAA-R4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</si>
  <si>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</si>
  <si>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</si>
  <si>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t>STOPPER</t>
    <phoneticPr fontId="2" type="noConversion"/>
  </si>
  <si>
    <t>KR6197-D475PA</t>
    <phoneticPr fontId="2" type="noConversion"/>
  </si>
  <si>
    <t>SF2255</t>
    <phoneticPr fontId="2" type="noConversion"/>
  </si>
  <si>
    <t>HOLDER</t>
    <phoneticPr fontId="2" type="noConversion"/>
  </si>
  <si>
    <t>H-0018</t>
    <phoneticPr fontId="2" type="noConversion"/>
  </si>
  <si>
    <t>ABS</t>
    <phoneticPr fontId="2" type="noConversion"/>
  </si>
  <si>
    <t>MCS</t>
    <phoneticPr fontId="2" type="noConversion"/>
  </si>
  <si>
    <t>ACTUATOR</t>
    <phoneticPr fontId="2" type="noConversion"/>
  </si>
  <si>
    <t>AMB1901D-JAA-R2</t>
    <phoneticPr fontId="2" type="noConversion"/>
  </si>
  <si>
    <t>SGF2030</t>
    <phoneticPr fontId="2" type="noConversion"/>
  </si>
  <si>
    <r>
      <t>2017년 09월 15일 일일생산현황</t>
    </r>
    <r>
      <rPr>
        <b/>
        <sz val="14"/>
        <color indexed="8"/>
        <rFont val="굴림체"/>
        <family val="3"/>
        <charset val="129"/>
      </rPr>
      <t>(16일(토) 09시 현재)</t>
    </r>
    <phoneticPr fontId="2" type="noConversion"/>
  </si>
  <si>
    <t>전일 ISSUE 사항(15일)</t>
    <phoneticPr fontId="2" type="noConversion"/>
  </si>
  <si>
    <t>세척후양산</t>
    <phoneticPr fontId="2" type="noConversion"/>
  </si>
  <si>
    <t>수리후양산-&gt;코아파손정지</t>
    <phoneticPr fontId="2" type="noConversion"/>
  </si>
  <si>
    <t>HOLDER</t>
    <phoneticPr fontId="2" type="noConversion"/>
  </si>
  <si>
    <t>H-0018</t>
    <phoneticPr fontId="2" type="noConversion"/>
  </si>
  <si>
    <t>13</t>
    <phoneticPr fontId="2" type="noConversion"/>
  </si>
  <si>
    <t>ACTUATOR</t>
    <phoneticPr fontId="2" type="noConversion"/>
  </si>
  <si>
    <t>AMB1901D-JAA-R2</t>
    <phoneticPr fontId="2" type="noConversion"/>
  </si>
  <si>
    <t>당일 진행 사항(16일)</t>
    <phoneticPr fontId="2" type="noConversion"/>
  </si>
  <si>
    <t>수리후양산</t>
    <phoneticPr fontId="2" type="noConversion"/>
  </si>
  <si>
    <t>14</t>
    <phoneticPr fontId="2" type="noConversion"/>
  </si>
  <si>
    <t>BASE</t>
    <phoneticPr fontId="2" type="noConversion"/>
  </si>
  <si>
    <t>KR6197AB841CA</t>
    <phoneticPr fontId="2" type="noConversion"/>
  </si>
  <si>
    <t>세척후양산</t>
    <phoneticPr fontId="2" type="noConversion"/>
  </si>
  <si>
    <t>MCS</t>
    <phoneticPr fontId="2" type="noConversion"/>
  </si>
  <si>
    <t>8</t>
    <phoneticPr fontId="2" type="noConversion"/>
  </si>
  <si>
    <t>9</t>
    <phoneticPr fontId="2" type="noConversion"/>
  </si>
  <si>
    <t>AMM0840A-KAA-R2</t>
    <phoneticPr fontId="2" type="noConversion"/>
  </si>
  <si>
    <t>발주분양산</t>
    <phoneticPr fontId="2" type="noConversion"/>
  </si>
  <si>
    <t>SAMPLE 진행 사항(15일)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</si>
  <si>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</si>
  <si>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</si>
  <si>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2017년 09월 16일 일일생산현황</t>
    </r>
    <r>
      <rPr>
        <b/>
        <sz val="14"/>
        <color indexed="8"/>
        <rFont val="굴림체"/>
        <family val="3"/>
        <charset val="129"/>
      </rPr>
      <t>(17일(일) 09시 현재)</t>
    </r>
    <phoneticPr fontId="2" type="noConversion"/>
  </si>
  <si>
    <t>AMM0840A-KAA-R2</t>
    <phoneticPr fontId="2" type="noConversion"/>
  </si>
  <si>
    <t>PA9T</t>
    <phoneticPr fontId="2" type="noConversion"/>
  </si>
  <si>
    <t>28P(4P)</t>
    <phoneticPr fontId="2" type="noConversion"/>
  </si>
  <si>
    <t>전일 ISSUE 사항(16일)</t>
    <phoneticPr fontId="2" type="noConversion"/>
  </si>
  <si>
    <t>수리후양산</t>
    <phoneticPr fontId="2" type="noConversion"/>
  </si>
  <si>
    <t>치수이상정지</t>
    <phoneticPr fontId="2" type="noConversion"/>
  </si>
  <si>
    <t>14</t>
    <phoneticPr fontId="2" type="noConversion"/>
  </si>
  <si>
    <t>BASE</t>
    <phoneticPr fontId="2" type="noConversion"/>
  </si>
  <si>
    <t>KR6197AB841CA</t>
    <phoneticPr fontId="2" type="noConversion"/>
  </si>
  <si>
    <t>세척후양산-&gt;코아파손수리후양산</t>
    <phoneticPr fontId="2" type="noConversion"/>
  </si>
  <si>
    <t>발주분양산</t>
    <phoneticPr fontId="2" type="noConversion"/>
  </si>
  <si>
    <t>AMM0853A-KAA-R1</t>
    <phoneticPr fontId="2" type="noConversion"/>
  </si>
  <si>
    <t>DI</t>
    <phoneticPr fontId="2" type="noConversion"/>
  </si>
  <si>
    <t>15</t>
    <phoneticPr fontId="2" type="noConversion"/>
  </si>
  <si>
    <t>28P</t>
    <phoneticPr fontId="2" type="noConversion"/>
  </si>
  <si>
    <t>발주분양산</t>
    <phoneticPr fontId="2" type="noConversion"/>
  </si>
  <si>
    <t>당일 진행 사항(18일)</t>
    <phoneticPr fontId="2" type="noConversion"/>
  </si>
  <si>
    <t>SLIDER</t>
    <phoneticPr fontId="2" type="noConversion"/>
  </si>
  <si>
    <t>KR6197-A221YA</t>
    <phoneticPr fontId="2" type="noConversion"/>
  </si>
  <si>
    <t>세척후양산</t>
    <phoneticPr fontId="2" type="noConversion"/>
  </si>
  <si>
    <t>SHAFT</t>
    <phoneticPr fontId="2" type="noConversion"/>
  </si>
  <si>
    <t>KR6197-06KA</t>
    <phoneticPr fontId="2" type="noConversion"/>
  </si>
  <si>
    <t>MCS</t>
    <phoneticPr fontId="2" type="noConversion"/>
  </si>
  <si>
    <t>13</t>
    <phoneticPr fontId="2" type="noConversion"/>
  </si>
  <si>
    <t>ACTUATOR</t>
    <phoneticPr fontId="2" type="noConversion"/>
  </si>
  <si>
    <t>AMB1901D-JAA-R2</t>
    <phoneticPr fontId="2" type="noConversion"/>
  </si>
  <si>
    <t>치수확인후양산</t>
    <phoneticPr fontId="2" type="noConversion"/>
  </si>
  <si>
    <t>SAMPLE 진행 사항(16일)</t>
    <phoneticPr fontId="2" type="noConversion"/>
  </si>
  <si>
    <t>수정</t>
    <phoneticPr fontId="2" type="noConversion"/>
  </si>
  <si>
    <t>금형 수리 내역(16일)</t>
    <phoneticPr fontId="2" type="noConversion"/>
  </si>
  <si>
    <t>설비 점검 내역(16일)</t>
    <phoneticPr fontId="2" type="noConversion"/>
  </si>
  <si>
    <r>
      <t>2017년 09월 18일 일일생산현황</t>
    </r>
    <r>
      <rPr>
        <b/>
        <sz val="14"/>
        <color indexed="8"/>
        <rFont val="굴림체"/>
        <family val="3"/>
        <charset val="129"/>
      </rPr>
      <t>(19일(화) 09시 현재)</t>
    </r>
    <phoneticPr fontId="2" type="noConversion"/>
  </si>
  <si>
    <t>BASE</t>
    <phoneticPr fontId="2" type="noConversion"/>
  </si>
  <si>
    <t>AMM0853A-KAA-R1</t>
    <phoneticPr fontId="2" type="noConversion"/>
  </si>
  <si>
    <t>PA9T</t>
    <phoneticPr fontId="2" type="noConversion"/>
  </si>
  <si>
    <t>AMM0821A-KAA-R3</t>
    <phoneticPr fontId="2" type="noConversion"/>
  </si>
  <si>
    <t>7301</t>
    <phoneticPr fontId="2" type="noConversion"/>
  </si>
  <si>
    <t>BODY</t>
    <phoneticPr fontId="2" type="noConversion"/>
  </si>
  <si>
    <t>AM0148A-K-R3</t>
    <phoneticPr fontId="2" type="noConversion"/>
  </si>
  <si>
    <t>전일 ISSUE 사항(18일)</t>
    <phoneticPr fontId="2" type="noConversion"/>
  </si>
  <si>
    <t>SLIDER</t>
    <phoneticPr fontId="2" type="noConversion"/>
  </si>
  <si>
    <t>KR6197-A221YA</t>
    <phoneticPr fontId="2" type="noConversion"/>
  </si>
  <si>
    <t>세척후양산</t>
    <phoneticPr fontId="2" type="noConversion"/>
  </si>
  <si>
    <t>치수확인후양산</t>
    <phoneticPr fontId="2" type="noConversion"/>
  </si>
  <si>
    <t>MCS</t>
    <phoneticPr fontId="2" type="noConversion"/>
  </si>
  <si>
    <t>발주분양산-&gt;코아파손,BURR정지</t>
    <phoneticPr fontId="2" type="noConversion"/>
  </si>
  <si>
    <t>SHAFT</t>
    <phoneticPr fontId="2" type="noConversion"/>
  </si>
  <si>
    <t>KR6197-06KA</t>
    <phoneticPr fontId="2" type="noConversion"/>
  </si>
  <si>
    <t>11</t>
    <phoneticPr fontId="2" type="noConversion"/>
  </si>
  <si>
    <t>LEAD GUIDE</t>
    <phoneticPr fontId="2" type="noConversion"/>
  </si>
  <si>
    <t>KR6197-F841UA</t>
    <phoneticPr fontId="2" type="noConversion"/>
  </si>
  <si>
    <t>당일 진행 사항(19일)</t>
    <phoneticPr fontId="2" type="noConversion"/>
  </si>
  <si>
    <t>STOPPER</t>
    <phoneticPr fontId="2" type="noConversion"/>
  </si>
  <si>
    <t>KR6197-D841PB</t>
    <phoneticPr fontId="2" type="noConversion"/>
  </si>
  <si>
    <t>BASE</t>
    <phoneticPr fontId="2" type="noConversion"/>
  </si>
  <si>
    <t>AMM0821A-KAA-R3</t>
    <phoneticPr fontId="2" type="noConversion"/>
  </si>
  <si>
    <t>수리후양산</t>
    <phoneticPr fontId="2" type="noConversion"/>
  </si>
  <si>
    <t>HICON</t>
    <phoneticPr fontId="2" type="noConversion"/>
  </si>
  <si>
    <t>6</t>
    <phoneticPr fontId="2" type="noConversion"/>
  </si>
  <si>
    <t>COVER</t>
    <phoneticPr fontId="2" type="noConversion"/>
  </si>
  <si>
    <t>HSB75-M01A3</t>
    <phoneticPr fontId="2" type="noConversion"/>
  </si>
  <si>
    <t>발주분양산</t>
    <phoneticPr fontId="2" type="noConversion"/>
  </si>
  <si>
    <t>SAMPLE 진행 사항(18일)</t>
    <phoneticPr fontId="2" type="noConversion"/>
  </si>
  <si>
    <t>FLOATING</t>
    <phoneticPr fontId="2" type="noConversion"/>
  </si>
  <si>
    <t>HRCS-00C13</t>
    <phoneticPr fontId="2" type="noConversion"/>
  </si>
  <si>
    <t>원재료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</si>
  <si>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</si>
  <si>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</si>
  <si>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2017년 09월 19일 일일생산현황</t>
    </r>
    <r>
      <rPr>
        <b/>
        <sz val="14"/>
        <color indexed="8"/>
        <rFont val="굴림체"/>
        <family val="3"/>
        <charset val="129"/>
      </rPr>
      <t>(20일(수) 09시 현재)</t>
    </r>
    <phoneticPr fontId="2" type="noConversion"/>
  </si>
  <si>
    <t>HICON</t>
    <phoneticPr fontId="2" type="noConversion"/>
  </si>
  <si>
    <t>COVER</t>
    <phoneticPr fontId="2" type="noConversion"/>
  </si>
  <si>
    <t>HSB75-M01A3</t>
    <phoneticPr fontId="2" type="noConversion"/>
  </si>
  <si>
    <t>RTP</t>
    <phoneticPr fontId="2" type="noConversion"/>
  </si>
  <si>
    <t>전일 ISSUE 사항(19일)</t>
    <phoneticPr fontId="2" type="noConversion"/>
  </si>
  <si>
    <t>3</t>
    <phoneticPr fontId="2" type="noConversion"/>
  </si>
  <si>
    <t>STOPPER</t>
    <phoneticPr fontId="2" type="noConversion"/>
  </si>
  <si>
    <t>KR6197-D841PB</t>
    <phoneticPr fontId="2" type="noConversion"/>
  </si>
  <si>
    <t>코아파손수리-&gt;코아파손정지</t>
    <phoneticPr fontId="2" type="noConversion"/>
  </si>
  <si>
    <t>코아파손-&gt;셈플만진행</t>
    <phoneticPr fontId="2" type="noConversion"/>
  </si>
  <si>
    <t>MCS</t>
    <phoneticPr fontId="2" type="noConversion"/>
  </si>
  <si>
    <t>7</t>
    <phoneticPr fontId="2" type="noConversion"/>
  </si>
  <si>
    <t>BODY</t>
    <phoneticPr fontId="2" type="noConversion"/>
  </si>
  <si>
    <t>AMB0114E-JAA-R2</t>
    <phoneticPr fontId="2" type="noConversion"/>
  </si>
  <si>
    <t>세척후양산</t>
    <phoneticPr fontId="2" type="noConversion"/>
  </si>
  <si>
    <t>당일 진행 사항(20일)</t>
    <phoneticPr fontId="2" type="noConversion"/>
  </si>
  <si>
    <t>수리후양산</t>
    <phoneticPr fontId="2" type="noConversion"/>
  </si>
  <si>
    <t>HSB75-M01A3</t>
    <phoneticPr fontId="2" type="noConversion"/>
  </si>
  <si>
    <t>6</t>
    <phoneticPr fontId="2" type="noConversion"/>
  </si>
  <si>
    <t>COVER</t>
    <phoneticPr fontId="2" type="noConversion"/>
  </si>
  <si>
    <t>발주분양산</t>
    <phoneticPr fontId="2" type="noConversion"/>
  </si>
  <si>
    <t>KR6197AB841CA</t>
    <phoneticPr fontId="2" type="noConversion"/>
  </si>
  <si>
    <t>SST</t>
    <phoneticPr fontId="2" type="noConversion"/>
  </si>
  <si>
    <t>14</t>
    <phoneticPr fontId="2" type="noConversion"/>
  </si>
  <si>
    <t>세척후양산</t>
    <phoneticPr fontId="2" type="noConversion"/>
  </si>
  <si>
    <t>LEVER-1</t>
    <phoneticPr fontId="2" type="noConversion"/>
  </si>
  <si>
    <t>메카텍</t>
    <phoneticPr fontId="2" type="noConversion"/>
  </si>
  <si>
    <t>5</t>
    <phoneticPr fontId="2" type="noConversion"/>
  </si>
  <si>
    <t>LEVER</t>
    <phoneticPr fontId="2" type="noConversion"/>
  </si>
  <si>
    <t>SAMPLE 진행 사항(19일)</t>
    <phoneticPr fontId="2" type="noConversion"/>
  </si>
  <si>
    <t>BASE</t>
    <phoneticPr fontId="2" type="noConversion"/>
  </si>
  <si>
    <t>AMM0821A-KAA-R3</t>
    <phoneticPr fontId="2" type="noConversion"/>
  </si>
  <si>
    <t>요청</t>
    <phoneticPr fontId="2" type="noConversion"/>
  </si>
  <si>
    <t>코아파손확인 셈플</t>
    <phoneticPr fontId="2" type="noConversion"/>
  </si>
  <si>
    <t>HICON</t>
    <phoneticPr fontId="2" type="noConversion"/>
  </si>
  <si>
    <t>HL72 PUNGER</t>
    <phoneticPr fontId="2" type="noConversion"/>
  </si>
  <si>
    <t>HL072-10M5</t>
    <phoneticPr fontId="2" type="noConversion"/>
  </si>
  <si>
    <t>SGF2041</t>
    <phoneticPr fontId="2" type="noConversion"/>
  </si>
  <si>
    <t>신작</t>
    <phoneticPr fontId="2" type="noConversion"/>
  </si>
  <si>
    <t>HL72 BODY/LID</t>
    <phoneticPr fontId="2" type="noConversion"/>
  </si>
  <si>
    <t>HL072-10M3/4</t>
    <phoneticPr fontId="2" type="noConversion"/>
  </si>
  <si>
    <t>각 50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</si>
  <si>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</si>
  <si>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</si>
  <si>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2017년 09월 20일 일일생산현황</t>
    </r>
    <r>
      <rPr>
        <b/>
        <sz val="14"/>
        <color indexed="8"/>
        <rFont val="굴림체"/>
        <family val="3"/>
        <charset val="129"/>
      </rPr>
      <t>(21일(목) 09시 현재)</t>
    </r>
    <phoneticPr fontId="2" type="noConversion"/>
  </si>
  <si>
    <t>메카텍</t>
    <phoneticPr fontId="2" type="noConversion"/>
  </si>
  <si>
    <t>LEVER 1</t>
    <phoneticPr fontId="2" type="noConversion"/>
  </si>
  <si>
    <t>BODY/LID</t>
    <phoneticPr fontId="2" type="noConversion"/>
  </si>
  <si>
    <t>SGF2041</t>
    <phoneticPr fontId="2" type="noConversion"/>
  </si>
  <si>
    <t>2*1</t>
    <phoneticPr fontId="2" type="noConversion"/>
  </si>
  <si>
    <t>COVER</t>
    <phoneticPr fontId="2" type="noConversion"/>
  </si>
  <si>
    <t>AM0340A-K</t>
    <phoneticPr fontId="2" type="noConversion"/>
  </si>
  <si>
    <t>JD4901</t>
    <phoneticPr fontId="2" type="noConversion"/>
  </si>
  <si>
    <t>전일 ISSUE 사항(20일)</t>
    <phoneticPr fontId="2" type="noConversion"/>
  </si>
  <si>
    <t>밀핀파손정지-&gt;게이트파손정지</t>
    <phoneticPr fontId="2" type="noConversion"/>
  </si>
  <si>
    <t>MCS</t>
    <phoneticPr fontId="2" type="noConversion"/>
  </si>
  <si>
    <t>8</t>
    <phoneticPr fontId="2" type="noConversion"/>
  </si>
  <si>
    <t>발주분양산</t>
    <phoneticPr fontId="2" type="noConversion"/>
  </si>
  <si>
    <t>메카텍</t>
    <phoneticPr fontId="2" type="noConversion"/>
  </si>
  <si>
    <t>5</t>
    <phoneticPr fontId="2" type="noConversion"/>
  </si>
  <si>
    <t>LEVER 1</t>
    <phoneticPr fontId="2" type="noConversion"/>
  </si>
  <si>
    <t>LEVER 2</t>
    <phoneticPr fontId="2" type="noConversion"/>
  </si>
  <si>
    <t>HICON</t>
    <phoneticPr fontId="2" type="noConversion"/>
  </si>
  <si>
    <t>6</t>
    <phoneticPr fontId="2" type="noConversion"/>
  </si>
  <si>
    <t>BODY/LID</t>
    <phoneticPr fontId="2" type="noConversion"/>
  </si>
  <si>
    <t>HL072-10M3/4</t>
    <phoneticPr fontId="2" type="noConversion"/>
  </si>
  <si>
    <t>발주분양산-&gt;코아파손정지</t>
    <phoneticPr fontId="2" type="noConversion"/>
  </si>
  <si>
    <t>당일 진행 사항(21일)</t>
    <phoneticPr fontId="2" type="noConversion"/>
  </si>
  <si>
    <t>SST</t>
    <phoneticPr fontId="2" type="noConversion"/>
  </si>
  <si>
    <t>4</t>
    <phoneticPr fontId="2" type="noConversion"/>
  </si>
  <si>
    <t>SLIDER</t>
    <phoneticPr fontId="2" type="noConversion"/>
  </si>
  <si>
    <t>KR6197-A221YA</t>
    <phoneticPr fontId="2" type="noConversion"/>
  </si>
  <si>
    <t>세척후양산</t>
    <phoneticPr fontId="2" type="noConversion"/>
  </si>
  <si>
    <t>수리후양산</t>
    <phoneticPr fontId="2" type="noConversion"/>
  </si>
  <si>
    <t>MCS</t>
    <phoneticPr fontId="2" type="noConversion"/>
  </si>
  <si>
    <t>7</t>
    <phoneticPr fontId="2" type="noConversion"/>
  </si>
  <si>
    <t>BODY</t>
    <phoneticPr fontId="2" type="noConversion"/>
  </si>
  <si>
    <t>AMB0114E-JAA-R2</t>
    <phoneticPr fontId="2" type="noConversion"/>
  </si>
  <si>
    <t>13</t>
    <phoneticPr fontId="2" type="noConversion"/>
  </si>
  <si>
    <t>ACTUATOR</t>
    <phoneticPr fontId="2" type="noConversion"/>
  </si>
  <si>
    <t>AMB1901D-JAA-R2</t>
    <phoneticPr fontId="2" type="noConversion"/>
  </si>
  <si>
    <t>세척후양산</t>
    <phoneticPr fontId="2" type="noConversion"/>
  </si>
  <si>
    <t>SAMPLE 진행 사항(20일)</t>
    <phoneticPr fontId="2" type="noConversion"/>
  </si>
  <si>
    <t>HL72 BASE/LID</t>
    <phoneticPr fontId="2" type="noConversion"/>
  </si>
  <si>
    <t>HL072-10M1/2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</si>
  <si>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</si>
  <si>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</si>
  <si>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2017년 09월 21일 일일생산현황</t>
    </r>
    <r>
      <rPr>
        <b/>
        <sz val="14"/>
        <color indexed="8"/>
        <rFont val="굴림체"/>
        <family val="3"/>
        <charset val="129"/>
      </rPr>
      <t>(22일(금) 09시 현재)</t>
    </r>
    <phoneticPr fontId="2" type="noConversion"/>
  </si>
  <si>
    <t>HICON</t>
    <phoneticPr fontId="2" type="noConversion"/>
  </si>
  <si>
    <t>BASE/BOTTOM</t>
    <phoneticPr fontId="2" type="noConversion"/>
  </si>
  <si>
    <t>HL072-10M1/2</t>
    <phoneticPr fontId="2" type="noConversion"/>
  </si>
  <si>
    <t>SGF2041</t>
    <phoneticPr fontId="2" type="noConversion"/>
  </si>
  <si>
    <t>SST</t>
    <phoneticPr fontId="2" type="noConversion"/>
  </si>
  <si>
    <t>4LEAD</t>
    <phoneticPr fontId="2" type="noConversion"/>
  </si>
  <si>
    <t>009-019-004</t>
    <phoneticPr fontId="2" type="noConversion"/>
  </si>
  <si>
    <t>PLUNGER</t>
    <phoneticPr fontId="2" type="noConversion"/>
  </si>
  <si>
    <t>HL072-10M5</t>
    <phoneticPr fontId="2" type="noConversion"/>
  </si>
  <si>
    <t>SGF2041</t>
    <phoneticPr fontId="2" type="noConversion"/>
  </si>
  <si>
    <t>2*1</t>
    <phoneticPr fontId="2" type="noConversion"/>
  </si>
  <si>
    <t>OKINS</t>
    <phoneticPr fontId="2" type="noConversion"/>
  </si>
  <si>
    <t>260BASE</t>
    <phoneticPr fontId="2" type="noConversion"/>
  </si>
  <si>
    <t>260D83M-B118A</t>
    <phoneticPr fontId="2" type="noConversion"/>
  </si>
  <si>
    <t>GN2330</t>
    <phoneticPr fontId="2" type="noConversion"/>
  </si>
  <si>
    <t>전일 ISSUE 사항(21일)</t>
    <phoneticPr fontId="2" type="noConversion"/>
  </si>
  <si>
    <t>HICON</t>
    <phoneticPr fontId="2" type="noConversion"/>
  </si>
  <si>
    <t>BASE/PLATE</t>
    <phoneticPr fontId="2" type="noConversion"/>
  </si>
  <si>
    <t>발주분양산</t>
    <phoneticPr fontId="2" type="noConversion"/>
  </si>
  <si>
    <t>KR6197-A221YA</t>
    <phoneticPr fontId="2" type="noConversion"/>
  </si>
  <si>
    <t>SST</t>
    <phoneticPr fontId="2" type="noConversion"/>
  </si>
  <si>
    <t>SLIDER</t>
    <phoneticPr fontId="2" type="noConversion"/>
  </si>
  <si>
    <t>세척후양산</t>
    <phoneticPr fontId="2" type="noConversion"/>
  </si>
  <si>
    <t>009-019-004</t>
    <phoneticPr fontId="2" type="noConversion"/>
  </si>
  <si>
    <t>5</t>
    <phoneticPr fontId="2" type="noConversion"/>
  </si>
  <si>
    <t>4LEAD</t>
    <phoneticPr fontId="2" type="noConversion"/>
  </si>
  <si>
    <t>HL072-10M3/4</t>
    <phoneticPr fontId="2" type="noConversion"/>
  </si>
  <si>
    <t>7</t>
    <phoneticPr fontId="2" type="noConversion"/>
  </si>
  <si>
    <t>BODY/LID</t>
    <phoneticPr fontId="2" type="noConversion"/>
  </si>
  <si>
    <t>수리후양산</t>
    <phoneticPr fontId="2" type="noConversion"/>
  </si>
  <si>
    <t>HL072-10M5</t>
    <phoneticPr fontId="2" type="noConversion"/>
  </si>
  <si>
    <t>PLUNGER</t>
    <phoneticPr fontId="2" type="noConversion"/>
  </si>
  <si>
    <t>발주분양산-&gt;게이트BURR정지</t>
    <phoneticPr fontId="2" type="noConversion"/>
  </si>
  <si>
    <t>260D83M-B118A</t>
    <phoneticPr fontId="2" type="noConversion"/>
  </si>
  <si>
    <t>BASE</t>
    <phoneticPr fontId="2" type="noConversion"/>
  </si>
  <si>
    <t>발주분양산-&gt;6호기이동-&gt;코아파손정지</t>
    <phoneticPr fontId="2" type="noConversion"/>
  </si>
  <si>
    <t>AM0149A-K</t>
    <phoneticPr fontId="2" type="noConversion"/>
  </si>
  <si>
    <t>MCS</t>
    <phoneticPr fontId="2" type="noConversion"/>
  </si>
  <si>
    <t>8</t>
    <phoneticPr fontId="2" type="noConversion"/>
  </si>
  <si>
    <t>BODY</t>
    <phoneticPr fontId="2" type="noConversion"/>
  </si>
  <si>
    <t>발주분양산-&gt;BURR정지</t>
    <phoneticPr fontId="2" type="noConversion"/>
  </si>
  <si>
    <t>AMB1901D-JAA-R2</t>
    <phoneticPr fontId="2" type="noConversion"/>
  </si>
  <si>
    <t>MCS</t>
    <phoneticPr fontId="2" type="noConversion"/>
  </si>
  <si>
    <t>13</t>
    <phoneticPr fontId="2" type="noConversion"/>
  </si>
  <si>
    <t>ACTUATOR</t>
    <phoneticPr fontId="2" type="noConversion"/>
  </si>
  <si>
    <t>세척후양산</t>
    <phoneticPr fontId="2" type="noConversion"/>
  </si>
  <si>
    <t>당일 진행 사항(22일)</t>
    <phoneticPr fontId="2" type="noConversion"/>
  </si>
  <si>
    <t>KR6156-D841PA</t>
    <phoneticPr fontId="2" type="noConversion"/>
  </si>
  <si>
    <t>AM0148B-K-R2</t>
    <phoneticPr fontId="2" type="noConversion"/>
  </si>
  <si>
    <t>11</t>
    <phoneticPr fontId="2" type="noConversion"/>
  </si>
  <si>
    <t>BODY</t>
    <phoneticPr fontId="2" type="noConversion"/>
  </si>
  <si>
    <t>수리후양산</t>
    <phoneticPr fontId="2" type="noConversion"/>
  </si>
  <si>
    <t>HRCS-00C13</t>
    <phoneticPr fontId="2" type="noConversion"/>
  </si>
  <si>
    <t>HICON</t>
    <phoneticPr fontId="2" type="noConversion"/>
  </si>
  <si>
    <t>12</t>
    <phoneticPr fontId="2" type="noConversion"/>
  </si>
  <si>
    <t>FLOAT</t>
    <phoneticPr fontId="2" type="noConversion"/>
  </si>
  <si>
    <t>SAMPLE 진행 사항(21일)</t>
    <phoneticPr fontId="2" type="noConversion"/>
  </si>
  <si>
    <t>케미텍</t>
    <phoneticPr fontId="2" type="noConversion"/>
  </si>
  <si>
    <t>Z280-ASSY</t>
    <phoneticPr fontId="2" type="noConversion"/>
  </si>
  <si>
    <t>Z280-F40</t>
    <phoneticPr fontId="2" type="noConversion"/>
  </si>
  <si>
    <t>E473i</t>
    <phoneticPr fontId="2" type="noConversion"/>
  </si>
  <si>
    <t>수정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</si>
  <si>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</si>
  <si>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</si>
  <si>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2017년 09월 22일 일일생산현황</t>
    </r>
    <r>
      <rPr>
        <b/>
        <sz val="14"/>
        <color indexed="8"/>
        <rFont val="굴림체"/>
        <family val="3"/>
        <charset val="129"/>
      </rPr>
      <t>(23일(토) 09시 현재)</t>
    </r>
    <phoneticPr fontId="2" type="noConversion"/>
  </si>
  <si>
    <t>SST</t>
    <phoneticPr fontId="2" type="noConversion"/>
  </si>
  <si>
    <t>STOPPER</t>
    <phoneticPr fontId="2" type="noConversion"/>
  </si>
  <si>
    <t>KR6156-D841PA</t>
    <phoneticPr fontId="2" type="noConversion"/>
  </si>
  <si>
    <t>SF2255</t>
    <phoneticPr fontId="2" type="noConversion"/>
  </si>
  <si>
    <t>BODY</t>
    <phoneticPr fontId="2" type="noConversion"/>
  </si>
  <si>
    <t>AM0149A-K</t>
    <phoneticPr fontId="2" type="noConversion"/>
  </si>
  <si>
    <t>AM0148B-K-R2</t>
    <phoneticPr fontId="2" type="noConversion"/>
  </si>
  <si>
    <t>전일 ISSUE 사항(22일)</t>
    <phoneticPr fontId="2" type="noConversion"/>
  </si>
  <si>
    <t>STOPPER</t>
    <phoneticPr fontId="2" type="noConversion"/>
  </si>
  <si>
    <t>KR6156-D841PA</t>
    <phoneticPr fontId="2" type="noConversion"/>
  </si>
  <si>
    <t>6</t>
    <phoneticPr fontId="2" type="noConversion"/>
  </si>
  <si>
    <t>수리후양산</t>
    <phoneticPr fontId="2" type="noConversion"/>
  </si>
  <si>
    <t>수리후양산</t>
    <phoneticPr fontId="2" type="noConversion"/>
  </si>
  <si>
    <t>수리후양산-&gt;게이트이상정지</t>
    <phoneticPr fontId="2" type="noConversion"/>
  </si>
  <si>
    <t>11</t>
    <phoneticPr fontId="2" type="noConversion"/>
  </si>
  <si>
    <t>AM0148B-K-R2</t>
    <phoneticPr fontId="2" type="noConversion"/>
  </si>
  <si>
    <t>7</t>
    <phoneticPr fontId="2" type="noConversion"/>
  </si>
  <si>
    <t>AMB0114E-JAA-R2</t>
    <phoneticPr fontId="2" type="noConversion"/>
  </si>
  <si>
    <t>수리후양산</t>
    <phoneticPr fontId="2" type="noConversion"/>
  </si>
  <si>
    <t>당일 진행 사항(23일)</t>
    <phoneticPr fontId="2" type="noConversion"/>
  </si>
  <si>
    <t>12</t>
    <phoneticPr fontId="2" type="noConversion"/>
  </si>
  <si>
    <t>FLOAT</t>
    <phoneticPr fontId="2" type="noConversion"/>
  </si>
  <si>
    <t>HRCS-00C13</t>
    <phoneticPr fontId="2" type="noConversion"/>
  </si>
  <si>
    <t>OKINS</t>
    <phoneticPr fontId="2" type="noConversion"/>
  </si>
  <si>
    <t>BASE/UNDER</t>
    <phoneticPr fontId="2" type="noConversion"/>
  </si>
  <si>
    <t>25SSD-127-T6-BB/UA</t>
    <phoneticPr fontId="2" type="noConversion"/>
  </si>
  <si>
    <t>발주분양산</t>
    <phoneticPr fontId="2" type="noConversion"/>
  </si>
  <si>
    <t>14</t>
    <phoneticPr fontId="2" type="noConversion"/>
  </si>
  <si>
    <t>BASE</t>
    <phoneticPr fontId="2" type="noConversion"/>
  </si>
  <si>
    <t>KR6197AB841CA</t>
    <phoneticPr fontId="2" type="noConversion"/>
  </si>
  <si>
    <t>코아파손정지</t>
    <phoneticPr fontId="2" type="noConversion"/>
  </si>
  <si>
    <t>SST</t>
    <phoneticPr fontId="2" type="noConversion"/>
  </si>
  <si>
    <t>14</t>
    <phoneticPr fontId="2" type="noConversion"/>
  </si>
  <si>
    <t>BASE</t>
    <phoneticPr fontId="2" type="noConversion"/>
  </si>
  <si>
    <t>KR6156DB841CA</t>
    <phoneticPr fontId="2" type="noConversion"/>
  </si>
  <si>
    <t>MCS</t>
    <phoneticPr fontId="2" type="noConversion"/>
  </si>
  <si>
    <t>8</t>
    <phoneticPr fontId="2" type="noConversion"/>
  </si>
  <si>
    <t>BODY</t>
    <phoneticPr fontId="2" type="noConversion"/>
  </si>
  <si>
    <t>AM0149A-K</t>
    <phoneticPr fontId="2" type="noConversion"/>
  </si>
  <si>
    <t>SAMPLE 진행 사항(22일)</t>
    <phoneticPr fontId="2" type="noConversion"/>
  </si>
  <si>
    <t>AM0148E-K-R2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</si>
  <si>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</si>
  <si>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</si>
  <si>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r>
      <t>2017년 09월 23일 일일생산현황</t>
    </r>
    <r>
      <rPr>
        <b/>
        <sz val="14"/>
        <color indexed="8"/>
        <rFont val="굴림체"/>
        <family val="3"/>
        <charset val="129"/>
      </rPr>
      <t>(24일(일) 09시 현재)</t>
    </r>
    <phoneticPr fontId="2" type="noConversion"/>
  </si>
  <si>
    <t>OKINS</t>
    <phoneticPr fontId="2" type="noConversion"/>
  </si>
  <si>
    <t>BASE/UNDER</t>
    <phoneticPr fontId="2" type="noConversion"/>
  </si>
  <si>
    <t>25SSD-127-T6-BB/UA</t>
    <phoneticPr fontId="2" type="noConversion"/>
  </si>
  <si>
    <t>2*1</t>
    <phoneticPr fontId="2" type="noConversion"/>
  </si>
  <si>
    <t>KR6156DB841CA</t>
    <phoneticPr fontId="2" type="noConversion"/>
  </si>
  <si>
    <t>전일 ISSUE 사항(23일)</t>
    <phoneticPr fontId="2" type="noConversion"/>
  </si>
  <si>
    <t>SST</t>
    <phoneticPr fontId="2" type="noConversion"/>
  </si>
  <si>
    <t>14</t>
    <phoneticPr fontId="2" type="noConversion"/>
  </si>
  <si>
    <t>BASE</t>
    <phoneticPr fontId="2" type="noConversion"/>
  </si>
  <si>
    <t>발주분양산</t>
    <phoneticPr fontId="2" type="noConversion"/>
  </si>
  <si>
    <t>BASE/UNDER</t>
    <phoneticPr fontId="2" type="noConversion"/>
  </si>
  <si>
    <t>MCS</t>
    <phoneticPr fontId="2" type="noConversion"/>
  </si>
  <si>
    <t>8</t>
    <phoneticPr fontId="2" type="noConversion"/>
  </si>
  <si>
    <t>수리후양산-&gt;하측박힘정지</t>
    <phoneticPr fontId="2" type="noConversion"/>
  </si>
  <si>
    <t>AMB0114E-JAA-R2</t>
    <phoneticPr fontId="2" type="noConversion"/>
  </si>
  <si>
    <t>치수수리후양산</t>
    <phoneticPr fontId="2" type="noConversion"/>
  </si>
  <si>
    <t>당일 진행 사항(24일)</t>
    <phoneticPr fontId="2" type="noConversion"/>
  </si>
  <si>
    <t>HICON</t>
    <phoneticPr fontId="2" type="noConversion"/>
  </si>
  <si>
    <t>TOP/BOTTOM</t>
    <phoneticPr fontId="2" type="noConversion"/>
  </si>
  <si>
    <t>NHS-152T11/NHS-152T12</t>
    <phoneticPr fontId="2" type="noConversion"/>
  </si>
  <si>
    <t>NHS-152T11/NHS-152T12</t>
    <phoneticPr fontId="2" type="noConversion"/>
  </si>
  <si>
    <t>HICON</t>
    <phoneticPr fontId="2" type="noConversion"/>
  </si>
  <si>
    <t>11</t>
    <phoneticPr fontId="2" type="noConversion"/>
  </si>
  <si>
    <t>HRCS-03C17/18</t>
    <phoneticPr fontId="2" type="noConversion"/>
  </si>
  <si>
    <t>PUSHER</t>
    <phoneticPr fontId="2" type="noConversion"/>
  </si>
  <si>
    <t>SAMPLE 진행 사항(23일)</t>
    <phoneticPr fontId="2" type="noConversion"/>
  </si>
  <si>
    <t>AMB0114E-JAA-R2</t>
    <phoneticPr fontId="2" type="noConversion"/>
  </si>
  <si>
    <t>SF2255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</si>
  <si>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</si>
  <si>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</si>
  <si>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2017년 09월 24일 일일생산현황</t>
    </r>
    <r>
      <rPr>
        <b/>
        <sz val="14"/>
        <color indexed="8"/>
        <rFont val="굴림체"/>
        <family val="3"/>
        <charset val="129"/>
      </rPr>
      <t>(25일(월) 09시 현재)</t>
    </r>
    <phoneticPr fontId="2" type="noConversion"/>
  </si>
  <si>
    <t>K-JR01920-C01AWA</t>
    <phoneticPr fontId="2" type="noConversion"/>
  </si>
  <si>
    <t>SGF2030</t>
    <phoneticPr fontId="2" type="noConversion"/>
  </si>
  <si>
    <t>KR6156FA841YA</t>
    <phoneticPr fontId="2" type="noConversion"/>
  </si>
  <si>
    <t>BODY/LID</t>
    <phoneticPr fontId="2" type="noConversion"/>
  </si>
  <si>
    <t>NHS-152T11/12</t>
    <phoneticPr fontId="2" type="noConversion"/>
  </si>
  <si>
    <t>SGF2050</t>
    <phoneticPr fontId="2" type="noConversion"/>
  </si>
  <si>
    <t>HRCS-03C17/18</t>
    <phoneticPr fontId="2" type="noConversion"/>
  </si>
  <si>
    <t>전일 ISSUE 사항(24일)</t>
    <phoneticPr fontId="2" type="noConversion"/>
  </si>
  <si>
    <t>HICON</t>
    <phoneticPr fontId="2" type="noConversion"/>
  </si>
  <si>
    <t>PLUNGER 2/PUSHER</t>
    <phoneticPr fontId="2" type="noConversion"/>
  </si>
  <si>
    <t>PLUNGER 2/PUSHER</t>
    <phoneticPr fontId="2" type="noConversion"/>
  </si>
  <si>
    <t>NHS-152T11/12</t>
    <phoneticPr fontId="2" type="noConversion"/>
  </si>
  <si>
    <t>SST</t>
    <phoneticPr fontId="2" type="noConversion"/>
  </si>
  <si>
    <t>4</t>
    <phoneticPr fontId="2" type="noConversion"/>
  </si>
  <si>
    <t>SLIDER</t>
    <phoneticPr fontId="2" type="noConversion"/>
  </si>
  <si>
    <t>KR6156FA841YA</t>
    <phoneticPr fontId="2" type="noConversion"/>
  </si>
  <si>
    <t>SST</t>
    <phoneticPr fontId="2" type="noConversion"/>
  </si>
  <si>
    <t>3</t>
    <phoneticPr fontId="2" type="noConversion"/>
  </si>
  <si>
    <t>STOPPER</t>
    <phoneticPr fontId="2" type="noConversion"/>
  </si>
  <si>
    <t>KR6156-D841PA</t>
    <phoneticPr fontId="2" type="noConversion"/>
  </si>
  <si>
    <t>BURR정지</t>
    <phoneticPr fontId="2" type="noConversion"/>
  </si>
  <si>
    <t>당일 진행 사항(25일)</t>
    <phoneticPr fontId="2" type="noConversion"/>
  </si>
  <si>
    <t>KR6156FA841YA</t>
    <phoneticPr fontId="2" type="noConversion"/>
  </si>
  <si>
    <t>BURR수리후양산</t>
    <phoneticPr fontId="2" type="noConversion"/>
  </si>
  <si>
    <t>5</t>
    <phoneticPr fontId="2" type="noConversion"/>
  </si>
  <si>
    <t>4LEAD</t>
    <phoneticPr fontId="2" type="noConversion"/>
  </si>
  <si>
    <t>009-019-004</t>
    <phoneticPr fontId="2" type="noConversion"/>
  </si>
  <si>
    <t>HRCS-00C11A/B</t>
    <phoneticPr fontId="2" type="noConversion"/>
  </si>
  <si>
    <t>HICON</t>
    <phoneticPr fontId="2" type="noConversion"/>
  </si>
  <si>
    <t>11</t>
    <phoneticPr fontId="2" type="noConversion"/>
  </si>
  <si>
    <t>TOP/BOTTOM</t>
    <phoneticPr fontId="2" type="noConversion"/>
  </si>
  <si>
    <t>발주분양산</t>
    <phoneticPr fontId="2" type="noConversion"/>
  </si>
  <si>
    <t>13</t>
    <phoneticPr fontId="2" type="noConversion"/>
  </si>
  <si>
    <t>LEAD GUIDE</t>
    <phoneticPr fontId="2" type="noConversion"/>
  </si>
  <si>
    <t>K-JR01920-F414AWA</t>
    <phoneticPr fontId="2" type="noConversion"/>
  </si>
  <si>
    <t>SAMPLE 진행 사항(24일)</t>
    <phoneticPr fontId="2" type="noConversion"/>
  </si>
  <si>
    <t>금형 수리 내역(24일)</t>
    <phoneticPr fontId="2" type="noConversion"/>
  </si>
  <si>
    <t>4LEAD</t>
    <phoneticPr fontId="2" type="noConversion"/>
  </si>
  <si>
    <t>009-019-004</t>
    <phoneticPr fontId="2" type="noConversion"/>
  </si>
  <si>
    <t>009-019-004</t>
    <phoneticPr fontId="2" type="noConversion"/>
  </si>
  <si>
    <t>설비 점검 내역(24일)</t>
    <phoneticPr fontId="2" type="noConversion"/>
  </si>
  <si>
    <r>
      <t>2017년 09월 25일 일일생산현황</t>
    </r>
    <r>
      <rPr>
        <b/>
        <sz val="14"/>
        <color indexed="8"/>
        <rFont val="굴림체"/>
        <family val="3"/>
        <charset val="129"/>
      </rPr>
      <t>(26일(화) 09시 현재)</t>
    </r>
    <phoneticPr fontId="2" type="noConversion"/>
  </si>
  <si>
    <t>BASE</t>
    <phoneticPr fontId="2" type="noConversion"/>
  </si>
  <si>
    <t>HSB75-M01A1</t>
    <phoneticPr fontId="2" type="noConversion"/>
  </si>
  <si>
    <t>HRCS-00C11A/12A</t>
    <phoneticPr fontId="2" type="noConversion"/>
  </si>
  <si>
    <t>SLIDER</t>
    <phoneticPr fontId="2" type="noConversion"/>
  </si>
  <si>
    <t>HSB75-M01A2</t>
    <phoneticPr fontId="2" type="noConversion"/>
  </si>
  <si>
    <t>SGF2030 N/P</t>
    <phoneticPr fontId="2" type="noConversion"/>
  </si>
  <si>
    <t>LEAD GUIDE</t>
    <phoneticPr fontId="2" type="noConversion"/>
  </si>
  <si>
    <t>K-JR01920-F414AWA</t>
    <phoneticPr fontId="2" type="noConversion"/>
  </si>
  <si>
    <t>전일 ISSUE 사항(25일)</t>
    <phoneticPr fontId="2" type="noConversion"/>
  </si>
  <si>
    <t>TOP/BOTTOM</t>
    <phoneticPr fontId="2" type="noConversion"/>
  </si>
  <si>
    <t>BURR수리후양산</t>
    <phoneticPr fontId="2" type="noConversion"/>
  </si>
  <si>
    <t>MCS</t>
    <phoneticPr fontId="2" type="noConversion"/>
  </si>
  <si>
    <t>8</t>
    <phoneticPr fontId="2" type="noConversion"/>
  </si>
  <si>
    <t>BODY</t>
    <phoneticPr fontId="2" type="noConversion"/>
  </si>
  <si>
    <t>AM0149A-K</t>
    <phoneticPr fontId="2" type="noConversion"/>
  </si>
  <si>
    <t>수리후양산</t>
    <phoneticPr fontId="2" type="noConversion"/>
  </si>
  <si>
    <t>13</t>
    <phoneticPr fontId="2" type="noConversion"/>
  </si>
  <si>
    <t>당일 진행 사항(26일)</t>
    <phoneticPr fontId="2" type="noConversion"/>
  </si>
  <si>
    <t>STOPPER</t>
    <phoneticPr fontId="2" type="noConversion"/>
  </si>
  <si>
    <t>KR6156-D841PA</t>
    <phoneticPr fontId="2" type="noConversion"/>
  </si>
  <si>
    <t>HRCS-00C11B/12B</t>
    <phoneticPr fontId="2" type="noConversion"/>
  </si>
  <si>
    <t>SAMPLE 진행 사항(25일)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</si>
  <si>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</si>
  <si>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</si>
  <si>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2017년 09월 26일 일일생산현황</t>
    </r>
    <r>
      <rPr>
        <b/>
        <sz val="14"/>
        <color indexed="8"/>
        <rFont val="굴림체"/>
        <family val="3"/>
        <charset val="129"/>
      </rPr>
      <t>(27일(수) 09시 현재)</t>
    </r>
    <phoneticPr fontId="2" type="noConversion"/>
  </si>
  <si>
    <t>HRCS-00C11B/12B</t>
    <phoneticPr fontId="2" type="noConversion"/>
  </si>
  <si>
    <t>2*1</t>
    <phoneticPr fontId="2" type="noConversion"/>
  </si>
  <si>
    <t>STOPPER</t>
    <phoneticPr fontId="2" type="noConversion"/>
  </si>
  <si>
    <t>KR6156-D841PA</t>
    <phoneticPr fontId="2" type="noConversion"/>
  </si>
  <si>
    <t>SF2255</t>
    <phoneticPr fontId="2" type="noConversion"/>
  </si>
  <si>
    <t>BASE/LID</t>
    <phoneticPr fontId="2" type="noConversion"/>
  </si>
  <si>
    <t>HRCS-00C114/15</t>
    <phoneticPr fontId="2" type="noConversion"/>
  </si>
  <si>
    <t>전일 ISSUE 사항(26일)</t>
    <phoneticPr fontId="2" type="noConversion"/>
  </si>
  <si>
    <t>HRCS-00C14/15</t>
    <phoneticPr fontId="2" type="noConversion"/>
  </si>
  <si>
    <t>10</t>
    <phoneticPr fontId="2" type="noConversion"/>
  </si>
  <si>
    <t>SLIDER</t>
    <phoneticPr fontId="2" type="noConversion"/>
  </si>
  <si>
    <t>HSB75-M01A2</t>
    <phoneticPr fontId="2" type="noConversion"/>
  </si>
  <si>
    <t>수정후양산</t>
    <phoneticPr fontId="2" type="noConversion"/>
  </si>
  <si>
    <t>HICON</t>
    <phoneticPr fontId="2" type="noConversion"/>
  </si>
  <si>
    <t>발주분양산</t>
    <phoneticPr fontId="2" type="noConversion"/>
  </si>
  <si>
    <t>수리후양산</t>
    <phoneticPr fontId="2" type="noConversion"/>
  </si>
  <si>
    <t>4LEAD</t>
    <phoneticPr fontId="2" type="noConversion"/>
  </si>
  <si>
    <t>009-019-004</t>
    <phoneticPr fontId="2" type="noConversion"/>
  </si>
  <si>
    <t>6</t>
    <phoneticPr fontId="2" type="noConversion"/>
  </si>
  <si>
    <t>BODY/LID</t>
    <phoneticPr fontId="2" type="noConversion"/>
  </si>
  <si>
    <t>HL072-10M3/4</t>
    <phoneticPr fontId="2" type="noConversion"/>
  </si>
  <si>
    <t>HL072-10M3/4</t>
    <phoneticPr fontId="2" type="noConversion"/>
  </si>
  <si>
    <t>수정후양산</t>
    <phoneticPr fontId="2" type="noConversion"/>
  </si>
  <si>
    <t>당일 진행 사항(27일)</t>
    <phoneticPr fontId="2" type="noConversion"/>
  </si>
  <si>
    <t>MCS</t>
    <phoneticPr fontId="2" type="noConversion"/>
  </si>
  <si>
    <t>BODY</t>
    <phoneticPr fontId="2" type="noConversion"/>
  </si>
  <si>
    <t>AMB0114E-JAA-R2</t>
    <phoneticPr fontId="2" type="noConversion"/>
  </si>
  <si>
    <t>세척후양산-&gt;단차정지</t>
    <phoneticPr fontId="2" type="noConversion"/>
  </si>
  <si>
    <t>SST</t>
    <phoneticPr fontId="2" type="noConversion"/>
  </si>
  <si>
    <t>수리후양산</t>
    <phoneticPr fontId="2" type="noConversion"/>
  </si>
  <si>
    <t>수리후양산-&gt;코아파손정지</t>
    <phoneticPr fontId="2" type="noConversion"/>
  </si>
  <si>
    <t>HICON</t>
    <phoneticPr fontId="2" type="noConversion"/>
  </si>
  <si>
    <t>STOPPER</t>
    <phoneticPr fontId="2" type="noConversion"/>
  </si>
  <si>
    <t>HSB75-M01A4</t>
    <phoneticPr fontId="2" type="noConversion"/>
  </si>
  <si>
    <t>발주분양산</t>
    <phoneticPr fontId="2" type="noConversion"/>
  </si>
  <si>
    <t>SAMPLE 진행 사항(26일)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</si>
  <si>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</si>
  <si>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</si>
  <si>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2017년 09월 27일 일일생산현황</t>
    </r>
    <r>
      <rPr>
        <b/>
        <sz val="14"/>
        <color indexed="8"/>
        <rFont val="굴림체"/>
        <family val="3"/>
        <charset val="129"/>
      </rPr>
      <t>(28일(목) 09시 현재)</t>
    </r>
    <phoneticPr fontId="2" type="noConversion"/>
  </si>
  <si>
    <t>STOPPER</t>
    <phoneticPr fontId="2" type="noConversion"/>
  </si>
  <si>
    <t>HSB75-M01A4</t>
    <phoneticPr fontId="2" type="noConversion"/>
  </si>
  <si>
    <t>SGF2030</t>
    <phoneticPr fontId="2" type="noConversion"/>
  </si>
  <si>
    <t>MCS</t>
    <phoneticPr fontId="2" type="noConversion"/>
  </si>
  <si>
    <t>BODY</t>
    <phoneticPr fontId="2" type="noConversion"/>
  </si>
  <si>
    <t>AM0148B-K-R2</t>
    <phoneticPr fontId="2" type="noConversion"/>
  </si>
  <si>
    <t>ACTUATOR</t>
    <phoneticPr fontId="2" type="noConversion"/>
  </si>
  <si>
    <t>AMB1901D-JAA-R2</t>
    <phoneticPr fontId="2" type="noConversion"/>
  </si>
  <si>
    <t>전일 ISSUE 사항(27일)</t>
    <phoneticPr fontId="2" type="noConversion"/>
  </si>
  <si>
    <t>MCS</t>
    <phoneticPr fontId="2" type="noConversion"/>
  </si>
  <si>
    <t>BODY</t>
    <phoneticPr fontId="2" type="noConversion"/>
  </si>
  <si>
    <t>AM0148B-K-R2</t>
    <phoneticPr fontId="2" type="noConversion"/>
  </si>
  <si>
    <t>6</t>
    <phoneticPr fontId="2" type="noConversion"/>
  </si>
  <si>
    <t>STOPPER</t>
    <phoneticPr fontId="2" type="noConversion"/>
  </si>
  <si>
    <t>발주분양산-&gt;코아파손수리-&gt;설비이상정지</t>
    <phoneticPr fontId="2" type="noConversion"/>
  </si>
  <si>
    <t>13</t>
    <phoneticPr fontId="2" type="noConversion"/>
  </si>
  <si>
    <t>ACTUATOR</t>
    <phoneticPr fontId="2" type="noConversion"/>
  </si>
  <si>
    <t>AMB1901D-JAA-R2</t>
    <phoneticPr fontId="2" type="noConversion"/>
  </si>
  <si>
    <t>수리후양산</t>
    <phoneticPr fontId="2" type="noConversion"/>
  </si>
  <si>
    <t>3</t>
    <phoneticPr fontId="2" type="noConversion"/>
  </si>
  <si>
    <t>발주분양산-&gt;미성형정지</t>
    <phoneticPr fontId="2" type="noConversion"/>
  </si>
  <si>
    <t>수리후양산-&gt;코아이상수리후양산</t>
    <phoneticPr fontId="2" type="noConversion"/>
  </si>
  <si>
    <t>14</t>
    <phoneticPr fontId="2" type="noConversion"/>
  </si>
  <si>
    <t>BASE</t>
    <phoneticPr fontId="2" type="noConversion"/>
  </si>
  <si>
    <t>KR6156DB841CA</t>
    <phoneticPr fontId="2" type="noConversion"/>
  </si>
  <si>
    <t>세척후양산-&gt;코아파손수리후양산</t>
    <phoneticPr fontId="2" type="noConversion"/>
  </si>
  <si>
    <t>당일 진행 사항(28일)</t>
    <phoneticPr fontId="2" type="noConversion"/>
  </si>
  <si>
    <t>설비확인후양산</t>
    <phoneticPr fontId="2" type="noConversion"/>
  </si>
  <si>
    <t>HSB75-M01A4</t>
    <phoneticPr fontId="2" type="noConversion"/>
  </si>
  <si>
    <t>HL072-10M3/4</t>
    <phoneticPr fontId="2" type="noConversion"/>
  </si>
  <si>
    <t>BODY/LID</t>
    <phoneticPr fontId="2" type="noConversion"/>
  </si>
  <si>
    <t>BODY/LID</t>
    <phoneticPr fontId="2" type="noConversion"/>
  </si>
  <si>
    <t>설비이동후양산</t>
    <phoneticPr fontId="2" type="noConversion"/>
  </si>
  <si>
    <t>SST</t>
    <phoneticPr fontId="2" type="noConversion"/>
  </si>
  <si>
    <t>SLIDER</t>
    <phoneticPr fontId="2" type="noConversion"/>
  </si>
  <si>
    <t>KR6156FA841YA</t>
    <phoneticPr fontId="2" type="noConversion"/>
  </si>
  <si>
    <t>세척후양산</t>
    <phoneticPr fontId="2" type="noConversion"/>
  </si>
  <si>
    <t>SAMPLE 진행 사항(27일)</t>
    <phoneticPr fontId="2" type="noConversion"/>
  </si>
  <si>
    <t>ADAPTER</t>
    <phoneticPr fontId="2" type="noConversion"/>
  </si>
  <si>
    <t>K-JR01911-G01HXX</t>
    <phoneticPr fontId="2" type="noConversion"/>
  </si>
  <si>
    <t>SGF2030 N/P</t>
    <phoneticPr fontId="2" type="noConversion"/>
  </si>
  <si>
    <t>수정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</si>
  <si>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</si>
  <si>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</si>
  <si>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2017년 09월 28일 일일생산현황</t>
    </r>
    <r>
      <rPr>
        <b/>
        <sz val="14"/>
        <color indexed="8"/>
        <rFont val="굴림체"/>
        <family val="3"/>
        <charset val="129"/>
      </rPr>
      <t>(29일(금) 09시 현재)</t>
    </r>
    <phoneticPr fontId="2" type="noConversion"/>
  </si>
  <si>
    <t>MCS</t>
    <phoneticPr fontId="2" type="noConversion"/>
  </si>
  <si>
    <t>AMB0226A-KAA-R1</t>
    <phoneticPr fontId="2" type="noConversion"/>
  </si>
  <si>
    <t>SF2255</t>
    <phoneticPr fontId="2" type="noConversion"/>
  </si>
  <si>
    <t>FRONT/REAR</t>
    <phoneticPr fontId="2" type="noConversion"/>
  </si>
  <si>
    <t>07401-1030X-41</t>
    <phoneticPr fontId="2" type="noConversion"/>
  </si>
  <si>
    <t>SGF2041</t>
    <phoneticPr fontId="2" type="noConversion"/>
  </si>
  <si>
    <t>2*2</t>
    <phoneticPr fontId="2" type="noConversion"/>
  </si>
  <si>
    <t>K-JR01911-G01HBB</t>
    <phoneticPr fontId="2" type="noConversion"/>
  </si>
  <si>
    <t>F/ADAPTER</t>
    <phoneticPr fontId="2" type="noConversion"/>
  </si>
  <si>
    <t>AMB2069B-KAA-R1</t>
    <phoneticPr fontId="2" type="noConversion"/>
  </si>
  <si>
    <t>전일 ISSUE 사항(28일)</t>
    <phoneticPr fontId="2" type="noConversion"/>
  </si>
  <si>
    <t>HICON</t>
    <phoneticPr fontId="2" type="noConversion"/>
  </si>
  <si>
    <t>6</t>
    <phoneticPr fontId="2" type="noConversion"/>
  </si>
  <si>
    <t>설비이동후양산</t>
    <phoneticPr fontId="2" type="noConversion"/>
  </si>
  <si>
    <t>설비수리후양산-&gt;코아파손수리후양산</t>
    <phoneticPr fontId="2" type="noConversion"/>
  </si>
  <si>
    <t>STOPPER</t>
    <phoneticPr fontId="2" type="noConversion"/>
  </si>
  <si>
    <t>AMB0226A-KAA-R1</t>
    <phoneticPr fontId="2" type="noConversion"/>
  </si>
  <si>
    <t>12</t>
    <phoneticPr fontId="2" type="noConversion"/>
  </si>
  <si>
    <t>F/ADAPTER</t>
    <phoneticPr fontId="2" type="noConversion"/>
  </si>
  <si>
    <t>발주분양산-&gt;밀핀이물수리-&gt;뜯김정지</t>
    <phoneticPr fontId="2" type="noConversion"/>
  </si>
  <si>
    <t>SST</t>
    <phoneticPr fontId="2" type="noConversion"/>
  </si>
  <si>
    <t>10</t>
    <phoneticPr fontId="2" type="noConversion"/>
  </si>
  <si>
    <t>ADAPTER</t>
    <phoneticPr fontId="2" type="noConversion"/>
  </si>
  <si>
    <t>9</t>
    <phoneticPr fontId="2" type="noConversion"/>
  </si>
  <si>
    <t>FRONT/REAR</t>
    <phoneticPr fontId="2" type="noConversion"/>
  </si>
  <si>
    <t>07401-1030X-41</t>
    <phoneticPr fontId="2" type="noConversion"/>
  </si>
  <si>
    <t>승인후양산</t>
    <phoneticPr fontId="2" type="noConversion"/>
  </si>
  <si>
    <t>당일 진행 사항(29일)</t>
    <phoneticPr fontId="2" type="noConversion"/>
  </si>
  <si>
    <t>STOPPER</t>
    <phoneticPr fontId="2" type="noConversion"/>
  </si>
  <si>
    <t>KR6156-D841PA</t>
    <phoneticPr fontId="2" type="noConversion"/>
  </si>
  <si>
    <t>세척후양산</t>
    <phoneticPr fontId="2" type="noConversion"/>
  </si>
  <si>
    <t>7</t>
    <phoneticPr fontId="2" type="noConversion"/>
  </si>
  <si>
    <t>K-JR01920-H432AZA</t>
    <phoneticPr fontId="2" type="noConversion"/>
  </si>
  <si>
    <t>발주분양산</t>
    <phoneticPr fontId="2" type="noConversion"/>
  </si>
  <si>
    <t>13</t>
    <phoneticPr fontId="2" type="noConversion"/>
  </si>
  <si>
    <t>FLOAT</t>
    <phoneticPr fontId="2" type="noConversion"/>
  </si>
  <si>
    <t>K-JR01920-A414AWA</t>
    <phoneticPr fontId="2" type="noConversion"/>
  </si>
  <si>
    <t>92-178V-LC949B</t>
    <phoneticPr fontId="2" type="noConversion"/>
  </si>
  <si>
    <t>OKINS</t>
    <phoneticPr fontId="2" type="noConversion"/>
  </si>
  <si>
    <t>2</t>
    <phoneticPr fontId="2" type="noConversion"/>
  </si>
  <si>
    <t>LATCH</t>
    <phoneticPr fontId="2" type="noConversion"/>
  </si>
  <si>
    <t>OKINS</t>
    <phoneticPr fontId="2" type="noConversion"/>
  </si>
  <si>
    <t>10</t>
    <phoneticPr fontId="2" type="noConversion"/>
  </si>
  <si>
    <t>92-178V-AD949C</t>
    <phoneticPr fontId="2" type="noConversion"/>
  </si>
  <si>
    <t>AMB2069B-KAA-R1</t>
    <phoneticPr fontId="2" type="noConversion"/>
  </si>
  <si>
    <t>MCS</t>
    <phoneticPr fontId="2" type="noConversion"/>
  </si>
  <si>
    <t>F/ADAPTER</t>
    <phoneticPr fontId="2" type="noConversion"/>
  </si>
  <si>
    <t>수리후양산</t>
    <phoneticPr fontId="2" type="noConversion"/>
  </si>
  <si>
    <t>FRONT,REAR</t>
    <phoneticPr fontId="2" type="noConversion"/>
  </si>
  <si>
    <t>07401-1030X-41</t>
    <phoneticPr fontId="2" type="noConversion"/>
  </si>
  <si>
    <t>SGF2041</t>
    <phoneticPr fontId="2" type="noConversion"/>
  </si>
  <si>
    <t>신작</t>
    <phoneticPr fontId="2" type="noConversion"/>
  </si>
  <si>
    <t>각 50</t>
    <phoneticPr fontId="2" type="noConversion"/>
  </si>
  <si>
    <t>SAMPLE 진행 사항(28일)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</si>
  <si>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</si>
  <si>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</si>
  <si>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2017년 09월 29일 일일생산현황</t>
    </r>
    <r>
      <rPr>
        <b/>
        <sz val="14"/>
        <color indexed="8"/>
        <rFont val="굴림체"/>
        <family val="3"/>
        <charset val="129"/>
      </rPr>
      <t>(30일(토) 09시 현재)</t>
    </r>
    <phoneticPr fontId="2" type="noConversion"/>
  </si>
  <si>
    <t>OKINS</t>
    <phoneticPr fontId="2" type="noConversion"/>
  </si>
  <si>
    <t>LATCH</t>
    <phoneticPr fontId="2" type="noConversion"/>
  </si>
  <si>
    <t>92-178V-LC949C</t>
    <phoneticPr fontId="2" type="noConversion"/>
  </si>
  <si>
    <t>SF2255</t>
    <phoneticPr fontId="2" type="noConversion"/>
  </si>
  <si>
    <t>STOPPER</t>
    <phoneticPr fontId="2" type="noConversion"/>
  </si>
  <si>
    <t>K-JR01920-H432AZA</t>
    <phoneticPr fontId="2" type="noConversion"/>
  </si>
  <si>
    <t>SGP2020R</t>
    <phoneticPr fontId="2" type="noConversion"/>
  </si>
  <si>
    <t>92-178V-AD949C</t>
    <phoneticPr fontId="2" type="noConversion"/>
  </si>
  <si>
    <t>SF2255 I/V</t>
    <phoneticPr fontId="2" type="noConversion"/>
  </si>
  <si>
    <t>FLOAT</t>
    <phoneticPr fontId="2" type="noConversion"/>
  </si>
  <si>
    <t>K-JR01920-A414AWA</t>
    <phoneticPr fontId="2" type="noConversion"/>
  </si>
  <si>
    <t>전일 ISSUE 사항(29일)</t>
    <phoneticPr fontId="2" type="noConversion"/>
  </si>
  <si>
    <t>SST</t>
    <phoneticPr fontId="2" type="noConversion"/>
  </si>
  <si>
    <t>OKINS</t>
    <phoneticPr fontId="2" type="noConversion"/>
  </si>
  <si>
    <t>발주분양산</t>
    <phoneticPr fontId="2" type="noConversion"/>
  </si>
  <si>
    <t>10</t>
    <phoneticPr fontId="2" type="noConversion"/>
  </si>
  <si>
    <t>ADAPTER</t>
    <phoneticPr fontId="2" type="noConversion"/>
  </si>
  <si>
    <t>13</t>
    <phoneticPr fontId="2" type="noConversion"/>
  </si>
  <si>
    <t>FLOAT</t>
    <phoneticPr fontId="2" type="noConversion"/>
  </si>
  <si>
    <t>STOPPER</t>
    <phoneticPr fontId="2" type="noConversion"/>
  </si>
  <si>
    <t>K-JR01920-H432AZA</t>
    <phoneticPr fontId="2" type="noConversion"/>
  </si>
  <si>
    <t>MCS</t>
    <phoneticPr fontId="2" type="noConversion"/>
  </si>
  <si>
    <t>12</t>
    <phoneticPr fontId="2" type="noConversion"/>
  </si>
  <si>
    <t>AMB2069B-KAA-R1</t>
    <phoneticPr fontId="2" type="noConversion"/>
  </si>
  <si>
    <t>수리후양산-&gt;3회진행</t>
    <phoneticPr fontId="2" type="noConversion"/>
  </si>
  <si>
    <t>당일 진행 사항(30일)</t>
    <phoneticPr fontId="2" type="noConversion"/>
  </si>
  <si>
    <t>KR6156-D841PA</t>
    <phoneticPr fontId="2" type="noConversion"/>
  </si>
  <si>
    <t>세척후양산</t>
    <phoneticPr fontId="2" type="noConversion"/>
  </si>
  <si>
    <t>BASE</t>
    <phoneticPr fontId="2" type="noConversion"/>
  </si>
  <si>
    <t>K-JR01920-B414AZB</t>
    <phoneticPr fontId="2" type="noConversion"/>
  </si>
  <si>
    <t>92-178V-BS949C</t>
    <phoneticPr fontId="2" type="noConversion"/>
  </si>
  <si>
    <t>92-178V-LG949C</t>
    <phoneticPr fontId="2" type="noConversion"/>
  </si>
  <si>
    <t>SAMPLE 진행 사항(29일)</t>
    <phoneticPr fontId="2" type="noConversion"/>
  </si>
  <si>
    <t>금형 수리 내역(29일)</t>
    <phoneticPr fontId="2" type="noConversion"/>
  </si>
  <si>
    <t>설비 점검 내역(29일)</t>
    <phoneticPr fontId="2" type="noConversion"/>
  </si>
  <si>
    <r>
      <t>2017년 09월 30일 일일생산현황</t>
    </r>
    <r>
      <rPr>
        <b/>
        <sz val="14"/>
        <color indexed="8"/>
        <rFont val="굴림체"/>
        <family val="3"/>
        <charset val="129"/>
      </rPr>
      <t>(01일(일) 09시 현재)</t>
    </r>
    <phoneticPr fontId="2" type="noConversion"/>
  </si>
  <si>
    <t>BASE</t>
    <phoneticPr fontId="2" type="noConversion"/>
  </si>
  <si>
    <t>SF2255</t>
    <phoneticPr fontId="2" type="noConversion"/>
  </si>
  <si>
    <t>LEAD GUIDE</t>
    <phoneticPr fontId="2" type="noConversion"/>
  </si>
  <si>
    <t>92-178V-LG949C</t>
    <phoneticPr fontId="2" type="noConversion"/>
  </si>
  <si>
    <t>K-JR01920-B414AZB</t>
    <phoneticPr fontId="2" type="noConversion"/>
  </si>
  <si>
    <t>SGP2020R</t>
    <phoneticPr fontId="2" type="noConversion"/>
  </si>
  <si>
    <t>전일 ISSUE 사항(30일)</t>
    <phoneticPr fontId="2" type="noConversion"/>
  </si>
  <si>
    <t>K-JR01920-B414AZB</t>
    <phoneticPr fontId="2" type="noConversion"/>
  </si>
  <si>
    <t>발주분양산-&gt;뜯김정지</t>
    <phoneticPr fontId="2" type="noConversion"/>
  </si>
  <si>
    <t>당일 진행 사항(01일)</t>
    <phoneticPr fontId="2" type="noConversion"/>
  </si>
  <si>
    <t>수리후양산</t>
    <phoneticPr fontId="2" type="noConversion"/>
  </si>
  <si>
    <t>SLIDER</t>
    <phoneticPr fontId="2" type="noConversion"/>
  </si>
  <si>
    <t>92-178V-SL949B</t>
    <phoneticPr fontId="2" type="noConversion"/>
  </si>
  <si>
    <t>발주분양산</t>
    <phoneticPr fontId="2" type="noConversion"/>
  </si>
  <si>
    <t>STOPPER</t>
    <phoneticPr fontId="2" type="noConversion"/>
  </si>
  <si>
    <t>92-178V-ST949B-2</t>
    <phoneticPr fontId="2" type="noConversion"/>
  </si>
  <si>
    <t>SAMPLE 진행 사항(30일)</t>
    <phoneticPr fontId="2" type="noConversion"/>
  </si>
  <si>
    <t>SLIDER</t>
    <phoneticPr fontId="2" type="noConversion"/>
  </si>
  <si>
    <t>KR6197-A540WA</t>
    <phoneticPr fontId="2" type="noConversion"/>
  </si>
  <si>
    <t>SGF2030</t>
    <phoneticPr fontId="2" type="noConversion"/>
  </si>
  <si>
    <t>요청</t>
    <phoneticPr fontId="2" type="noConversion"/>
  </si>
  <si>
    <t>금형 수리 내역(30일)</t>
    <phoneticPr fontId="2" type="noConversion"/>
  </si>
  <si>
    <t>설비 점검 내역(30일)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</si>
</sst>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15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/>
    </xf>
    <xf numFmtId="41" fontId="8" fillId="0" borderId="6" xfId="4" applyFont="1" applyFill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Fill="1" applyBorder="1" applyAlignment="1">
      <alignment horizontal="center" vertical="center"/>
    </xf>
    <xf numFmtId="9" fontId="9" fillId="0" borderId="7" xfId="3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178" fontId="8" fillId="0" borderId="10" xfId="4" applyNumberFormat="1" applyFont="1" applyFill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9" xfId="4" applyFont="1" applyFill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 wrapText="1"/>
    </xf>
    <xf numFmtId="41" fontId="4" fillId="0" borderId="7" xfId="4" applyFont="1" applyFill="1" applyBorder="1" applyAlignment="1">
      <alignment horizontal="center" vertical="center" wrapText="1"/>
    </xf>
    <xf numFmtId="41" fontId="8" fillId="0" borderId="4" xfId="4" applyFont="1" applyFill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 wrapText="1"/>
    </xf>
    <xf numFmtId="41" fontId="8" fillId="0" borderId="8" xfId="4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178" fontId="11" fillId="0" borderId="0" xfId="4" applyNumberFormat="1" applyFont="1" applyBorder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shrinkToFit="1"/>
    </xf>
    <xf numFmtId="41" fontId="13" fillId="0" borderId="0" xfId="4" applyFont="1" applyBorder="1" applyAlignment="1">
      <alignment vertical="center"/>
    </xf>
    <xf numFmtId="49" fontId="13" fillId="0" borderId="0" xfId="2" applyNumberFormat="1" applyFont="1" applyBorder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49" fontId="13" fillId="0" borderId="6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0" fontId="17" fillId="0" borderId="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09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871441689623512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5-491C-A6CA-42EC8495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04096"/>
        <c:axId val="16920806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5-491C-A6CA-42EC8495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04096"/>
        <c:axId val="169208064"/>
      </c:lineChart>
      <c:catAx>
        <c:axId val="19200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208064"/>
        <c:crosses val="autoZero"/>
        <c:auto val="1"/>
        <c:lblAlgn val="ctr"/>
        <c:lblOffset val="100"/>
        <c:noMultiLvlLbl val="0"/>
      </c:catAx>
      <c:valAx>
        <c:axId val="169208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200409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1">
                  <c:v>3420</c:v>
                </c:pt>
                <c:pt idx="3">
                  <c:v>5139</c:v>
                </c:pt>
                <c:pt idx="5">
                  <c:v>4494</c:v>
                </c:pt>
                <c:pt idx="6">
                  <c:v>4171</c:v>
                </c:pt>
                <c:pt idx="10">
                  <c:v>4986</c:v>
                </c:pt>
                <c:pt idx="12">
                  <c:v>1515</c:v>
                </c:pt>
                <c:pt idx="13">
                  <c:v>4604</c:v>
                </c:pt>
                <c:pt idx="14">
                  <c:v>51196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6-4532-A836-9E8CCFEFA4D6}"/>
            </c:ext>
          </c:extLst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3420</c:v>
                </c:pt>
                <c:pt idx="2">
                  <c:v>5250</c:v>
                </c:pt>
                <c:pt idx="3">
                  <c:v>5140</c:v>
                </c:pt>
                <c:pt idx="4">
                  <c:v>4400</c:v>
                </c:pt>
                <c:pt idx="5">
                  <c:v>4500</c:v>
                </c:pt>
                <c:pt idx="6">
                  <c:v>4180</c:v>
                </c:pt>
                <c:pt idx="7">
                  <c:v>2220</c:v>
                </c:pt>
                <c:pt idx="8">
                  <c:v>556</c:v>
                </c:pt>
                <c:pt idx="9">
                  <c:v>2730</c:v>
                </c:pt>
                <c:pt idx="10">
                  <c:v>4990</c:v>
                </c:pt>
                <c:pt idx="11">
                  <c:v>6520</c:v>
                </c:pt>
                <c:pt idx="12">
                  <c:v>1520</c:v>
                </c:pt>
                <c:pt idx="13">
                  <c:v>4610</c:v>
                </c:pt>
                <c:pt idx="14">
                  <c:v>51200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6-4532-A836-9E8CCFEF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034304"/>
        <c:axId val="256952576"/>
      </c:lineChart>
      <c:catAx>
        <c:axId val="2720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952576"/>
        <c:crosses val="autoZero"/>
        <c:auto val="1"/>
        <c:lblAlgn val="ctr"/>
        <c:lblOffset val="100"/>
        <c:noMultiLvlLbl val="0"/>
      </c:catAx>
      <c:valAx>
        <c:axId val="2569525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7203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BASE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TOP/BOTTOM</c:v>
                </c:pt>
                <c:pt idx="11">
                  <c:v>SLIDER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3">
                  <c:v>3240</c:v>
                </c:pt>
                <c:pt idx="5">
                  <c:v>6280</c:v>
                </c:pt>
                <c:pt idx="6">
                  <c:v>4957</c:v>
                </c:pt>
                <c:pt idx="7">
                  <c:v>772</c:v>
                </c:pt>
                <c:pt idx="10">
                  <c:v>2123</c:v>
                </c:pt>
                <c:pt idx="12">
                  <c:v>4882</c:v>
                </c:pt>
                <c:pt idx="13">
                  <c:v>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6-46C7-BD50-B2B98F615DA7}"/>
            </c:ext>
          </c:extLst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BASE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TOP/BOTTOM</c:v>
                </c:pt>
                <c:pt idx="11">
                  <c:v>SLIDER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2580</c:v>
                </c:pt>
                <c:pt idx="2">
                  <c:v>4010</c:v>
                </c:pt>
                <c:pt idx="3">
                  <c:v>3240</c:v>
                </c:pt>
                <c:pt idx="4">
                  <c:v>5440</c:v>
                </c:pt>
                <c:pt idx="5">
                  <c:v>1130</c:v>
                </c:pt>
                <c:pt idx="6">
                  <c:v>4960</c:v>
                </c:pt>
                <c:pt idx="7">
                  <c:v>772</c:v>
                </c:pt>
                <c:pt idx="8">
                  <c:v>300</c:v>
                </c:pt>
                <c:pt idx="9">
                  <c:v>910</c:v>
                </c:pt>
                <c:pt idx="10">
                  <c:v>2130</c:v>
                </c:pt>
                <c:pt idx="11">
                  <c:v>2110</c:v>
                </c:pt>
                <c:pt idx="12">
                  <c:v>4890</c:v>
                </c:pt>
                <c:pt idx="13">
                  <c:v>4870</c:v>
                </c:pt>
                <c:pt idx="14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6-46C7-BD50-B2B98F61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97600"/>
        <c:axId val="391311872"/>
      </c:lineChart>
      <c:catAx>
        <c:axId val="2382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311872"/>
        <c:crosses val="autoZero"/>
        <c:auto val="1"/>
        <c:lblAlgn val="ctr"/>
        <c:lblOffset val="100"/>
        <c:noMultiLvlLbl val="0"/>
      </c:catAx>
      <c:valAx>
        <c:axId val="3913118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829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0%</c:v>
                </c:pt>
                <c:pt idx="5">
                  <c:v>371%</c:v>
                </c:pt>
                <c:pt idx="6">
                  <c:v>100%</c:v>
                </c:pt>
                <c:pt idx="7">
                  <c:v>29%</c:v>
                </c:pt>
                <c:pt idx="8">
                  <c:v>0%</c:v>
                </c:pt>
                <c:pt idx="9">
                  <c:v>0%</c:v>
                </c:pt>
                <c:pt idx="10">
                  <c:v>50%</c:v>
                </c:pt>
                <c:pt idx="11">
                  <c:v>0%</c:v>
                </c:pt>
                <c:pt idx="12">
                  <c:v>96%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BASE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TOP/BOTTOM</c:v>
                </c:pt>
                <c:pt idx="11">
                  <c:v>SLIDER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3.7050147492625367</c:v>
                </c:pt>
                <c:pt idx="6">
                  <c:v>0.99939516129032258</c:v>
                </c:pt>
                <c:pt idx="7">
                  <c:v>0.29166666666666669</c:v>
                </c:pt>
                <c:pt idx="8">
                  <c:v>0</c:v>
                </c:pt>
                <c:pt idx="9">
                  <c:v>0</c:v>
                </c:pt>
                <c:pt idx="10">
                  <c:v>0.49835680751173711</c:v>
                </c:pt>
                <c:pt idx="11">
                  <c:v>0</c:v>
                </c:pt>
                <c:pt idx="12">
                  <c:v>0.9567655078391275</c:v>
                </c:pt>
                <c:pt idx="13">
                  <c:v>0.99958932238193021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C-4289-8814-5500CE55020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4C-4289-8814-5500CE5502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BASE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TOP/BOTTOM</c:v>
                </c:pt>
                <c:pt idx="11">
                  <c:v>SLIDER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0.54671921433015469</c:v>
                </c:pt>
                <c:pt idx="1">
                  <c:v>0.54671921433015469</c:v>
                </c:pt>
                <c:pt idx="2">
                  <c:v>0.54671921433015469</c:v>
                </c:pt>
                <c:pt idx="3">
                  <c:v>0.54671921433015469</c:v>
                </c:pt>
                <c:pt idx="4">
                  <c:v>0.54671921433015469</c:v>
                </c:pt>
                <c:pt idx="5">
                  <c:v>0.54671921433015469</c:v>
                </c:pt>
                <c:pt idx="6">
                  <c:v>0.54671921433015469</c:v>
                </c:pt>
                <c:pt idx="7">
                  <c:v>0.54671921433015469</c:v>
                </c:pt>
                <c:pt idx="8">
                  <c:v>0.54671921433015469</c:v>
                </c:pt>
                <c:pt idx="9">
                  <c:v>0.54671921433015469</c:v>
                </c:pt>
                <c:pt idx="10">
                  <c:v>0.54671921433015469</c:v>
                </c:pt>
                <c:pt idx="11">
                  <c:v>0.54671921433015469</c:v>
                </c:pt>
                <c:pt idx="12">
                  <c:v>0.54671921433015469</c:v>
                </c:pt>
                <c:pt idx="13">
                  <c:v>0.54671921433015469</c:v>
                </c:pt>
                <c:pt idx="14">
                  <c:v>0.54671921433015469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C-4289-8814-5500CE550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8256"/>
        <c:axId val="391313600"/>
      </c:lineChart>
      <c:catAx>
        <c:axId val="2386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91313600"/>
        <c:crosses val="autoZero"/>
        <c:auto val="1"/>
        <c:lblAlgn val="ctr"/>
        <c:lblOffset val="100"/>
        <c:noMultiLvlLbl val="0"/>
      </c:catAx>
      <c:valAx>
        <c:axId val="3913136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868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1CE-497B-BB84-172B7FE2D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E-497B-BB84-172B7FE2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88768"/>
        <c:axId val="47555436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CE-497B-BB84-172B7FE2D2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E-497B-BB84-172B7FE2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8768"/>
        <c:axId val="475554368"/>
      </c:lineChart>
      <c:catAx>
        <c:axId val="23868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54368"/>
        <c:crosses val="autoZero"/>
        <c:auto val="1"/>
        <c:lblAlgn val="ctr"/>
        <c:lblOffset val="100"/>
        <c:noMultiLvlLbl val="0"/>
      </c:catAx>
      <c:valAx>
        <c:axId val="475554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868876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TOP/BOTTOM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BASE/LID</c:v>
                </c:pt>
                <c:pt idx="12">
                  <c:v>SLIDER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'26'!$L$6:$L$21</c:f>
              <c:numCache>
                <c:formatCode>_(* #,##0_);_(* \(#,##0\);_(* "-"_);_(@_)</c:formatCode>
                <c:ptCount val="16"/>
                <c:pt idx="3">
                  <c:v>5678</c:v>
                </c:pt>
                <c:pt idx="4">
                  <c:v>775</c:v>
                </c:pt>
                <c:pt idx="5">
                  <c:v>3387</c:v>
                </c:pt>
                <c:pt idx="6">
                  <c:v>2551</c:v>
                </c:pt>
                <c:pt idx="7">
                  <c:v>2101</c:v>
                </c:pt>
                <c:pt idx="8">
                  <c:v>2835</c:v>
                </c:pt>
                <c:pt idx="11">
                  <c:v>2116</c:v>
                </c:pt>
                <c:pt idx="12">
                  <c:v>9308</c:v>
                </c:pt>
                <c:pt idx="13">
                  <c:v>4419</c:v>
                </c:pt>
                <c:pt idx="14">
                  <c:v>4725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2-47F2-B870-0AE41380D967}"/>
            </c:ext>
          </c:extLst>
        </c:ser>
        <c:ser>
          <c:idx val="1"/>
          <c:order val="1"/>
          <c:tx>
            <c:v>계획</c:v>
          </c:tx>
          <c:cat>
            <c:strRef>
              <c:f>'26'!$D$6:$D$21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TOP/BOTTOM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BASE/LID</c:v>
                </c:pt>
                <c:pt idx="12">
                  <c:v>SLIDER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'26'!$J$6:$J$21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2580</c:v>
                </c:pt>
                <c:pt idx="2">
                  <c:v>4010</c:v>
                </c:pt>
                <c:pt idx="3">
                  <c:v>5680</c:v>
                </c:pt>
                <c:pt idx="4">
                  <c:v>780</c:v>
                </c:pt>
                <c:pt idx="5">
                  <c:v>3390</c:v>
                </c:pt>
                <c:pt idx="6">
                  <c:v>2660</c:v>
                </c:pt>
                <c:pt idx="7">
                  <c:v>2110</c:v>
                </c:pt>
                <c:pt idx="8">
                  <c:v>2840</c:v>
                </c:pt>
                <c:pt idx="9">
                  <c:v>300</c:v>
                </c:pt>
                <c:pt idx="10">
                  <c:v>910</c:v>
                </c:pt>
                <c:pt idx="11">
                  <c:v>2120</c:v>
                </c:pt>
                <c:pt idx="12">
                  <c:v>9310</c:v>
                </c:pt>
                <c:pt idx="13">
                  <c:v>4420</c:v>
                </c:pt>
                <c:pt idx="14">
                  <c:v>4730</c:v>
                </c:pt>
                <c:pt idx="15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2-47F2-B870-0AE41380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14944"/>
        <c:axId val="475557248"/>
      </c:lineChart>
      <c:catAx>
        <c:axId val="2393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557248"/>
        <c:crosses val="autoZero"/>
        <c:auto val="1"/>
        <c:lblAlgn val="ctr"/>
        <c:lblOffset val="100"/>
        <c:noMultiLvlLbl val="0"/>
      </c:catAx>
      <c:valAx>
        <c:axId val="4755572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9314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21%</c:v>
                </c:pt>
                <c:pt idx="5">
                  <c:v>62%</c:v>
                </c:pt>
                <c:pt idx="6">
                  <c:v>96%</c:v>
                </c:pt>
                <c:pt idx="7">
                  <c:v>46%</c:v>
                </c:pt>
                <c:pt idx="8">
                  <c:v>46%</c:v>
                </c:pt>
                <c:pt idx="9">
                  <c:v>0%</c:v>
                </c:pt>
                <c:pt idx="10">
                  <c:v>0%</c:v>
                </c:pt>
                <c:pt idx="11">
                  <c:v>50%</c:v>
                </c:pt>
                <c:pt idx="12">
                  <c:v>92%</c:v>
                </c:pt>
                <c:pt idx="13">
                  <c:v>92%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TOP/BOTTOM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BASE/LID</c:v>
                </c:pt>
                <c:pt idx="12">
                  <c:v>SLIDER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'26'!$AD$6:$AD$21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0.99964788732394361</c:v>
                </c:pt>
                <c:pt idx="4">
                  <c:v>0.20699786324786326</c:v>
                </c:pt>
                <c:pt idx="5">
                  <c:v>0.62444690265486724</c:v>
                </c:pt>
                <c:pt idx="6">
                  <c:v>0.95902255639097744</c:v>
                </c:pt>
                <c:pt idx="7">
                  <c:v>0.45637835703001578</c:v>
                </c:pt>
                <c:pt idx="8">
                  <c:v>0.45752640845070419</c:v>
                </c:pt>
                <c:pt idx="9">
                  <c:v>0</c:v>
                </c:pt>
                <c:pt idx="10">
                  <c:v>0</c:v>
                </c:pt>
                <c:pt idx="11">
                  <c:v>0.49905660377358491</c:v>
                </c:pt>
                <c:pt idx="12">
                  <c:v>0.91646974579305396</c:v>
                </c:pt>
                <c:pt idx="13">
                  <c:v>0.91645927601809951</c:v>
                </c:pt>
                <c:pt idx="14">
                  <c:v>0.9989429175475687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D-40ED-8E12-A46D55F738D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BD-40ED-8E12-A46D55F738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TOP/BOTTOM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BASE/LID</c:v>
                </c:pt>
                <c:pt idx="12">
                  <c:v>SLIDER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'26'!$AE$6:$AE$21</c:f>
              <c:numCache>
                <c:formatCode>0%</c:formatCode>
                <c:ptCount val="16"/>
                <c:pt idx="0">
                  <c:v>0.46899656788204525</c:v>
                </c:pt>
                <c:pt idx="1">
                  <c:v>0.46899656788204525</c:v>
                </c:pt>
                <c:pt idx="2">
                  <c:v>0.46899656788204525</c:v>
                </c:pt>
                <c:pt idx="3">
                  <c:v>0.46899656788204525</c:v>
                </c:pt>
                <c:pt idx="4">
                  <c:v>0.46899656788204525</c:v>
                </c:pt>
                <c:pt idx="5">
                  <c:v>0.46899656788204525</c:v>
                </c:pt>
                <c:pt idx="6">
                  <c:v>0.46899656788204525</c:v>
                </c:pt>
                <c:pt idx="7">
                  <c:v>0.46899656788204525</c:v>
                </c:pt>
                <c:pt idx="8">
                  <c:v>0.46899656788204525</c:v>
                </c:pt>
                <c:pt idx="9">
                  <c:v>0.46899656788204525</c:v>
                </c:pt>
                <c:pt idx="10">
                  <c:v>0.46899656788204525</c:v>
                </c:pt>
                <c:pt idx="11">
                  <c:v>0.46899656788204525</c:v>
                </c:pt>
                <c:pt idx="12">
                  <c:v>0.46899656788204525</c:v>
                </c:pt>
                <c:pt idx="13">
                  <c:v>0.46899656788204525</c:v>
                </c:pt>
                <c:pt idx="14">
                  <c:v>0.46899656788204525</c:v>
                </c:pt>
                <c:pt idx="15">
                  <c:v>0.46899656788204525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D-40ED-8E12-A46D55F7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19392"/>
        <c:axId val="475558976"/>
      </c:lineChart>
      <c:catAx>
        <c:axId val="2394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75558976"/>
        <c:crosses val="autoZero"/>
        <c:auto val="1"/>
        <c:lblAlgn val="ctr"/>
        <c:lblOffset val="100"/>
        <c:noMultiLvlLbl val="0"/>
      </c:catAx>
      <c:valAx>
        <c:axId val="4755589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941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TOP/BOTTOM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BASE/LID</c:v>
                </c:pt>
                <c:pt idx="12">
                  <c:v>SLIDER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'26'!$L$6:$L$21</c:f>
              <c:numCache>
                <c:formatCode>_(* #,##0_);_(* \(#,##0\);_(* "-"_);_(@_)</c:formatCode>
                <c:ptCount val="16"/>
                <c:pt idx="3">
                  <c:v>5678</c:v>
                </c:pt>
                <c:pt idx="4">
                  <c:v>775</c:v>
                </c:pt>
                <c:pt idx="5">
                  <c:v>3387</c:v>
                </c:pt>
                <c:pt idx="6">
                  <c:v>2551</c:v>
                </c:pt>
                <c:pt idx="7">
                  <c:v>2101</c:v>
                </c:pt>
                <c:pt idx="8">
                  <c:v>2835</c:v>
                </c:pt>
                <c:pt idx="11">
                  <c:v>2116</c:v>
                </c:pt>
                <c:pt idx="12">
                  <c:v>9308</c:v>
                </c:pt>
                <c:pt idx="13">
                  <c:v>4419</c:v>
                </c:pt>
                <c:pt idx="14">
                  <c:v>4725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0-4CD3-A022-DED0C44CA015}"/>
            </c:ext>
          </c:extLst>
        </c:ser>
        <c:ser>
          <c:idx val="1"/>
          <c:order val="1"/>
          <c:tx>
            <c:v>계획</c:v>
          </c:tx>
          <c:cat>
            <c:strRef>
              <c:f>'26'!$D$6:$D$21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TOP/BOTTOM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BASE/LID</c:v>
                </c:pt>
                <c:pt idx="12">
                  <c:v>SLIDER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'26'!$J$6:$J$21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2580</c:v>
                </c:pt>
                <c:pt idx="2">
                  <c:v>4010</c:v>
                </c:pt>
                <c:pt idx="3">
                  <c:v>5680</c:v>
                </c:pt>
                <c:pt idx="4">
                  <c:v>780</c:v>
                </c:pt>
                <c:pt idx="5">
                  <c:v>3390</c:v>
                </c:pt>
                <c:pt idx="6">
                  <c:v>2660</c:v>
                </c:pt>
                <c:pt idx="7">
                  <c:v>2110</c:v>
                </c:pt>
                <c:pt idx="8">
                  <c:v>2840</c:v>
                </c:pt>
                <c:pt idx="9">
                  <c:v>300</c:v>
                </c:pt>
                <c:pt idx="10">
                  <c:v>910</c:v>
                </c:pt>
                <c:pt idx="11">
                  <c:v>2120</c:v>
                </c:pt>
                <c:pt idx="12">
                  <c:v>9310</c:v>
                </c:pt>
                <c:pt idx="13">
                  <c:v>4420</c:v>
                </c:pt>
                <c:pt idx="14">
                  <c:v>4730</c:v>
                </c:pt>
                <c:pt idx="15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0-4CD3-A022-DED0C44C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20928"/>
        <c:axId val="475561280"/>
      </c:lineChart>
      <c:catAx>
        <c:axId val="2394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561280"/>
        <c:crosses val="autoZero"/>
        <c:auto val="1"/>
        <c:lblAlgn val="ctr"/>
        <c:lblOffset val="100"/>
        <c:noMultiLvlLbl val="0"/>
      </c:catAx>
      <c:valAx>
        <c:axId val="4755612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942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21%</c:v>
                </c:pt>
                <c:pt idx="5">
                  <c:v>62%</c:v>
                </c:pt>
                <c:pt idx="6">
                  <c:v>96%</c:v>
                </c:pt>
                <c:pt idx="7">
                  <c:v>46%</c:v>
                </c:pt>
                <c:pt idx="8">
                  <c:v>46%</c:v>
                </c:pt>
                <c:pt idx="9">
                  <c:v>0%</c:v>
                </c:pt>
                <c:pt idx="10">
                  <c:v>0%</c:v>
                </c:pt>
                <c:pt idx="11">
                  <c:v>50%</c:v>
                </c:pt>
                <c:pt idx="12">
                  <c:v>92%</c:v>
                </c:pt>
                <c:pt idx="13">
                  <c:v>92%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TOP/BOTTOM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BASE/LID</c:v>
                </c:pt>
                <c:pt idx="12">
                  <c:v>SLIDER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'26'!$AD$6:$AD$21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0.99964788732394361</c:v>
                </c:pt>
                <c:pt idx="4">
                  <c:v>0.20699786324786326</c:v>
                </c:pt>
                <c:pt idx="5">
                  <c:v>0.62444690265486724</c:v>
                </c:pt>
                <c:pt idx="6">
                  <c:v>0.95902255639097744</c:v>
                </c:pt>
                <c:pt idx="7">
                  <c:v>0.45637835703001578</c:v>
                </c:pt>
                <c:pt idx="8">
                  <c:v>0.45752640845070419</c:v>
                </c:pt>
                <c:pt idx="9">
                  <c:v>0</c:v>
                </c:pt>
                <c:pt idx="10">
                  <c:v>0</c:v>
                </c:pt>
                <c:pt idx="11">
                  <c:v>0.49905660377358491</c:v>
                </c:pt>
                <c:pt idx="12">
                  <c:v>0.91646974579305396</c:v>
                </c:pt>
                <c:pt idx="13">
                  <c:v>0.91645927601809951</c:v>
                </c:pt>
                <c:pt idx="14">
                  <c:v>0.9989429175475687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2-44E4-A2F5-F06FADDBB36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22-44E4-A2F5-F06FADDBB36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TOP/BOTTOM</c:v>
                </c:pt>
                <c:pt idx="8">
                  <c:v>STOPPER</c:v>
                </c:pt>
                <c:pt idx="9">
                  <c:v>BASE</c:v>
                </c:pt>
                <c:pt idx="10">
                  <c:v>ADAPTER</c:v>
                </c:pt>
                <c:pt idx="11">
                  <c:v>BASE/LID</c:v>
                </c:pt>
                <c:pt idx="12">
                  <c:v>SLIDER</c:v>
                </c:pt>
                <c:pt idx="13">
                  <c:v>LEAD GUIDE</c:v>
                </c:pt>
                <c:pt idx="14">
                  <c:v>BASE</c:v>
                </c:pt>
              </c:strCache>
            </c:strRef>
          </c:cat>
          <c:val>
            <c:numRef>
              <c:f>'26'!$AE$6:$AE$21</c:f>
              <c:numCache>
                <c:formatCode>0%</c:formatCode>
                <c:ptCount val="16"/>
                <c:pt idx="0">
                  <c:v>0.46899656788204525</c:v>
                </c:pt>
                <c:pt idx="1">
                  <c:v>0.46899656788204525</c:v>
                </c:pt>
                <c:pt idx="2">
                  <c:v>0.46899656788204525</c:v>
                </c:pt>
                <c:pt idx="3">
                  <c:v>0.46899656788204525</c:v>
                </c:pt>
                <c:pt idx="4">
                  <c:v>0.46899656788204525</c:v>
                </c:pt>
                <c:pt idx="5">
                  <c:v>0.46899656788204525</c:v>
                </c:pt>
                <c:pt idx="6">
                  <c:v>0.46899656788204525</c:v>
                </c:pt>
                <c:pt idx="7">
                  <c:v>0.46899656788204525</c:v>
                </c:pt>
                <c:pt idx="8">
                  <c:v>0.46899656788204525</c:v>
                </c:pt>
                <c:pt idx="9">
                  <c:v>0.46899656788204525</c:v>
                </c:pt>
                <c:pt idx="10">
                  <c:v>0.46899656788204525</c:v>
                </c:pt>
                <c:pt idx="11">
                  <c:v>0.46899656788204525</c:v>
                </c:pt>
                <c:pt idx="12">
                  <c:v>0.46899656788204525</c:v>
                </c:pt>
                <c:pt idx="13">
                  <c:v>0.46899656788204525</c:v>
                </c:pt>
                <c:pt idx="14">
                  <c:v>0.46899656788204525</c:v>
                </c:pt>
                <c:pt idx="15">
                  <c:v>0.46899656788204525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2-44E4-A2F5-F06FADDB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21440"/>
        <c:axId val="380773504"/>
      </c:lineChart>
      <c:catAx>
        <c:axId val="2394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80773504"/>
        <c:crosses val="autoZero"/>
        <c:auto val="1"/>
        <c:lblAlgn val="ctr"/>
        <c:lblOffset val="100"/>
        <c:noMultiLvlLbl val="0"/>
      </c:catAx>
      <c:valAx>
        <c:axId val="3807735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942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B55-4F31-9D10-8A531FA099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5-4F31-9D10-8A531FA0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421952"/>
        <c:axId val="380775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55-4F31-9D10-8A531FA099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5-4F31-9D10-8A531FA0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21952"/>
        <c:axId val="380775808"/>
      </c:lineChart>
      <c:catAx>
        <c:axId val="23942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0775808"/>
        <c:crosses val="autoZero"/>
        <c:auto val="1"/>
        <c:lblAlgn val="ctr"/>
        <c:lblOffset val="100"/>
        <c:noMultiLvlLbl val="0"/>
      </c:catAx>
      <c:valAx>
        <c:axId val="380775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942195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2">
                  <c:v>469</c:v>
                </c:pt>
                <c:pt idx="3">
                  <c:v>5624</c:v>
                </c:pt>
                <c:pt idx="4">
                  <c:v>4414</c:v>
                </c:pt>
                <c:pt idx="5">
                  <c:v>4764</c:v>
                </c:pt>
                <c:pt idx="6">
                  <c:v>3402</c:v>
                </c:pt>
                <c:pt idx="7">
                  <c:v>6129</c:v>
                </c:pt>
                <c:pt idx="10">
                  <c:v>4379</c:v>
                </c:pt>
                <c:pt idx="11">
                  <c:v>3740</c:v>
                </c:pt>
                <c:pt idx="12">
                  <c:v>4709</c:v>
                </c:pt>
                <c:pt idx="13">
                  <c:v>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C-411E-BBA2-A8023A0D9987}"/>
            </c:ext>
          </c:extLst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2580</c:v>
                </c:pt>
                <c:pt idx="2">
                  <c:v>470</c:v>
                </c:pt>
                <c:pt idx="3">
                  <c:v>5630</c:v>
                </c:pt>
                <c:pt idx="4">
                  <c:v>4420</c:v>
                </c:pt>
                <c:pt idx="5">
                  <c:v>4770</c:v>
                </c:pt>
                <c:pt idx="6">
                  <c:v>3410</c:v>
                </c:pt>
                <c:pt idx="7">
                  <c:v>6130</c:v>
                </c:pt>
                <c:pt idx="8">
                  <c:v>300</c:v>
                </c:pt>
                <c:pt idx="9">
                  <c:v>910</c:v>
                </c:pt>
                <c:pt idx="10">
                  <c:v>4380</c:v>
                </c:pt>
                <c:pt idx="11">
                  <c:v>3740</c:v>
                </c:pt>
                <c:pt idx="12">
                  <c:v>4710</c:v>
                </c:pt>
                <c:pt idx="13">
                  <c:v>2210</c:v>
                </c:pt>
                <c:pt idx="14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C-411E-BBA2-A8023A0D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44512"/>
        <c:axId val="380778688"/>
      </c:lineChart>
      <c:catAx>
        <c:axId val="2397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778688"/>
        <c:crosses val="autoZero"/>
        <c:auto val="1"/>
        <c:lblAlgn val="ctr"/>
        <c:lblOffset val="100"/>
        <c:noMultiLvlLbl val="0"/>
      </c:catAx>
      <c:valAx>
        <c:axId val="3807786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9744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100%</c:v>
                </c:pt>
                <c:pt idx="4">
                  <c:v>83%</c:v>
                </c:pt>
                <c:pt idx="5">
                  <c:v>58%</c:v>
                </c:pt>
                <c:pt idx="6">
                  <c:v>71%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96%</c:v>
                </c:pt>
                <c:pt idx="11">
                  <c:v>25%</c:v>
                </c:pt>
                <c:pt idx="12">
                  <c:v>96%</c:v>
                </c:pt>
                <c:pt idx="13">
                  <c:v>54%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0.24946808510638299</c:v>
                </c:pt>
                <c:pt idx="3">
                  <c:v>0.99893428063943157</c:v>
                </c:pt>
                <c:pt idx="4">
                  <c:v>0.83220211161387636</c:v>
                </c:pt>
                <c:pt idx="5">
                  <c:v>0.58259958071278828</c:v>
                </c:pt>
                <c:pt idx="6">
                  <c:v>0.70667155425219952</c:v>
                </c:pt>
                <c:pt idx="7">
                  <c:v>0.99983686786296899</c:v>
                </c:pt>
                <c:pt idx="8">
                  <c:v>0</c:v>
                </c:pt>
                <c:pt idx="9">
                  <c:v>0</c:v>
                </c:pt>
                <c:pt idx="10">
                  <c:v>0.95811453576864536</c:v>
                </c:pt>
                <c:pt idx="11">
                  <c:v>0.25</c:v>
                </c:pt>
                <c:pt idx="12">
                  <c:v>0.95812986553432422</c:v>
                </c:pt>
                <c:pt idx="13">
                  <c:v>0.53970588235294115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0-41CD-AA90-BD87C584921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0-41CD-AA90-BD87C58492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0.47171085092290393</c:v>
                </c:pt>
                <c:pt idx="1">
                  <c:v>0.47171085092290393</c:v>
                </c:pt>
                <c:pt idx="2">
                  <c:v>0.47171085092290393</c:v>
                </c:pt>
                <c:pt idx="3">
                  <c:v>0.47171085092290393</c:v>
                </c:pt>
                <c:pt idx="4">
                  <c:v>0.47171085092290393</c:v>
                </c:pt>
                <c:pt idx="5">
                  <c:v>0.47171085092290393</c:v>
                </c:pt>
                <c:pt idx="6">
                  <c:v>0.47171085092290393</c:v>
                </c:pt>
                <c:pt idx="7">
                  <c:v>0.47171085092290393</c:v>
                </c:pt>
                <c:pt idx="8">
                  <c:v>0.47171085092290393</c:v>
                </c:pt>
                <c:pt idx="9">
                  <c:v>0.47171085092290393</c:v>
                </c:pt>
                <c:pt idx="10">
                  <c:v>0.47171085092290393</c:v>
                </c:pt>
                <c:pt idx="11">
                  <c:v>0.47171085092290393</c:v>
                </c:pt>
                <c:pt idx="12">
                  <c:v>0.47171085092290393</c:v>
                </c:pt>
                <c:pt idx="13">
                  <c:v>0.47171085092290393</c:v>
                </c:pt>
                <c:pt idx="14">
                  <c:v>0.47171085092290393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0-41CD-AA90-BD87C584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46560"/>
        <c:axId val="488546304"/>
      </c:lineChart>
      <c:catAx>
        <c:axId val="2397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8546304"/>
        <c:crosses val="autoZero"/>
        <c:auto val="1"/>
        <c:lblAlgn val="ctr"/>
        <c:lblOffset val="100"/>
        <c:noMultiLvlLbl val="0"/>
      </c:catAx>
      <c:valAx>
        <c:axId val="4885463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974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5"/>
                <c:pt idx="0">
                  <c:v>0%</c:v>
                </c:pt>
                <c:pt idx="1">
                  <c:v>88%</c:v>
                </c:pt>
                <c:pt idx="2">
                  <c:v>0%</c:v>
                </c:pt>
                <c:pt idx="3">
                  <c:v>100%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37%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0.875</c:v>
                </c:pt>
                <c:pt idx="2">
                  <c:v>0</c:v>
                </c:pt>
                <c:pt idx="3">
                  <c:v>0.99980544747081712</c:v>
                </c:pt>
                <c:pt idx="4">
                  <c:v>0</c:v>
                </c:pt>
                <c:pt idx="5">
                  <c:v>0.9986666666666667</c:v>
                </c:pt>
                <c:pt idx="6">
                  <c:v>0.99784688995215309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0.99919839679358713</c:v>
                </c:pt>
                <c:pt idx="11">
                  <c:v>0</c:v>
                </c:pt>
                <c:pt idx="12">
                  <c:v>0.37376644736842107</c:v>
                </c:pt>
                <c:pt idx="13">
                  <c:v>0.99869848156182217</c:v>
                </c:pt>
                <c:pt idx="14">
                  <c:v>0.99992187499999996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4-4103-902D-E8AE147A933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E4-4103-902D-E8AE147A933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0.48286028032089784</c:v>
                </c:pt>
                <c:pt idx="1">
                  <c:v>0.48286028032089784</c:v>
                </c:pt>
                <c:pt idx="2">
                  <c:v>0.48286028032089784</c:v>
                </c:pt>
                <c:pt idx="3">
                  <c:v>0.48286028032089784</c:v>
                </c:pt>
                <c:pt idx="4">
                  <c:v>0.48286028032089784</c:v>
                </c:pt>
                <c:pt idx="5">
                  <c:v>0.48286028032089784</c:v>
                </c:pt>
                <c:pt idx="6">
                  <c:v>0.48286028032089784</c:v>
                </c:pt>
                <c:pt idx="7">
                  <c:v>0.48286028032089784</c:v>
                </c:pt>
                <c:pt idx="8">
                  <c:v>0.48286028032089784</c:v>
                </c:pt>
                <c:pt idx="9">
                  <c:v>0.48286028032089784</c:v>
                </c:pt>
                <c:pt idx="10">
                  <c:v>0.48286028032089784</c:v>
                </c:pt>
                <c:pt idx="11">
                  <c:v>0.48286028032089784</c:v>
                </c:pt>
                <c:pt idx="12">
                  <c:v>0.48286028032089784</c:v>
                </c:pt>
                <c:pt idx="13">
                  <c:v>0.48286028032089784</c:v>
                </c:pt>
                <c:pt idx="14">
                  <c:v>0.48286028032089784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4-4103-902D-E8AE147A9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71680"/>
        <c:axId val="256954304"/>
      </c:lineChart>
      <c:catAx>
        <c:axId val="2752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56954304"/>
        <c:crosses val="autoZero"/>
        <c:auto val="1"/>
        <c:lblAlgn val="ctr"/>
        <c:lblOffset val="100"/>
        <c:noMultiLvlLbl val="0"/>
      </c:catAx>
      <c:valAx>
        <c:axId val="2569543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7527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2">
                  <c:v>469</c:v>
                </c:pt>
                <c:pt idx="3">
                  <c:v>5624</c:v>
                </c:pt>
                <c:pt idx="4">
                  <c:v>4414</c:v>
                </c:pt>
                <c:pt idx="5">
                  <c:v>4764</c:v>
                </c:pt>
                <c:pt idx="6">
                  <c:v>3402</c:v>
                </c:pt>
                <c:pt idx="7">
                  <c:v>6129</c:v>
                </c:pt>
                <c:pt idx="10">
                  <c:v>4379</c:v>
                </c:pt>
                <c:pt idx="11">
                  <c:v>3740</c:v>
                </c:pt>
                <c:pt idx="12">
                  <c:v>4709</c:v>
                </c:pt>
                <c:pt idx="13">
                  <c:v>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8-499C-BCE6-62B1BFFC6335}"/>
            </c:ext>
          </c:extLst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2580</c:v>
                </c:pt>
                <c:pt idx="2">
                  <c:v>470</c:v>
                </c:pt>
                <c:pt idx="3">
                  <c:v>5630</c:v>
                </c:pt>
                <c:pt idx="4">
                  <c:v>4420</c:v>
                </c:pt>
                <c:pt idx="5">
                  <c:v>4770</c:v>
                </c:pt>
                <c:pt idx="6">
                  <c:v>3410</c:v>
                </c:pt>
                <c:pt idx="7">
                  <c:v>6130</c:v>
                </c:pt>
                <c:pt idx="8">
                  <c:v>300</c:v>
                </c:pt>
                <c:pt idx="9">
                  <c:v>910</c:v>
                </c:pt>
                <c:pt idx="10">
                  <c:v>4380</c:v>
                </c:pt>
                <c:pt idx="11">
                  <c:v>3740</c:v>
                </c:pt>
                <c:pt idx="12">
                  <c:v>4710</c:v>
                </c:pt>
                <c:pt idx="13">
                  <c:v>2210</c:v>
                </c:pt>
                <c:pt idx="14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8-499C-BCE6-62B1BFFC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92128"/>
        <c:axId val="488548608"/>
      </c:lineChart>
      <c:catAx>
        <c:axId val="2397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548608"/>
        <c:crosses val="autoZero"/>
        <c:auto val="1"/>
        <c:lblAlgn val="ctr"/>
        <c:lblOffset val="100"/>
        <c:noMultiLvlLbl val="0"/>
      </c:catAx>
      <c:valAx>
        <c:axId val="48854860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979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100%</c:v>
                </c:pt>
                <c:pt idx="4">
                  <c:v>83%</c:v>
                </c:pt>
                <c:pt idx="5">
                  <c:v>58%</c:v>
                </c:pt>
                <c:pt idx="6">
                  <c:v>71%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96%</c:v>
                </c:pt>
                <c:pt idx="11">
                  <c:v>25%</c:v>
                </c:pt>
                <c:pt idx="12">
                  <c:v>96%</c:v>
                </c:pt>
                <c:pt idx="13">
                  <c:v>54%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0.24946808510638299</c:v>
                </c:pt>
                <c:pt idx="3">
                  <c:v>0.99893428063943157</c:v>
                </c:pt>
                <c:pt idx="4">
                  <c:v>0.83220211161387636</c:v>
                </c:pt>
                <c:pt idx="5">
                  <c:v>0.58259958071278828</c:v>
                </c:pt>
                <c:pt idx="6">
                  <c:v>0.70667155425219952</c:v>
                </c:pt>
                <c:pt idx="7">
                  <c:v>0.99983686786296899</c:v>
                </c:pt>
                <c:pt idx="8">
                  <c:v>0</c:v>
                </c:pt>
                <c:pt idx="9">
                  <c:v>0</c:v>
                </c:pt>
                <c:pt idx="10">
                  <c:v>0.95811453576864536</c:v>
                </c:pt>
                <c:pt idx="11">
                  <c:v>0.25</c:v>
                </c:pt>
                <c:pt idx="12">
                  <c:v>0.95812986553432422</c:v>
                </c:pt>
                <c:pt idx="13">
                  <c:v>0.53970588235294115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1-455A-85EC-01B59A8F9B1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E1-455A-85EC-01B59A8F9B1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SLIDER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0.47171085092290393</c:v>
                </c:pt>
                <c:pt idx="1">
                  <c:v>0.47171085092290393</c:v>
                </c:pt>
                <c:pt idx="2">
                  <c:v>0.47171085092290393</c:v>
                </c:pt>
                <c:pt idx="3">
                  <c:v>0.47171085092290393</c:v>
                </c:pt>
                <c:pt idx="4">
                  <c:v>0.47171085092290393</c:v>
                </c:pt>
                <c:pt idx="5">
                  <c:v>0.47171085092290393</c:v>
                </c:pt>
                <c:pt idx="6">
                  <c:v>0.47171085092290393</c:v>
                </c:pt>
                <c:pt idx="7">
                  <c:v>0.47171085092290393</c:v>
                </c:pt>
                <c:pt idx="8">
                  <c:v>0.47171085092290393</c:v>
                </c:pt>
                <c:pt idx="9">
                  <c:v>0.47171085092290393</c:v>
                </c:pt>
                <c:pt idx="10">
                  <c:v>0.47171085092290393</c:v>
                </c:pt>
                <c:pt idx="11">
                  <c:v>0.47171085092290393</c:v>
                </c:pt>
                <c:pt idx="12">
                  <c:v>0.47171085092290393</c:v>
                </c:pt>
                <c:pt idx="13">
                  <c:v>0.47171085092290393</c:v>
                </c:pt>
                <c:pt idx="14">
                  <c:v>0.47171085092290393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1-455A-85EC-01B59A8F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93664"/>
        <c:axId val="488550336"/>
      </c:lineChart>
      <c:catAx>
        <c:axId val="2397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88550336"/>
        <c:crosses val="autoZero"/>
        <c:auto val="1"/>
        <c:lblAlgn val="ctr"/>
        <c:lblOffset val="100"/>
        <c:noMultiLvlLbl val="0"/>
      </c:catAx>
      <c:valAx>
        <c:axId val="4885503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979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32A-40C4-B873-6CE9E6D7A1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A-40C4-B873-6CE9E6D7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94176"/>
        <c:axId val="48855264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2A-40C4-B873-6CE9E6D7A1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A-40C4-B873-6CE9E6D7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94176"/>
        <c:axId val="488552640"/>
      </c:lineChart>
      <c:catAx>
        <c:axId val="23979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52640"/>
        <c:crosses val="autoZero"/>
        <c:auto val="1"/>
        <c:lblAlgn val="ctr"/>
        <c:lblOffset val="100"/>
        <c:noMultiLvlLbl val="0"/>
      </c:catAx>
      <c:valAx>
        <c:axId val="488552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979417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BODY/LID</c:v>
                </c:pt>
                <c:pt idx="8">
                  <c:v>BODY</c:v>
                </c:pt>
                <c:pt idx="9">
                  <c:v>STOPPER</c:v>
                </c:pt>
                <c:pt idx="10">
                  <c:v>FRONT/REAR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'28'!$L$6:$L$22</c:f>
              <c:numCache>
                <c:formatCode>_(* #,##0_);_(* \(#,##0\);_(* "-"_);_(@_)</c:formatCode>
                <c:ptCount val="17"/>
                <c:pt idx="3">
                  <c:v>4062</c:v>
                </c:pt>
                <c:pt idx="4">
                  <c:v>6139</c:v>
                </c:pt>
                <c:pt idx="5">
                  <c:v>1152</c:v>
                </c:pt>
                <c:pt idx="6">
                  <c:v>2644</c:v>
                </c:pt>
                <c:pt idx="7">
                  <c:v>1089</c:v>
                </c:pt>
                <c:pt idx="8">
                  <c:v>4960</c:v>
                </c:pt>
                <c:pt idx="9">
                  <c:v>6086</c:v>
                </c:pt>
                <c:pt idx="10">
                  <c:v>2238</c:v>
                </c:pt>
                <c:pt idx="11">
                  <c:v>788</c:v>
                </c:pt>
                <c:pt idx="12">
                  <c:v>4831</c:v>
                </c:pt>
                <c:pt idx="14">
                  <c:v>5205</c:v>
                </c:pt>
                <c:pt idx="15">
                  <c:v>4890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7-498C-8D0E-A8DC19ED1994}"/>
            </c:ext>
          </c:extLst>
        </c:ser>
        <c:ser>
          <c:idx val="1"/>
          <c:order val="1"/>
          <c:tx>
            <c:v>계획</c:v>
          </c:tx>
          <c:cat>
            <c:strRef>
              <c:f>'28'!$D$6:$D$22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BODY/LID</c:v>
                </c:pt>
                <c:pt idx="8">
                  <c:v>BODY</c:v>
                </c:pt>
                <c:pt idx="9">
                  <c:v>STOPPER</c:v>
                </c:pt>
                <c:pt idx="10">
                  <c:v>FRONT/REAR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'28'!$J$6:$J$22</c:f>
              <c:numCache>
                <c:formatCode>_(* #,##0_);_(* \(#,##0\);_(* "-"_);_(@_)</c:formatCode>
                <c:ptCount val="17"/>
                <c:pt idx="0">
                  <c:v>1970</c:v>
                </c:pt>
                <c:pt idx="1">
                  <c:v>2580</c:v>
                </c:pt>
                <c:pt idx="2">
                  <c:v>470</c:v>
                </c:pt>
                <c:pt idx="3">
                  <c:v>4070</c:v>
                </c:pt>
                <c:pt idx="4">
                  <c:v>6140</c:v>
                </c:pt>
                <c:pt idx="5">
                  <c:v>1160</c:v>
                </c:pt>
                <c:pt idx="6">
                  <c:v>2650</c:v>
                </c:pt>
                <c:pt idx="7">
                  <c:v>1090</c:v>
                </c:pt>
                <c:pt idx="8">
                  <c:v>4960</c:v>
                </c:pt>
                <c:pt idx="9">
                  <c:v>6090</c:v>
                </c:pt>
                <c:pt idx="10">
                  <c:v>2240</c:v>
                </c:pt>
                <c:pt idx="11">
                  <c:v>790</c:v>
                </c:pt>
                <c:pt idx="12">
                  <c:v>4840</c:v>
                </c:pt>
                <c:pt idx="13">
                  <c:v>3740</c:v>
                </c:pt>
                <c:pt idx="14">
                  <c:v>5210</c:v>
                </c:pt>
                <c:pt idx="15">
                  <c:v>4890</c:v>
                </c:pt>
                <c:pt idx="16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7-498C-8D0E-A8DC19ED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13792"/>
        <c:axId val="495617152"/>
      </c:lineChart>
      <c:catAx>
        <c:axId val="2413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617152"/>
        <c:crosses val="autoZero"/>
        <c:auto val="1"/>
        <c:lblAlgn val="ctr"/>
        <c:lblOffset val="100"/>
        <c:noMultiLvlLbl val="0"/>
      </c:catAx>
      <c:valAx>
        <c:axId val="4956171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4131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87%</c:v>
                </c:pt>
                <c:pt idx="4">
                  <c:v>100%</c:v>
                </c:pt>
                <c:pt idx="5">
                  <c:v>17%</c:v>
                </c:pt>
                <c:pt idx="6">
                  <c:v>54%</c:v>
                </c:pt>
                <c:pt idx="7">
                  <c:v>25%</c:v>
                </c:pt>
                <c:pt idx="8">
                  <c:v>100%</c:v>
                </c:pt>
                <c:pt idx="9">
                  <c:v>100%</c:v>
                </c:pt>
                <c:pt idx="10">
                  <c:v>67%</c:v>
                </c:pt>
                <c:pt idx="11">
                  <c:v>21%</c:v>
                </c:pt>
                <c:pt idx="12">
                  <c:v>100%</c:v>
                </c:pt>
                <c:pt idx="13">
                  <c:v>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BODY/LID</c:v>
                </c:pt>
                <c:pt idx="8">
                  <c:v>BODY</c:v>
                </c:pt>
                <c:pt idx="9">
                  <c:v>STOPPER</c:v>
                </c:pt>
                <c:pt idx="10">
                  <c:v>FRONT/REAR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'28'!$AD$6:$AD$22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0.87328009828009834</c:v>
                </c:pt>
                <c:pt idx="4">
                  <c:v>0.99983713355048864</c:v>
                </c:pt>
                <c:pt idx="5">
                  <c:v>0.16551724137931034</c:v>
                </c:pt>
                <c:pt idx="6">
                  <c:v>0.540440251572327</c:v>
                </c:pt>
                <c:pt idx="7">
                  <c:v>0.24977064220183487</c:v>
                </c:pt>
                <c:pt idx="8">
                  <c:v>1</c:v>
                </c:pt>
                <c:pt idx="9">
                  <c:v>0.99934318555008206</c:v>
                </c:pt>
                <c:pt idx="10">
                  <c:v>0.66607142857142854</c:v>
                </c:pt>
                <c:pt idx="11">
                  <c:v>0.2078059071729958</c:v>
                </c:pt>
                <c:pt idx="12">
                  <c:v>0.99814049586776854</c:v>
                </c:pt>
                <c:pt idx="13">
                  <c:v>0</c:v>
                </c:pt>
                <c:pt idx="14">
                  <c:v>0.99904030710172742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5-48C3-8B47-663F2E8668C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B5-48C3-8B47-663F2E8668C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BODY/LID</c:v>
                </c:pt>
                <c:pt idx="8">
                  <c:v>BODY</c:v>
                </c:pt>
                <c:pt idx="9">
                  <c:v>STOPPER</c:v>
                </c:pt>
                <c:pt idx="10">
                  <c:v>FRONT/REAR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'28'!$AE$6:$AE$22</c:f>
              <c:numCache>
                <c:formatCode>0%</c:formatCode>
                <c:ptCount val="17"/>
                <c:pt idx="0">
                  <c:v>0.57994977941653736</c:v>
                </c:pt>
                <c:pt idx="1">
                  <c:v>0.57994977941653736</c:v>
                </c:pt>
                <c:pt idx="2">
                  <c:v>0.57994977941653736</c:v>
                </c:pt>
                <c:pt idx="3">
                  <c:v>0.57994977941653736</c:v>
                </c:pt>
                <c:pt idx="4">
                  <c:v>0.57994977941653736</c:v>
                </c:pt>
                <c:pt idx="5">
                  <c:v>0.57994977941653736</c:v>
                </c:pt>
                <c:pt idx="6">
                  <c:v>0.57994977941653736</c:v>
                </c:pt>
                <c:pt idx="7">
                  <c:v>0.57994977941653736</c:v>
                </c:pt>
                <c:pt idx="8">
                  <c:v>0.57994977941653736</c:v>
                </c:pt>
                <c:pt idx="9">
                  <c:v>0.57994977941653736</c:v>
                </c:pt>
                <c:pt idx="10">
                  <c:v>0.57994977941653736</c:v>
                </c:pt>
                <c:pt idx="11">
                  <c:v>0.57994977941653736</c:v>
                </c:pt>
                <c:pt idx="12">
                  <c:v>0.57994977941653736</c:v>
                </c:pt>
                <c:pt idx="13">
                  <c:v>0.57994977941653736</c:v>
                </c:pt>
                <c:pt idx="14">
                  <c:v>0.57994977941653736</c:v>
                </c:pt>
                <c:pt idx="15">
                  <c:v>0.57994977941653736</c:v>
                </c:pt>
                <c:pt idx="16">
                  <c:v>0.57994977941653736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5-48C3-8B47-663F2E866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15328"/>
        <c:axId val="495618880"/>
      </c:lineChart>
      <c:catAx>
        <c:axId val="24131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95618880"/>
        <c:crosses val="autoZero"/>
        <c:auto val="1"/>
        <c:lblAlgn val="ctr"/>
        <c:lblOffset val="100"/>
        <c:noMultiLvlLbl val="0"/>
      </c:catAx>
      <c:valAx>
        <c:axId val="4956188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4131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BODY/LID</c:v>
                </c:pt>
                <c:pt idx="8">
                  <c:v>BODY</c:v>
                </c:pt>
                <c:pt idx="9">
                  <c:v>STOPPER</c:v>
                </c:pt>
                <c:pt idx="10">
                  <c:v>FRONT/REAR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'28'!$L$6:$L$22</c:f>
              <c:numCache>
                <c:formatCode>_(* #,##0_);_(* \(#,##0\);_(* "-"_);_(@_)</c:formatCode>
                <c:ptCount val="17"/>
                <c:pt idx="3">
                  <c:v>4062</c:v>
                </c:pt>
                <c:pt idx="4">
                  <c:v>6139</c:v>
                </c:pt>
                <c:pt idx="5">
                  <c:v>1152</c:v>
                </c:pt>
                <c:pt idx="6">
                  <c:v>2644</c:v>
                </c:pt>
                <c:pt idx="7">
                  <c:v>1089</c:v>
                </c:pt>
                <c:pt idx="8">
                  <c:v>4960</c:v>
                </c:pt>
                <c:pt idx="9">
                  <c:v>6086</c:v>
                </c:pt>
                <c:pt idx="10">
                  <c:v>2238</c:v>
                </c:pt>
                <c:pt idx="11">
                  <c:v>788</c:v>
                </c:pt>
                <c:pt idx="12">
                  <c:v>4831</c:v>
                </c:pt>
                <c:pt idx="14">
                  <c:v>5205</c:v>
                </c:pt>
                <c:pt idx="15">
                  <c:v>4890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0-4326-9124-9A3B6130B585}"/>
            </c:ext>
          </c:extLst>
        </c:ser>
        <c:ser>
          <c:idx val="1"/>
          <c:order val="1"/>
          <c:tx>
            <c:v>계획</c:v>
          </c:tx>
          <c:cat>
            <c:strRef>
              <c:f>'28'!$D$6:$D$22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BODY/LID</c:v>
                </c:pt>
                <c:pt idx="8">
                  <c:v>BODY</c:v>
                </c:pt>
                <c:pt idx="9">
                  <c:v>STOPPER</c:v>
                </c:pt>
                <c:pt idx="10">
                  <c:v>FRONT/REAR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'28'!$J$6:$J$22</c:f>
              <c:numCache>
                <c:formatCode>_(* #,##0_);_(* \(#,##0\);_(* "-"_);_(@_)</c:formatCode>
                <c:ptCount val="17"/>
                <c:pt idx="0">
                  <c:v>1970</c:v>
                </c:pt>
                <c:pt idx="1">
                  <c:v>2580</c:v>
                </c:pt>
                <c:pt idx="2">
                  <c:v>470</c:v>
                </c:pt>
                <c:pt idx="3">
                  <c:v>4070</c:v>
                </c:pt>
                <c:pt idx="4">
                  <c:v>6140</c:v>
                </c:pt>
                <c:pt idx="5">
                  <c:v>1160</c:v>
                </c:pt>
                <c:pt idx="6">
                  <c:v>2650</c:v>
                </c:pt>
                <c:pt idx="7">
                  <c:v>1090</c:v>
                </c:pt>
                <c:pt idx="8">
                  <c:v>4960</c:v>
                </c:pt>
                <c:pt idx="9">
                  <c:v>6090</c:v>
                </c:pt>
                <c:pt idx="10">
                  <c:v>2240</c:v>
                </c:pt>
                <c:pt idx="11">
                  <c:v>790</c:v>
                </c:pt>
                <c:pt idx="12">
                  <c:v>4840</c:v>
                </c:pt>
                <c:pt idx="13">
                  <c:v>3740</c:v>
                </c:pt>
                <c:pt idx="14">
                  <c:v>5210</c:v>
                </c:pt>
                <c:pt idx="15">
                  <c:v>4890</c:v>
                </c:pt>
                <c:pt idx="16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0-4326-9124-9A3B6130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14848"/>
        <c:axId val="495621184"/>
      </c:lineChart>
      <c:catAx>
        <c:axId val="2416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621184"/>
        <c:crosses val="autoZero"/>
        <c:auto val="1"/>
        <c:lblAlgn val="ctr"/>
        <c:lblOffset val="100"/>
        <c:noMultiLvlLbl val="0"/>
      </c:catAx>
      <c:valAx>
        <c:axId val="4956211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41614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87%</c:v>
                </c:pt>
                <c:pt idx="4">
                  <c:v>100%</c:v>
                </c:pt>
                <c:pt idx="5">
                  <c:v>17%</c:v>
                </c:pt>
                <c:pt idx="6">
                  <c:v>54%</c:v>
                </c:pt>
                <c:pt idx="7">
                  <c:v>25%</c:v>
                </c:pt>
                <c:pt idx="8">
                  <c:v>100%</c:v>
                </c:pt>
                <c:pt idx="9">
                  <c:v>100%</c:v>
                </c:pt>
                <c:pt idx="10">
                  <c:v>67%</c:v>
                </c:pt>
                <c:pt idx="11">
                  <c:v>21%</c:v>
                </c:pt>
                <c:pt idx="12">
                  <c:v>100%</c:v>
                </c:pt>
                <c:pt idx="13">
                  <c:v>0%</c:v>
                </c:pt>
                <c:pt idx="14">
                  <c:v>100%</c:v>
                </c:pt>
                <c:pt idx="15">
                  <c:v>100%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BODY/LID</c:v>
                </c:pt>
                <c:pt idx="8">
                  <c:v>BODY</c:v>
                </c:pt>
                <c:pt idx="9">
                  <c:v>STOPPER</c:v>
                </c:pt>
                <c:pt idx="10">
                  <c:v>FRONT/REAR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'28'!$AD$6:$AD$22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0.87328009828009834</c:v>
                </c:pt>
                <c:pt idx="4">
                  <c:v>0.99983713355048864</c:v>
                </c:pt>
                <c:pt idx="5">
                  <c:v>0.16551724137931034</c:v>
                </c:pt>
                <c:pt idx="6">
                  <c:v>0.540440251572327</c:v>
                </c:pt>
                <c:pt idx="7">
                  <c:v>0.24977064220183487</c:v>
                </c:pt>
                <c:pt idx="8">
                  <c:v>1</c:v>
                </c:pt>
                <c:pt idx="9">
                  <c:v>0.99934318555008206</c:v>
                </c:pt>
                <c:pt idx="10">
                  <c:v>0.66607142857142854</c:v>
                </c:pt>
                <c:pt idx="11">
                  <c:v>0.2078059071729958</c:v>
                </c:pt>
                <c:pt idx="12">
                  <c:v>0.99814049586776854</c:v>
                </c:pt>
                <c:pt idx="13">
                  <c:v>0</c:v>
                </c:pt>
                <c:pt idx="14">
                  <c:v>0.99904030710172742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D2D-AE7A-AD179FE9998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85-4D2D-AE7A-AD179FE999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BODY/LID</c:v>
                </c:pt>
                <c:pt idx="8">
                  <c:v>BODY</c:v>
                </c:pt>
                <c:pt idx="9">
                  <c:v>STOPPER</c:v>
                </c:pt>
                <c:pt idx="10">
                  <c:v>FRONT/REAR</c:v>
                </c:pt>
                <c:pt idx="11">
                  <c:v>ADAPTER</c:v>
                </c:pt>
                <c:pt idx="12">
                  <c:v>BODY</c:v>
                </c:pt>
                <c:pt idx="13">
                  <c:v>F/ADAPTER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'28'!$AE$6:$AE$22</c:f>
              <c:numCache>
                <c:formatCode>0%</c:formatCode>
                <c:ptCount val="17"/>
                <c:pt idx="0">
                  <c:v>0.57994977941653736</c:v>
                </c:pt>
                <c:pt idx="1">
                  <c:v>0.57994977941653736</c:v>
                </c:pt>
                <c:pt idx="2">
                  <c:v>0.57994977941653736</c:v>
                </c:pt>
                <c:pt idx="3">
                  <c:v>0.57994977941653736</c:v>
                </c:pt>
                <c:pt idx="4">
                  <c:v>0.57994977941653736</c:v>
                </c:pt>
                <c:pt idx="5">
                  <c:v>0.57994977941653736</c:v>
                </c:pt>
                <c:pt idx="6">
                  <c:v>0.57994977941653736</c:v>
                </c:pt>
                <c:pt idx="7">
                  <c:v>0.57994977941653736</c:v>
                </c:pt>
                <c:pt idx="8">
                  <c:v>0.57994977941653736</c:v>
                </c:pt>
                <c:pt idx="9">
                  <c:v>0.57994977941653736</c:v>
                </c:pt>
                <c:pt idx="10">
                  <c:v>0.57994977941653736</c:v>
                </c:pt>
                <c:pt idx="11">
                  <c:v>0.57994977941653736</c:v>
                </c:pt>
                <c:pt idx="12">
                  <c:v>0.57994977941653736</c:v>
                </c:pt>
                <c:pt idx="13">
                  <c:v>0.57994977941653736</c:v>
                </c:pt>
                <c:pt idx="14">
                  <c:v>0.57994977941653736</c:v>
                </c:pt>
                <c:pt idx="15">
                  <c:v>0.57994977941653736</c:v>
                </c:pt>
                <c:pt idx="16">
                  <c:v>0.57994977941653736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D2D-AE7A-AD179FE99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15872"/>
        <c:axId val="495622912"/>
      </c:lineChart>
      <c:catAx>
        <c:axId val="2416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95622912"/>
        <c:crosses val="autoZero"/>
        <c:auto val="1"/>
        <c:lblAlgn val="ctr"/>
        <c:lblOffset val="100"/>
        <c:noMultiLvlLbl val="0"/>
      </c:catAx>
      <c:valAx>
        <c:axId val="4956229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4161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EB8-466C-B77A-A12137BE5C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8-466C-B77A-A12137BE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94688"/>
        <c:axId val="56316838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B8-466C-B77A-A12137BE5C6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8-466C-B77A-A12137BE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94688"/>
        <c:axId val="563168384"/>
      </c:lineChart>
      <c:catAx>
        <c:axId val="23979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8384"/>
        <c:crosses val="autoZero"/>
        <c:auto val="1"/>
        <c:lblAlgn val="ctr"/>
        <c:lblOffset val="100"/>
        <c:noMultiLvlLbl val="0"/>
      </c:catAx>
      <c:valAx>
        <c:axId val="563168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979468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STOPPER</c:v>
                </c:pt>
                <c:pt idx="8">
                  <c:v>FRONT/REAR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FLOAT</c:v>
                </c:pt>
                <c:pt idx="13">
                  <c:v>BASE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1">
                  <c:v>2564</c:v>
                </c:pt>
                <c:pt idx="3">
                  <c:v>5654</c:v>
                </c:pt>
                <c:pt idx="4">
                  <c:v>6171</c:v>
                </c:pt>
                <c:pt idx="5">
                  <c:v>5488</c:v>
                </c:pt>
                <c:pt idx="6">
                  <c:v>4419</c:v>
                </c:pt>
                <c:pt idx="7">
                  <c:v>5052</c:v>
                </c:pt>
                <c:pt idx="9">
                  <c:v>1634</c:v>
                </c:pt>
                <c:pt idx="10">
                  <c:v>4901</c:v>
                </c:pt>
                <c:pt idx="11">
                  <c:v>2590</c:v>
                </c:pt>
                <c:pt idx="12">
                  <c:v>4942</c:v>
                </c:pt>
                <c:pt idx="13">
                  <c:v>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E-43DC-B40F-3E4B62CF1DA1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STOPPER</c:v>
                </c:pt>
                <c:pt idx="8">
                  <c:v>FRONT/REAR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FLOAT</c:v>
                </c:pt>
                <c:pt idx="13">
                  <c:v>BASE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2570</c:v>
                </c:pt>
                <c:pt idx="2">
                  <c:v>470</c:v>
                </c:pt>
                <c:pt idx="3">
                  <c:v>5660</c:v>
                </c:pt>
                <c:pt idx="4">
                  <c:v>6180</c:v>
                </c:pt>
                <c:pt idx="5">
                  <c:v>5490</c:v>
                </c:pt>
                <c:pt idx="6">
                  <c:v>4420</c:v>
                </c:pt>
                <c:pt idx="7">
                  <c:v>5060</c:v>
                </c:pt>
                <c:pt idx="8">
                  <c:v>2240</c:v>
                </c:pt>
                <c:pt idx="9">
                  <c:v>1640</c:v>
                </c:pt>
                <c:pt idx="10">
                  <c:v>4910</c:v>
                </c:pt>
                <c:pt idx="11">
                  <c:v>2590</c:v>
                </c:pt>
                <c:pt idx="12">
                  <c:v>4950</c:v>
                </c:pt>
                <c:pt idx="13">
                  <c:v>4930</c:v>
                </c:pt>
                <c:pt idx="14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E-43DC-B40F-3E4B62CF1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404672"/>
        <c:axId val="635839616"/>
      </c:lineChart>
      <c:catAx>
        <c:axId val="2694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5839616"/>
        <c:crosses val="autoZero"/>
        <c:auto val="1"/>
        <c:lblAlgn val="ctr"/>
        <c:lblOffset val="100"/>
        <c:noMultiLvlLbl val="0"/>
      </c:catAx>
      <c:valAx>
        <c:axId val="6358396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6940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33%</c:v>
                </c:pt>
                <c:pt idx="2">
                  <c:v>0%</c:v>
                </c:pt>
                <c:pt idx="3">
                  <c:v>100%</c:v>
                </c:pt>
                <c:pt idx="4">
                  <c:v>100%</c:v>
                </c:pt>
                <c:pt idx="5">
                  <c:v>100%</c:v>
                </c:pt>
                <c:pt idx="6">
                  <c:v>92%</c:v>
                </c:pt>
                <c:pt idx="7">
                  <c:v>87%</c:v>
                </c:pt>
                <c:pt idx="8">
                  <c:v>0%</c:v>
                </c:pt>
                <c:pt idx="9">
                  <c:v>42%</c:v>
                </c:pt>
                <c:pt idx="10">
                  <c:v>100%</c:v>
                </c:pt>
                <c:pt idx="11">
                  <c:v>54%</c:v>
                </c:pt>
                <c:pt idx="12">
                  <c:v>96%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STOPPER</c:v>
                </c:pt>
                <c:pt idx="8">
                  <c:v>FRONT/REAR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FLOAT</c:v>
                </c:pt>
                <c:pt idx="13">
                  <c:v>BASE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0.3325551232166018</c:v>
                </c:pt>
                <c:pt idx="2">
                  <c:v>0</c:v>
                </c:pt>
                <c:pt idx="3">
                  <c:v>0.99893992932862186</c:v>
                </c:pt>
                <c:pt idx="4">
                  <c:v>0.99854368932038839</c:v>
                </c:pt>
                <c:pt idx="5">
                  <c:v>0.99963570127504553</c:v>
                </c:pt>
                <c:pt idx="6">
                  <c:v>0.91645927601809951</c:v>
                </c:pt>
                <c:pt idx="7">
                  <c:v>0.87361660079051384</c:v>
                </c:pt>
                <c:pt idx="8">
                  <c:v>0</c:v>
                </c:pt>
                <c:pt idx="9">
                  <c:v>0.41514227642276424</c:v>
                </c:pt>
                <c:pt idx="10">
                  <c:v>0.99816700610997966</c:v>
                </c:pt>
                <c:pt idx="11">
                  <c:v>0.54166666666666663</c:v>
                </c:pt>
                <c:pt idx="12">
                  <c:v>0.95678451178451185</c:v>
                </c:pt>
                <c:pt idx="13">
                  <c:v>0.99858012170385391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2-4CC8-AEAE-0677D9BEB64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E2-4CC8-AEAE-0677D9BEB6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STOPPER</c:v>
                </c:pt>
                <c:pt idx="8">
                  <c:v>FRONT/REAR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FLOAT</c:v>
                </c:pt>
                <c:pt idx="13">
                  <c:v>BASE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0.60200606017580316</c:v>
                </c:pt>
                <c:pt idx="1">
                  <c:v>0.60200606017580316</c:v>
                </c:pt>
                <c:pt idx="2">
                  <c:v>0.60200606017580316</c:v>
                </c:pt>
                <c:pt idx="3">
                  <c:v>0.60200606017580316</c:v>
                </c:pt>
                <c:pt idx="4">
                  <c:v>0.60200606017580316</c:v>
                </c:pt>
                <c:pt idx="5">
                  <c:v>0.60200606017580316</c:v>
                </c:pt>
                <c:pt idx="6">
                  <c:v>0.60200606017580316</c:v>
                </c:pt>
                <c:pt idx="7">
                  <c:v>0.60200606017580316</c:v>
                </c:pt>
                <c:pt idx="8">
                  <c:v>0.60200606017580316</c:v>
                </c:pt>
                <c:pt idx="9">
                  <c:v>0.60200606017580316</c:v>
                </c:pt>
                <c:pt idx="10">
                  <c:v>0.60200606017580316</c:v>
                </c:pt>
                <c:pt idx="11">
                  <c:v>0.60200606017580316</c:v>
                </c:pt>
                <c:pt idx="12">
                  <c:v>0.60200606017580316</c:v>
                </c:pt>
                <c:pt idx="13">
                  <c:v>0.60200606017580316</c:v>
                </c:pt>
                <c:pt idx="14">
                  <c:v>0.60200606017580316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2-4CC8-AEAE-0677D9BE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405184"/>
        <c:axId val="635841920"/>
      </c:lineChart>
      <c:catAx>
        <c:axId val="26940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35841920"/>
        <c:crosses val="autoZero"/>
        <c:auto val="1"/>
        <c:lblAlgn val="ctr"/>
        <c:lblOffset val="100"/>
        <c:noMultiLvlLbl val="0"/>
      </c:catAx>
      <c:valAx>
        <c:axId val="6358419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6940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074-45E3-80B7-30978588A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5E3-80B7-30978588A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72192"/>
        <c:axId val="2569566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74-45E3-80B7-30978588AD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4-45E3-80B7-30978588A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72192"/>
        <c:axId val="256956608"/>
      </c:lineChart>
      <c:catAx>
        <c:axId val="27527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956608"/>
        <c:crosses val="autoZero"/>
        <c:auto val="1"/>
        <c:lblAlgn val="ctr"/>
        <c:lblOffset val="100"/>
        <c:noMultiLvlLbl val="0"/>
      </c:catAx>
      <c:valAx>
        <c:axId val="256956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527219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STOPPER</c:v>
                </c:pt>
                <c:pt idx="8">
                  <c:v>FRONT/REAR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FLOAT</c:v>
                </c:pt>
                <c:pt idx="13">
                  <c:v>BASE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1">
                  <c:v>2564</c:v>
                </c:pt>
                <c:pt idx="3">
                  <c:v>5654</c:v>
                </c:pt>
                <c:pt idx="4">
                  <c:v>6171</c:v>
                </c:pt>
                <c:pt idx="5">
                  <c:v>5488</c:v>
                </c:pt>
                <c:pt idx="6">
                  <c:v>4419</c:v>
                </c:pt>
                <c:pt idx="7">
                  <c:v>5052</c:v>
                </c:pt>
                <c:pt idx="9">
                  <c:v>1634</c:v>
                </c:pt>
                <c:pt idx="10">
                  <c:v>4901</c:v>
                </c:pt>
                <c:pt idx="11">
                  <c:v>2590</c:v>
                </c:pt>
                <c:pt idx="12">
                  <c:v>4942</c:v>
                </c:pt>
                <c:pt idx="13">
                  <c:v>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6-4D48-B01D-11CE630AC303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STOPPER</c:v>
                </c:pt>
                <c:pt idx="8">
                  <c:v>FRONT/REAR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FLOAT</c:v>
                </c:pt>
                <c:pt idx="13">
                  <c:v>BASE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2570</c:v>
                </c:pt>
                <c:pt idx="2">
                  <c:v>470</c:v>
                </c:pt>
                <c:pt idx="3">
                  <c:v>5660</c:v>
                </c:pt>
                <c:pt idx="4">
                  <c:v>6180</c:v>
                </c:pt>
                <c:pt idx="5">
                  <c:v>5490</c:v>
                </c:pt>
                <c:pt idx="6">
                  <c:v>4420</c:v>
                </c:pt>
                <c:pt idx="7">
                  <c:v>5060</c:v>
                </c:pt>
                <c:pt idx="8">
                  <c:v>2240</c:v>
                </c:pt>
                <c:pt idx="9">
                  <c:v>1640</c:v>
                </c:pt>
                <c:pt idx="10">
                  <c:v>4910</c:v>
                </c:pt>
                <c:pt idx="11">
                  <c:v>2590</c:v>
                </c:pt>
                <c:pt idx="12">
                  <c:v>4950</c:v>
                </c:pt>
                <c:pt idx="13">
                  <c:v>4930</c:v>
                </c:pt>
                <c:pt idx="14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6-4D48-B01D-11CE630A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405696"/>
        <c:axId val="635845376"/>
      </c:lineChart>
      <c:catAx>
        <c:axId val="2694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5845376"/>
        <c:crosses val="autoZero"/>
        <c:auto val="1"/>
        <c:lblAlgn val="ctr"/>
        <c:lblOffset val="100"/>
        <c:noMultiLvlLbl val="0"/>
      </c:catAx>
      <c:valAx>
        <c:axId val="6358453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6940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33%</c:v>
                </c:pt>
                <c:pt idx="2">
                  <c:v>0%</c:v>
                </c:pt>
                <c:pt idx="3">
                  <c:v>100%</c:v>
                </c:pt>
                <c:pt idx="4">
                  <c:v>100%</c:v>
                </c:pt>
                <c:pt idx="5">
                  <c:v>100%</c:v>
                </c:pt>
                <c:pt idx="6">
                  <c:v>92%</c:v>
                </c:pt>
                <c:pt idx="7">
                  <c:v>87%</c:v>
                </c:pt>
                <c:pt idx="8">
                  <c:v>0%</c:v>
                </c:pt>
                <c:pt idx="9">
                  <c:v>42%</c:v>
                </c:pt>
                <c:pt idx="10">
                  <c:v>100%</c:v>
                </c:pt>
                <c:pt idx="11">
                  <c:v>54%</c:v>
                </c:pt>
                <c:pt idx="12">
                  <c:v>96%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STOPPER</c:v>
                </c:pt>
                <c:pt idx="8">
                  <c:v>FRONT/REAR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FLOAT</c:v>
                </c:pt>
                <c:pt idx="13">
                  <c:v>BASE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0.3325551232166018</c:v>
                </c:pt>
                <c:pt idx="2">
                  <c:v>0</c:v>
                </c:pt>
                <c:pt idx="3">
                  <c:v>0.99893992932862186</c:v>
                </c:pt>
                <c:pt idx="4">
                  <c:v>0.99854368932038839</c:v>
                </c:pt>
                <c:pt idx="5">
                  <c:v>0.99963570127504553</c:v>
                </c:pt>
                <c:pt idx="6">
                  <c:v>0.91645927601809951</c:v>
                </c:pt>
                <c:pt idx="7">
                  <c:v>0.87361660079051384</c:v>
                </c:pt>
                <c:pt idx="8">
                  <c:v>0</c:v>
                </c:pt>
                <c:pt idx="9">
                  <c:v>0.41514227642276424</c:v>
                </c:pt>
                <c:pt idx="10">
                  <c:v>0.99816700610997966</c:v>
                </c:pt>
                <c:pt idx="11">
                  <c:v>0.54166666666666663</c:v>
                </c:pt>
                <c:pt idx="12">
                  <c:v>0.95678451178451185</c:v>
                </c:pt>
                <c:pt idx="13">
                  <c:v>0.99858012170385391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6-4192-9CB5-038A22F3C4A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F6-4192-9CB5-038A22F3C4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4LEAD</c:v>
                </c:pt>
                <c:pt idx="5">
                  <c:v>STOPPER</c:v>
                </c:pt>
                <c:pt idx="6">
                  <c:v>STOPPER</c:v>
                </c:pt>
                <c:pt idx="7">
                  <c:v>STOPPER</c:v>
                </c:pt>
                <c:pt idx="8">
                  <c:v>FRONT/REAR</c:v>
                </c:pt>
                <c:pt idx="9">
                  <c:v>ADAPTER</c:v>
                </c:pt>
                <c:pt idx="10">
                  <c:v>BODY</c:v>
                </c:pt>
                <c:pt idx="11">
                  <c:v>F/ADAPTER</c:v>
                </c:pt>
                <c:pt idx="12">
                  <c:v>FLOAT</c:v>
                </c:pt>
                <c:pt idx="13">
                  <c:v>BASE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0.60200606017580316</c:v>
                </c:pt>
                <c:pt idx="1">
                  <c:v>0.60200606017580316</c:v>
                </c:pt>
                <c:pt idx="2">
                  <c:v>0.60200606017580316</c:v>
                </c:pt>
                <c:pt idx="3">
                  <c:v>0.60200606017580316</c:v>
                </c:pt>
                <c:pt idx="4">
                  <c:v>0.60200606017580316</c:v>
                </c:pt>
                <c:pt idx="5">
                  <c:v>0.60200606017580316</c:v>
                </c:pt>
                <c:pt idx="6">
                  <c:v>0.60200606017580316</c:v>
                </c:pt>
                <c:pt idx="7">
                  <c:v>0.60200606017580316</c:v>
                </c:pt>
                <c:pt idx="8">
                  <c:v>0.60200606017580316</c:v>
                </c:pt>
                <c:pt idx="9">
                  <c:v>0.60200606017580316</c:v>
                </c:pt>
                <c:pt idx="10">
                  <c:v>0.60200606017580316</c:v>
                </c:pt>
                <c:pt idx="11">
                  <c:v>0.60200606017580316</c:v>
                </c:pt>
                <c:pt idx="12">
                  <c:v>0.60200606017580316</c:v>
                </c:pt>
                <c:pt idx="13">
                  <c:v>0.60200606017580316</c:v>
                </c:pt>
                <c:pt idx="14">
                  <c:v>0.60200606017580316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6-4192-9CB5-038A22F3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403136"/>
        <c:axId val="636085376"/>
      </c:lineChart>
      <c:catAx>
        <c:axId val="2694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636085376"/>
        <c:crosses val="autoZero"/>
        <c:auto val="1"/>
        <c:lblAlgn val="ctr"/>
        <c:lblOffset val="100"/>
        <c:noMultiLvlLbl val="0"/>
      </c:catAx>
      <c:valAx>
        <c:axId val="6360853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6940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125-43DA-8A63-A4FB7B6AF5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5-43DA-8A63-A4FB7B6A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87456"/>
        <c:axId val="63608883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25-43DA-8A63-A4FB7B6AF51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5-43DA-8A63-A4FB7B6A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87456"/>
        <c:axId val="636088832"/>
      </c:lineChart>
      <c:catAx>
        <c:axId val="27598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88832"/>
        <c:crosses val="autoZero"/>
        <c:auto val="1"/>
        <c:lblAlgn val="ctr"/>
        <c:lblOffset val="100"/>
        <c:noMultiLvlLbl val="0"/>
      </c:catAx>
      <c:valAx>
        <c:axId val="636088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598745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BASE</c:v>
                </c:pt>
                <c:pt idx="5">
                  <c:v>STOPPER</c:v>
                </c:pt>
                <c:pt idx="6">
                  <c:v>STOPPER</c:v>
                </c:pt>
                <c:pt idx="7">
                  <c:v>LEAD GUIDE</c:v>
                </c:pt>
                <c:pt idx="8">
                  <c:v>STOPPER</c:v>
                </c:pt>
                <c:pt idx="9">
                  <c:v>FRONT/REAR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'30'!$L$6:$L$21</c:f>
              <c:numCache>
                <c:formatCode>_(* #,##0_);_(* \(#,##0\);_(* "-"_);_(@_)</c:formatCode>
                <c:ptCount val="16"/>
                <c:pt idx="3">
                  <c:v>5634</c:v>
                </c:pt>
                <c:pt idx="4">
                  <c:v>1607</c:v>
                </c:pt>
                <c:pt idx="5">
                  <c:v>5515</c:v>
                </c:pt>
                <c:pt idx="6">
                  <c:v>1379</c:v>
                </c:pt>
                <c:pt idx="7">
                  <c:v>3820</c:v>
                </c:pt>
                <c:pt idx="8">
                  <c:v>6112</c:v>
                </c:pt>
                <c:pt idx="11">
                  <c:v>4882</c:v>
                </c:pt>
                <c:pt idx="12">
                  <c:v>6453</c:v>
                </c:pt>
                <c:pt idx="13">
                  <c:v>4066</c:v>
                </c:pt>
                <c:pt idx="14">
                  <c:v>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B-4949-9112-7E090FD2E29B}"/>
            </c:ext>
          </c:extLst>
        </c:ser>
        <c:ser>
          <c:idx val="1"/>
          <c:order val="1"/>
          <c:tx>
            <c:v>계획</c:v>
          </c:tx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BASE</c:v>
                </c:pt>
                <c:pt idx="5">
                  <c:v>STOPPER</c:v>
                </c:pt>
                <c:pt idx="6">
                  <c:v>STOPPER</c:v>
                </c:pt>
                <c:pt idx="7">
                  <c:v>LEAD GUIDE</c:v>
                </c:pt>
                <c:pt idx="8">
                  <c:v>STOPPER</c:v>
                </c:pt>
                <c:pt idx="9">
                  <c:v>FRONT/REAR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'30'!$J$6:$J$21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2570</c:v>
                </c:pt>
                <c:pt idx="2">
                  <c:v>470</c:v>
                </c:pt>
                <c:pt idx="3">
                  <c:v>5640</c:v>
                </c:pt>
                <c:pt idx="4">
                  <c:v>1610</c:v>
                </c:pt>
                <c:pt idx="5">
                  <c:v>5520</c:v>
                </c:pt>
                <c:pt idx="6">
                  <c:v>1380</c:v>
                </c:pt>
                <c:pt idx="7">
                  <c:v>3820</c:v>
                </c:pt>
                <c:pt idx="8">
                  <c:v>6120</c:v>
                </c:pt>
                <c:pt idx="9">
                  <c:v>2240</c:v>
                </c:pt>
                <c:pt idx="10">
                  <c:v>1640</c:v>
                </c:pt>
                <c:pt idx="11">
                  <c:v>4890</c:v>
                </c:pt>
                <c:pt idx="12">
                  <c:v>6460</c:v>
                </c:pt>
                <c:pt idx="13">
                  <c:v>4070</c:v>
                </c:pt>
                <c:pt idx="14">
                  <c:v>4910</c:v>
                </c:pt>
                <c:pt idx="15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B-4949-9112-7E090FD2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79360"/>
        <c:axId val="157116672"/>
      </c:lineChart>
      <c:catAx>
        <c:axId val="2336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116672"/>
        <c:crosses val="autoZero"/>
        <c:auto val="1"/>
        <c:lblAlgn val="ctr"/>
        <c:lblOffset val="100"/>
        <c:noMultiLvlLbl val="0"/>
      </c:catAx>
      <c:valAx>
        <c:axId val="1571166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67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42%</c:v>
                </c:pt>
                <c:pt idx="5">
                  <c:v>100%</c:v>
                </c:pt>
                <c:pt idx="6">
                  <c:v>25%</c:v>
                </c:pt>
                <c:pt idx="7">
                  <c:v>75%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100%</c:v>
                </c:pt>
                <c:pt idx="13">
                  <c:v>87%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BASE</c:v>
                </c:pt>
                <c:pt idx="5">
                  <c:v>STOPPER</c:v>
                </c:pt>
                <c:pt idx="6">
                  <c:v>STOPPER</c:v>
                </c:pt>
                <c:pt idx="7">
                  <c:v>LEAD GUIDE</c:v>
                </c:pt>
                <c:pt idx="8">
                  <c:v>STOPPER</c:v>
                </c:pt>
                <c:pt idx="9">
                  <c:v>FRONT/REAR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0.99893617021276593</c:v>
                </c:pt>
                <c:pt idx="4">
                  <c:v>0.41589026915113869</c:v>
                </c:pt>
                <c:pt idx="5">
                  <c:v>0.99909420289855078</c:v>
                </c:pt>
                <c:pt idx="6">
                  <c:v>0.24981884057971016</c:v>
                </c:pt>
                <c:pt idx="7">
                  <c:v>0.75</c:v>
                </c:pt>
                <c:pt idx="8">
                  <c:v>0.99869281045751634</c:v>
                </c:pt>
                <c:pt idx="9">
                  <c:v>0</c:v>
                </c:pt>
                <c:pt idx="10">
                  <c:v>0</c:v>
                </c:pt>
                <c:pt idx="11">
                  <c:v>0.99836400817995907</c:v>
                </c:pt>
                <c:pt idx="12">
                  <c:v>0.99891640866873066</c:v>
                </c:pt>
                <c:pt idx="13">
                  <c:v>0.87414004914004906</c:v>
                </c:pt>
                <c:pt idx="14">
                  <c:v>0.99877800407331974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C-4395-A5D7-FE962F743EF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C-4395-A5D7-FE962F743E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BASE</c:v>
                </c:pt>
                <c:pt idx="5">
                  <c:v>STOPPER</c:v>
                </c:pt>
                <c:pt idx="6">
                  <c:v>STOPPER</c:v>
                </c:pt>
                <c:pt idx="7">
                  <c:v>LEAD GUIDE</c:v>
                </c:pt>
                <c:pt idx="8">
                  <c:v>STOPPER</c:v>
                </c:pt>
                <c:pt idx="9">
                  <c:v>FRONT/REAR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'30'!$AE$6:$AE$21</c:f>
              <c:numCache>
                <c:formatCode>0%</c:formatCode>
                <c:ptCount val="16"/>
                <c:pt idx="0">
                  <c:v>0.55217538422411605</c:v>
                </c:pt>
                <c:pt idx="1">
                  <c:v>0.55217538422411605</c:v>
                </c:pt>
                <c:pt idx="2">
                  <c:v>0.55217538422411605</c:v>
                </c:pt>
                <c:pt idx="3">
                  <c:v>0.55217538422411605</c:v>
                </c:pt>
                <c:pt idx="4">
                  <c:v>0.55217538422411605</c:v>
                </c:pt>
                <c:pt idx="5">
                  <c:v>0.55217538422411605</c:v>
                </c:pt>
                <c:pt idx="6">
                  <c:v>0.55217538422411605</c:v>
                </c:pt>
                <c:pt idx="7">
                  <c:v>0.55217538422411605</c:v>
                </c:pt>
                <c:pt idx="8">
                  <c:v>0.55217538422411605</c:v>
                </c:pt>
                <c:pt idx="9">
                  <c:v>0.55217538422411605</c:v>
                </c:pt>
                <c:pt idx="10">
                  <c:v>0.55217538422411605</c:v>
                </c:pt>
                <c:pt idx="11">
                  <c:v>0.55217538422411605</c:v>
                </c:pt>
                <c:pt idx="12">
                  <c:v>0.55217538422411605</c:v>
                </c:pt>
                <c:pt idx="13">
                  <c:v>0.55217538422411605</c:v>
                </c:pt>
                <c:pt idx="14">
                  <c:v>0.55217538422411605</c:v>
                </c:pt>
                <c:pt idx="15">
                  <c:v>0.55217538422411605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C-4395-A5D7-FE962F74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80384"/>
        <c:axId val="157118976"/>
      </c:lineChart>
      <c:catAx>
        <c:axId val="2336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57118976"/>
        <c:crosses val="autoZero"/>
        <c:auto val="1"/>
        <c:lblAlgn val="ctr"/>
        <c:lblOffset val="100"/>
        <c:noMultiLvlLbl val="0"/>
      </c:catAx>
      <c:valAx>
        <c:axId val="1571189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68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BASE</c:v>
                </c:pt>
                <c:pt idx="5">
                  <c:v>STOPPER</c:v>
                </c:pt>
                <c:pt idx="6">
                  <c:v>STOPPER</c:v>
                </c:pt>
                <c:pt idx="7">
                  <c:v>LEAD GUIDE</c:v>
                </c:pt>
                <c:pt idx="8">
                  <c:v>STOPPER</c:v>
                </c:pt>
                <c:pt idx="9">
                  <c:v>FRONT/REAR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'30'!$L$6:$L$21</c:f>
              <c:numCache>
                <c:formatCode>_(* #,##0_);_(* \(#,##0\);_(* "-"_);_(@_)</c:formatCode>
                <c:ptCount val="16"/>
                <c:pt idx="3">
                  <c:v>5634</c:v>
                </c:pt>
                <c:pt idx="4">
                  <c:v>1607</c:v>
                </c:pt>
                <c:pt idx="5">
                  <c:v>5515</c:v>
                </c:pt>
                <c:pt idx="6">
                  <c:v>1379</c:v>
                </c:pt>
                <c:pt idx="7">
                  <c:v>3820</c:v>
                </c:pt>
                <c:pt idx="8">
                  <c:v>6112</c:v>
                </c:pt>
                <c:pt idx="11">
                  <c:v>4882</c:v>
                </c:pt>
                <c:pt idx="12">
                  <c:v>6453</c:v>
                </c:pt>
                <c:pt idx="13">
                  <c:v>4066</c:v>
                </c:pt>
                <c:pt idx="14">
                  <c:v>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4-4B07-92C4-D775A51AB566}"/>
            </c:ext>
          </c:extLst>
        </c:ser>
        <c:ser>
          <c:idx val="1"/>
          <c:order val="1"/>
          <c:tx>
            <c:v>계획</c:v>
          </c:tx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BASE</c:v>
                </c:pt>
                <c:pt idx="5">
                  <c:v>STOPPER</c:v>
                </c:pt>
                <c:pt idx="6">
                  <c:v>STOPPER</c:v>
                </c:pt>
                <c:pt idx="7">
                  <c:v>LEAD GUIDE</c:v>
                </c:pt>
                <c:pt idx="8">
                  <c:v>STOPPER</c:v>
                </c:pt>
                <c:pt idx="9">
                  <c:v>FRONT/REAR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'30'!$J$6:$J$21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2570</c:v>
                </c:pt>
                <c:pt idx="2">
                  <c:v>470</c:v>
                </c:pt>
                <c:pt idx="3">
                  <c:v>5640</c:v>
                </c:pt>
                <c:pt idx="4">
                  <c:v>1610</c:v>
                </c:pt>
                <c:pt idx="5">
                  <c:v>5520</c:v>
                </c:pt>
                <c:pt idx="6">
                  <c:v>1380</c:v>
                </c:pt>
                <c:pt idx="7">
                  <c:v>3820</c:v>
                </c:pt>
                <c:pt idx="8">
                  <c:v>6120</c:v>
                </c:pt>
                <c:pt idx="9">
                  <c:v>2240</c:v>
                </c:pt>
                <c:pt idx="10">
                  <c:v>1640</c:v>
                </c:pt>
                <c:pt idx="11">
                  <c:v>4890</c:v>
                </c:pt>
                <c:pt idx="12">
                  <c:v>6460</c:v>
                </c:pt>
                <c:pt idx="13">
                  <c:v>4070</c:v>
                </c:pt>
                <c:pt idx="14">
                  <c:v>4910</c:v>
                </c:pt>
                <c:pt idx="15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4-4B07-92C4-D775A51A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38144"/>
        <c:axId val="171950080"/>
      </c:lineChart>
      <c:catAx>
        <c:axId val="2344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950080"/>
        <c:crosses val="autoZero"/>
        <c:auto val="1"/>
        <c:lblAlgn val="ctr"/>
        <c:lblOffset val="100"/>
        <c:noMultiLvlLbl val="0"/>
      </c:catAx>
      <c:valAx>
        <c:axId val="1719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438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42%</c:v>
                </c:pt>
                <c:pt idx="5">
                  <c:v>100%</c:v>
                </c:pt>
                <c:pt idx="6">
                  <c:v>25%</c:v>
                </c:pt>
                <c:pt idx="7">
                  <c:v>75%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100%</c:v>
                </c:pt>
                <c:pt idx="13">
                  <c:v>87%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BASE</c:v>
                </c:pt>
                <c:pt idx="5">
                  <c:v>STOPPER</c:v>
                </c:pt>
                <c:pt idx="6">
                  <c:v>STOPPER</c:v>
                </c:pt>
                <c:pt idx="7">
                  <c:v>LEAD GUIDE</c:v>
                </c:pt>
                <c:pt idx="8">
                  <c:v>STOPPER</c:v>
                </c:pt>
                <c:pt idx="9">
                  <c:v>FRONT/REAR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0.99893617021276593</c:v>
                </c:pt>
                <c:pt idx="4">
                  <c:v>0.41589026915113869</c:v>
                </c:pt>
                <c:pt idx="5">
                  <c:v>0.99909420289855078</c:v>
                </c:pt>
                <c:pt idx="6">
                  <c:v>0.24981884057971016</c:v>
                </c:pt>
                <c:pt idx="7">
                  <c:v>0.75</c:v>
                </c:pt>
                <c:pt idx="8">
                  <c:v>0.99869281045751634</c:v>
                </c:pt>
                <c:pt idx="9">
                  <c:v>0</c:v>
                </c:pt>
                <c:pt idx="10">
                  <c:v>0</c:v>
                </c:pt>
                <c:pt idx="11">
                  <c:v>0.99836400817995907</c:v>
                </c:pt>
                <c:pt idx="12">
                  <c:v>0.99891640866873066</c:v>
                </c:pt>
                <c:pt idx="13">
                  <c:v>0.87414004914004906</c:v>
                </c:pt>
                <c:pt idx="14">
                  <c:v>0.99877800407331974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7-49F0-A137-7959BAFCF0D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67-49F0-A137-7959BAFCF0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'30'!$D$6:$D$21</c:f>
              <c:strCache>
                <c:ptCount val="15"/>
                <c:pt idx="0">
                  <c:v>LOWER PLATE</c:v>
                </c:pt>
                <c:pt idx="1">
                  <c:v>LATCH</c:v>
                </c:pt>
                <c:pt idx="2">
                  <c:v>BODY/LID</c:v>
                </c:pt>
                <c:pt idx="3">
                  <c:v>SLIDER</c:v>
                </c:pt>
                <c:pt idx="4">
                  <c:v>BASE</c:v>
                </c:pt>
                <c:pt idx="5">
                  <c:v>STOPPER</c:v>
                </c:pt>
                <c:pt idx="6">
                  <c:v>STOPPER</c:v>
                </c:pt>
                <c:pt idx="7">
                  <c:v>LEAD GUIDE</c:v>
                </c:pt>
                <c:pt idx="8">
                  <c:v>STOPPER</c:v>
                </c:pt>
                <c:pt idx="9">
                  <c:v>FRONT/REAR</c:v>
                </c:pt>
                <c:pt idx="10">
                  <c:v>ADAPTER</c:v>
                </c:pt>
                <c:pt idx="11">
                  <c:v>BODY</c:v>
                </c:pt>
                <c:pt idx="12">
                  <c:v>F/ADAPTER</c:v>
                </c:pt>
                <c:pt idx="13">
                  <c:v>BASE</c:v>
                </c:pt>
                <c:pt idx="14">
                  <c:v>BASE</c:v>
                </c:pt>
              </c:strCache>
            </c:strRef>
          </c:cat>
          <c:val>
            <c:numRef>
              <c:f>'30'!$AE$6:$AE$21</c:f>
              <c:numCache>
                <c:formatCode>0%</c:formatCode>
                <c:ptCount val="16"/>
                <c:pt idx="0">
                  <c:v>0.55217538422411605</c:v>
                </c:pt>
                <c:pt idx="1">
                  <c:v>0.55217538422411605</c:v>
                </c:pt>
                <c:pt idx="2">
                  <c:v>0.55217538422411605</c:v>
                </c:pt>
                <c:pt idx="3">
                  <c:v>0.55217538422411605</c:v>
                </c:pt>
                <c:pt idx="4">
                  <c:v>0.55217538422411605</c:v>
                </c:pt>
                <c:pt idx="5">
                  <c:v>0.55217538422411605</c:v>
                </c:pt>
                <c:pt idx="6">
                  <c:v>0.55217538422411605</c:v>
                </c:pt>
                <c:pt idx="7">
                  <c:v>0.55217538422411605</c:v>
                </c:pt>
                <c:pt idx="8">
                  <c:v>0.55217538422411605</c:v>
                </c:pt>
                <c:pt idx="9">
                  <c:v>0.55217538422411605</c:v>
                </c:pt>
                <c:pt idx="10">
                  <c:v>0.55217538422411605</c:v>
                </c:pt>
                <c:pt idx="11">
                  <c:v>0.55217538422411605</c:v>
                </c:pt>
                <c:pt idx="12">
                  <c:v>0.55217538422411605</c:v>
                </c:pt>
                <c:pt idx="13">
                  <c:v>0.55217538422411605</c:v>
                </c:pt>
                <c:pt idx="14">
                  <c:v>0.55217538422411605</c:v>
                </c:pt>
                <c:pt idx="15">
                  <c:v>0.55217538422411605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7-49F0-A137-7959BAFC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93184"/>
        <c:axId val="171952384"/>
      </c:lineChart>
      <c:catAx>
        <c:axId val="2336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71952384"/>
        <c:crosses val="autoZero"/>
        <c:auto val="1"/>
        <c:lblAlgn val="ctr"/>
        <c:lblOffset val="100"/>
        <c:noMultiLvlLbl val="0"/>
      </c:catAx>
      <c:valAx>
        <c:axId val="1719523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69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F55-4176-A54D-4A406A2592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5-4176-A54D-4A406A259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30240"/>
        <c:axId val="17195584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55-4176-A54D-4A406A25926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5-4176-A54D-4A406A259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30240"/>
        <c:axId val="171955840"/>
      </c:lineChart>
      <c:catAx>
        <c:axId val="23393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955840"/>
        <c:crosses val="autoZero"/>
        <c:auto val="1"/>
        <c:lblAlgn val="ctr"/>
        <c:lblOffset val="100"/>
        <c:noMultiLvlLbl val="0"/>
      </c:catAx>
      <c:valAx>
        <c:axId val="171955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93024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Z280FPGD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1">
                  <c:v>920</c:v>
                </c:pt>
                <c:pt idx="2">
                  <c:v>4255</c:v>
                </c:pt>
                <c:pt idx="3">
                  <c:v>5681</c:v>
                </c:pt>
                <c:pt idx="4">
                  <c:v>633</c:v>
                </c:pt>
                <c:pt idx="5">
                  <c:v>1990</c:v>
                </c:pt>
                <c:pt idx="10">
                  <c:v>5337</c:v>
                </c:pt>
                <c:pt idx="12">
                  <c:v>4929</c:v>
                </c:pt>
                <c:pt idx="13">
                  <c:v>4891</c:v>
                </c:pt>
                <c:pt idx="14">
                  <c:v>44324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7-4074-A3A0-971266064569}"/>
            </c:ext>
          </c:extLst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Z280FPGD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920</c:v>
                </c:pt>
                <c:pt idx="2">
                  <c:v>4255</c:v>
                </c:pt>
                <c:pt idx="3">
                  <c:v>5681</c:v>
                </c:pt>
                <c:pt idx="4">
                  <c:v>640</c:v>
                </c:pt>
                <c:pt idx="5">
                  <c:v>1990</c:v>
                </c:pt>
                <c:pt idx="6">
                  <c:v>4180</c:v>
                </c:pt>
                <c:pt idx="7">
                  <c:v>2220</c:v>
                </c:pt>
                <c:pt idx="8">
                  <c:v>556</c:v>
                </c:pt>
                <c:pt idx="9">
                  <c:v>2730</c:v>
                </c:pt>
                <c:pt idx="10">
                  <c:v>5340</c:v>
                </c:pt>
                <c:pt idx="11">
                  <c:v>6520</c:v>
                </c:pt>
                <c:pt idx="12">
                  <c:v>4930</c:v>
                </c:pt>
                <c:pt idx="13">
                  <c:v>4900</c:v>
                </c:pt>
                <c:pt idx="14">
                  <c:v>44330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7-4074-A3A0-97126606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07712"/>
        <c:axId val="257579776"/>
      </c:lineChart>
      <c:catAx>
        <c:axId val="2787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579776"/>
        <c:crosses val="autoZero"/>
        <c:auto val="1"/>
        <c:lblAlgn val="ctr"/>
        <c:lblOffset val="100"/>
        <c:noMultiLvlLbl val="0"/>
      </c:catAx>
      <c:valAx>
        <c:axId val="2575797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7870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5"/>
                <c:pt idx="0">
                  <c:v>0%</c:v>
                </c:pt>
                <c:pt idx="1">
                  <c:v>25%</c:v>
                </c:pt>
                <c:pt idx="2">
                  <c:v>92%</c:v>
                </c:pt>
                <c:pt idx="3">
                  <c:v>100%</c:v>
                </c:pt>
                <c:pt idx="4">
                  <c:v>25%</c:v>
                </c:pt>
                <c:pt idx="5">
                  <c:v>50%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96%</c:v>
                </c:pt>
                <c:pt idx="14">
                  <c:v>87%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Z280FPGD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0.91666666666666663</c:v>
                </c:pt>
                <c:pt idx="3">
                  <c:v>1</c:v>
                </c:pt>
                <c:pt idx="4">
                  <c:v>0.24726562499999999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0.99943820224719104</c:v>
                </c:pt>
                <c:pt idx="11">
                  <c:v>0</c:v>
                </c:pt>
                <c:pt idx="12">
                  <c:v>0.9997971602434077</c:v>
                </c:pt>
                <c:pt idx="13">
                  <c:v>0.95657312925170068</c:v>
                </c:pt>
                <c:pt idx="14">
                  <c:v>0.87488157004286027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5-4417-80E6-88352DC788A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45-4417-80E6-88352DC788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Z280FPGD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0.44964149023012173</c:v>
                </c:pt>
                <c:pt idx="1">
                  <c:v>0.44964149023012173</c:v>
                </c:pt>
                <c:pt idx="2">
                  <c:v>0.44964149023012173</c:v>
                </c:pt>
                <c:pt idx="3">
                  <c:v>0.44964149023012173</c:v>
                </c:pt>
                <c:pt idx="4">
                  <c:v>0.44964149023012173</c:v>
                </c:pt>
                <c:pt idx="5">
                  <c:v>0.44964149023012173</c:v>
                </c:pt>
                <c:pt idx="6">
                  <c:v>0.44964149023012173</c:v>
                </c:pt>
                <c:pt idx="7">
                  <c:v>0.44964149023012173</c:v>
                </c:pt>
                <c:pt idx="8">
                  <c:v>0.44964149023012173</c:v>
                </c:pt>
                <c:pt idx="9">
                  <c:v>0.44964149023012173</c:v>
                </c:pt>
                <c:pt idx="10">
                  <c:v>0.44964149023012173</c:v>
                </c:pt>
                <c:pt idx="11">
                  <c:v>0.44964149023012173</c:v>
                </c:pt>
                <c:pt idx="12">
                  <c:v>0.44964149023012173</c:v>
                </c:pt>
                <c:pt idx="13">
                  <c:v>0.44964149023012173</c:v>
                </c:pt>
                <c:pt idx="14">
                  <c:v>0.44964149023012173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5-4417-80E6-88352DC7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89472"/>
        <c:axId val="257696320"/>
      </c:lineChart>
      <c:catAx>
        <c:axId val="3508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57696320"/>
        <c:crosses val="autoZero"/>
        <c:auto val="1"/>
        <c:lblAlgn val="ctr"/>
        <c:lblOffset val="100"/>
        <c:noMultiLvlLbl val="0"/>
      </c:catAx>
      <c:valAx>
        <c:axId val="2576963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5088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Z280FPGD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1">
                  <c:v>920</c:v>
                </c:pt>
                <c:pt idx="2">
                  <c:v>4255</c:v>
                </c:pt>
                <c:pt idx="3">
                  <c:v>5681</c:v>
                </c:pt>
                <c:pt idx="4">
                  <c:v>633</c:v>
                </c:pt>
                <c:pt idx="5">
                  <c:v>1990</c:v>
                </c:pt>
                <c:pt idx="10">
                  <c:v>5337</c:v>
                </c:pt>
                <c:pt idx="12">
                  <c:v>4929</c:v>
                </c:pt>
                <c:pt idx="13">
                  <c:v>4891</c:v>
                </c:pt>
                <c:pt idx="14">
                  <c:v>44324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C-441A-9B62-1A716C63E955}"/>
            </c:ext>
          </c:extLst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Z280FPGD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920</c:v>
                </c:pt>
                <c:pt idx="2">
                  <c:v>4255</c:v>
                </c:pt>
                <c:pt idx="3">
                  <c:v>5681</c:v>
                </c:pt>
                <c:pt idx="4">
                  <c:v>640</c:v>
                </c:pt>
                <c:pt idx="5">
                  <c:v>1990</c:v>
                </c:pt>
                <c:pt idx="6">
                  <c:v>4180</c:v>
                </c:pt>
                <c:pt idx="7">
                  <c:v>2220</c:v>
                </c:pt>
                <c:pt idx="8">
                  <c:v>556</c:v>
                </c:pt>
                <c:pt idx="9">
                  <c:v>2730</c:v>
                </c:pt>
                <c:pt idx="10">
                  <c:v>5340</c:v>
                </c:pt>
                <c:pt idx="11">
                  <c:v>6520</c:v>
                </c:pt>
                <c:pt idx="12">
                  <c:v>4930</c:v>
                </c:pt>
                <c:pt idx="13">
                  <c:v>4900</c:v>
                </c:pt>
                <c:pt idx="14">
                  <c:v>44330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C-441A-9B62-1A716C63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91520"/>
        <c:axId val="257698624"/>
      </c:lineChart>
      <c:catAx>
        <c:axId val="3508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698624"/>
        <c:crosses val="autoZero"/>
        <c:auto val="1"/>
        <c:lblAlgn val="ctr"/>
        <c:lblOffset val="100"/>
        <c:noMultiLvlLbl val="0"/>
      </c:catAx>
      <c:valAx>
        <c:axId val="2576986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5089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5"/>
                <c:pt idx="0">
                  <c:v>0%</c:v>
                </c:pt>
                <c:pt idx="1">
                  <c:v>25%</c:v>
                </c:pt>
                <c:pt idx="2">
                  <c:v>92%</c:v>
                </c:pt>
                <c:pt idx="3">
                  <c:v>100%</c:v>
                </c:pt>
                <c:pt idx="4">
                  <c:v>25%</c:v>
                </c:pt>
                <c:pt idx="5">
                  <c:v>50%</c:v>
                </c:pt>
                <c:pt idx="6">
                  <c:v>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96%</c:v>
                </c:pt>
                <c:pt idx="14">
                  <c:v>87%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Z280FPGD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0.91666666666666663</c:v>
                </c:pt>
                <c:pt idx="3">
                  <c:v>1</c:v>
                </c:pt>
                <c:pt idx="4">
                  <c:v>0.24726562499999999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0.99943820224719104</c:v>
                </c:pt>
                <c:pt idx="11">
                  <c:v>0</c:v>
                </c:pt>
                <c:pt idx="12">
                  <c:v>0.9997971602434077</c:v>
                </c:pt>
                <c:pt idx="13">
                  <c:v>0.95657312925170068</c:v>
                </c:pt>
                <c:pt idx="14">
                  <c:v>0.87488157004286027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5-4F96-8A62-AA9BA03E06A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55-4F96-8A62-AA9BA03E06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Z280FPGD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0.44964149023012173</c:v>
                </c:pt>
                <c:pt idx="1">
                  <c:v>0.44964149023012173</c:v>
                </c:pt>
                <c:pt idx="2">
                  <c:v>0.44964149023012173</c:v>
                </c:pt>
                <c:pt idx="3">
                  <c:v>0.44964149023012173</c:v>
                </c:pt>
                <c:pt idx="4">
                  <c:v>0.44964149023012173</c:v>
                </c:pt>
                <c:pt idx="5">
                  <c:v>0.44964149023012173</c:v>
                </c:pt>
                <c:pt idx="6">
                  <c:v>0.44964149023012173</c:v>
                </c:pt>
                <c:pt idx="7">
                  <c:v>0.44964149023012173</c:v>
                </c:pt>
                <c:pt idx="8">
                  <c:v>0.44964149023012173</c:v>
                </c:pt>
                <c:pt idx="9">
                  <c:v>0.44964149023012173</c:v>
                </c:pt>
                <c:pt idx="10">
                  <c:v>0.44964149023012173</c:v>
                </c:pt>
                <c:pt idx="11">
                  <c:v>0.44964149023012173</c:v>
                </c:pt>
                <c:pt idx="12">
                  <c:v>0.44964149023012173</c:v>
                </c:pt>
                <c:pt idx="13">
                  <c:v>0.44964149023012173</c:v>
                </c:pt>
                <c:pt idx="14">
                  <c:v>0.44964149023012173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5-4F96-8A62-AA9BA03E0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80160"/>
        <c:axId val="257700352"/>
      </c:lineChart>
      <c:catAx>
        <c:axId val="4779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57700352"/>
        <c:crosses val="autoZero"/>
        <c:auto val="1"/>
        <c:lblAlgn val="ctr"/>
        <c:lblOffset val="100"/>
        <c:noMultiLvlLbl val="0"/>
      </c:catAx>
      <c:valAx>
        <c:axId val="2577003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7798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041-44E8-A1E7-3F78CBF72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1-44E8-A1E7-3F78CBF7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72704"/>
        <c:axId val="2577114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41-44E8-A1E7-3F78CBF721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1-44E8-A1E7-3F78CBF7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72704"/>
        <c:axId val="257711424"/>
      </c:lineChart>
      <c:catAx>
        <c:axId val="27527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11424"/>
        <c:crosses val="autoZero"/>
        <c:auto val="1"/>
        <c:lblAlgn val="ctr"/>
        <c:lblOffset val="100"/>
        <c:noMultiLvlLbl val="0"/>
      </c:catAx>
      <c:valAx>
        <c:axId val="257711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527270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'06'!$L$6:$L$20</c:f>
              <c:numCache>
                <c:formatCode>_(* #,##0_);_(* \(#,##0\);_(* "-"_);_(@_)</c:formatCode>
                <c:ptCount val="15"/>
                <c:pt idx="1">
                  <c:v>3476</c:v>
                </c:pt>
                <c:pt idx="2">
                  <c:v>5309</c:v>
                </c:pt>
                <c:pt idx="4">
                  <c:v>703</c:v>
                </c:pt>
                <c:pt idx="5">
                  <c:v>4336</c:v>
                </c:pt>
                <c:pt idx="6">
                  <c:v>2856</c:v>
                </c:pt>
                <c:pt idx="10">
                  <c:v>3324</c:v>
                </c:pt>
                <c:pt idx="12">
                  <c:v>5407</c:v>
                </c:pt>
                <c:pt idx="13">
                  <c:v>5127</c:v>
                </c:pt>
                <c:pt idx="14">
                  <c:v>59348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1-4D6B-80A0-9391D64E1304}"/>
            </c:ext>
          </c:extLst>
        </c:ser>
        <c:ser>
          <c:idx val="1"/>
          <c:order val="1"/>
          <c:tx>
            <c:v>계획</c:v>
          </c:tx>
          <c:cat>
            <c:strRef>
              <c:f>'06'!$D$6:$D$20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'06'!$J$6:$J$20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3480</c:v>
                </c:pt>
                <c:pt idx="2">
                  <c:v>5310</c:v>
                </c:pt>
                <c:pt idx="3">
                  <c:v>5681</c:v>
                </c:pt>
                <c:pt idx="4">
                  <c:v>710</c:v>
                </c:pt>
                <c:pt idx="5">
                  <c:v>4340</c:v>
                </c:pt>
                <c:pt idx="6">
                  <c:v>2860</c:v>
                </c:pt>
                <c:pt idx="7">
                  <c:v>2220</c:v>
                </c:pt>
                <c:pt idx="8">
                  <c:v>556</c:v>
                </c:pt>
                <c:pt idx="9">
                  <c:v>2730</c:v>
                </c:pt>
                <c:pt idx="10">
                  <c:v>3330</c:v>
                </c:pt>
                <c:pt idx="11">
                  <c:v>6520</c:v>
                </c:pt>
                <c:pt idx="12">
                  <c:v>5410</c:v>
                </c:pt>
                <c:pt idx="13">
                  <c:v>5130</c:v>
                </c:pt>
                <c:pt idx="14">
                  <c:v>59350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1-4D6B-80A0-9391D64E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64032"/>
        <c:axId val="264587520"/>
      </c:lineChart>
      <c:catAx>
        <c:axId val="6339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4587520"/>
        <c:crosses val="autoZero"/>
        <c:auto val="1"/>
        <c:lblAlgn val="ctr"/>
        <c:lblOffset val="100"/>
        <c:noMultiLvlLbl val="0"/>
      </c:catAx>
      <c:valAx>
        <c:axId val="2645875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633964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'06'!$AD$6:$AD$20</c:f>
              <c:strCache>
                <c:ptCount val="15"/>
                <c:pt idx="0">
                  <c:v>0%</c:v>
                </c:pt>
                <c:pt idx="1">
                  <c:v>83%</c:v>
                </c:pt>
                <c:pt idx="2">
                  <c:v>100%</c:v>
                </c:pt>
                <c:pt idx="3">
                  <c:v>0%</c:v>
                </c:pt>
                <c:pt idx="4">
                  <c:v>45%</c:v>
                </c:pt>
                <c:pt idx="5">
                  <c:v>100%</c:v>
                </c:pt>
                <c:pt idx="6">
                  <c:v>75%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83%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'06'!$AD$6:$AD$20</c:f>
              <c:numCache>
                <c:formatCode>0%</c:formatCode>
                <c:ptCount val="15"/>
                <c:pt idx="0">
                  <c:v>0</c:v>
                </c:pt>
                <c:pt idx="1">
                  <c:v>0.83237547892720309</c:v>
                </c:pt>
                <c:pt idx="2">
                  <c:v>0.99981167608286248</c:v>
                </c:pt>
                <c:pt idx="3">
                  <c:v>0</c:v>
                </c:pt>
                <c:pt idx="4">
                  <c:v>0.45381455399061033</c:v>
                </c:pt>
                <c:pt idx="5">
                  <c:v>0.99907834101382487</c:v>
                </c:pt>
                <c:pt idx="6">
                  <c:v>0.74895104895104891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0.83183183183183185</c:v>
                </c:pt>
                <c:pt idx="11">
                  <c:v>0</c:v>
                </c:pt>
                <c:pt idx="12">
                  <c:v>0.99944547134935302</c:v>
                </c:pt>
                <c:pt idx="13">
                  <c:v>0.99941520467836253</c:v>
                </c:pt>
                <c:pt idx="14">
                  <c:v>0.99996630160067401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5-400E-AE87-B86608D6A53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15-400E-AE87-B86608D6A5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'06'!$AE$6:$AE$20</c:f>
              <c:numCache>
                <c:formatCode>0%</c:formatCode>
                <c:ptCount val="15"/>
                <c:pt idx="0">
                  <c:v>0.52431266056171799</c:v>
                </c:pt>
                <c:pt idx="1">
                  <c:v>0.52431266056171799</c:v>
                </c:pt>
                <c:pt idx="2">
                  <c:v>0.52431266056171799</c:v>
                </c:pt>
                <c:pt idx="3">
                  <c:v>0.52431266056171799</c:v>
                </c:pt>
                <c:pt idx="4">
                  <c:v>0.52431266056171799</c:v>
                </c:pt>
                <c:pt idx="5">
                  <c:v>0.52431266056171799</c:v>
                </c:pt>
                <c:pt idx="6">
                  <c:v>0.52431266056171799</c:v>
                </c:pt>
                <c:pt idx="7">
                  <c:v>0.52431266056171799</c:v>
                </c:pt>
                <c:pt idx="8">
                  <c:v>0.52431266056171799</c:v>
                </c:pt>
                <c:pt idx="9">
                  <c:v>0.52431266056171799</c:v>
                </c:pt>
                <c:pt idx="10">
                  <c:v>0.52431266056171799</c:v>
                </c:pt>
                <c:pt idx="11">
                  <c:v>0.52431266056171799</c:v>
                </c:pt>
                <c:pt idx="12">
                  <c:v>0.52431266056171799</c:v>
                </c:pt>
                <c:pt idx="13">
                  <c:v>0.52431266056171799</c:v>
                </c:pt>
                <c:pt idx="14">
                  <c:v>0.52431266056171799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5-400E-AE87-B86608D6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66080"/>
        <c:axId val="264589248"/>
      </c:lineChart>
      <c:catAx>
        <c:axId val="6339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4589248"/>
        <c:crosses val="autoZero"/>
        <c:auto val="1"/>
        <c:lblAlgn val="ctr"/>
        <c:lblOffset val="100"/>
        <c:noMultiLvlLbl val="0"/>
      </c:catAx>
      <c:valAx>
        <c:axId val="2645892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63396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09</a:t>
            </a:r>
            <a:r>
              <a:rPr lang="ko-KR" altLang="en-US"/>
              <a:t>월 호기별 가동율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</c:v>
                </c:pt>
                <c:pt idx="1">
                  <c:v>0.50632705559484392</c:v>
                </c:pt>
                <c:pt idx="2">
                  <c:v>0.49250029184122129</c:v>
                </c:pt>
                <c:pt idx="3">
                  <c:v>0.63005838456402963</c:v>
                </c:pt>
                <c:pt idx="4">
                  <c:v>0.35215401666282525</c:v>
                </c:pt>
                <c:pt idx="5">
                  <c:v>0.49306609460003548</c:v>
                </c:pt>
                <c:pt idx="6">
                  <c:v>0.66117518192188596</c:v>
                </c:pt>
                <c:pt idx="7">
                  <c:v>0.31865463673096256</c:v>
                </c:pt>
                <c:pt idx="8">
                  <c:v>3.1924603174603175E-2</c:v>
                </c:pt>
                <c:pt idx="9">
                  <c:v>3.1790580478833028E-2</c:v>
                </c:pt>
                <c:pt idx="10">
                  <c:v>0.67695399275384482</c:v>
                </c:pt>
                <c:pt idx="11">
                  <c:v>0.11384620514872615</c:v>
                </c:pt>
                <c:pt idx="12">
                  <c:v>0.61372652061364186</c:v>
                </c:pt>
                <c:pt idx="13">
                  <c:v>0.74363438582989094</c:v>
                </c:pt>
                <c:pt idx="14">
                  <c:v>0.4970898140158152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EBF-AF55-440E7EC7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10944"/>
        <c:axId val="169211520"/>
      </c:barChart>
      <c:catAx>
        <c:axId val="19221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211520"/>
        <c:crosses val="autoZero"/>
        <c:auto val="1"/>
        <c:lblAlgn val="ctr"/>
        <c:lblOffset val="100"/>
        <c:noMultiLvlLbl val="0"/>
      </c:catAx>
      <c:valAx>
        <c:axId val="1692115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221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'06'!$L$6:$L$20</c:f>
              <c:numCache>
                <c:formatCode>_(* #,##0_);_(* \(#,##0\);_(* "-"_);_(@_)</c:formatCode>
                <c:ptCount val="15"/>
                <c:pt idx="1">
                  <c:v>3476</c:v>
                </c:pt>
                <c:pt idx="2">
                  <c:v>5309</c:v>
                </c:pt>
                <c:pt idx="4">
                  <c:v>703</c:v>
                </c:pt>
                <c:pt idx="5">
                  <c:v>4336</c:v>
                </c:pt>
                <c:pt idx="6">
                  <c:v>2856</c:v>
                </c:pt>
                <c:pt idx="10">
                  <c:v>3324</c:v>
                </c:pt>
                <c:pt idx="12">
                  <c:v>5407</c:v>
                </c:pt>
                <c:pt idx="13">
                  <c:v>5127</c:v>
                </c:pt>
                <c:pt idx="14">
                  <c:v>59348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ED5-ACD3-ADD47E1A5E4D}"/>
            </c:ext>
          </c:extLst>
        </c:ser>
        <c:ser>
          <c:idx val="1"/>
          <c:order val="1"/>
          <c:tx>
            <c:v>계획</c:v>
          </c:tx>
          <c:cat>
            <c:strRef>
              <c:f>'06'!$D$6:$D$20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'06'!$J$6:$J$20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3480</c:v>
                </c:pt>
                <c:pt idx="2">
                  <c:v>5310</c:v>
                </c:pt>
                <c:pt idx="3">
                  <c:v>5681</c:v>
                </c:pt>
                <c:pt idx="4">
                  <c:v>710</c:v>
                </c:pt>
                <c:pt idx="5">
                  <c:v>4340</c:v>
                </c:pt>
                <c:pt idx="6">
                  <c:v>2860</c:v>
                </c:pt>
                <c:pt idx="7">
                  <c:v>2220</c:v>
                </c:pt>
                <c:pt idx="8">
                  <c:v>556</c:v>
                </c:pt>
                <c:pt idx="9">
                  <c:v>2730</c:v>
                </c:pt>
                <c:pt idx="10">
                  <c:v>3330</c:v>
                </c:pt>
                <c:pt idx="11">
                  <c:v>6520</c:v>
                </c:pt>
                <c:pt idx="12">
                  <c:v>5410</c:v>
                </c:pt>
                <c:pt idx="13">
                  <c:v>5130</c:v>
                </c:pt>
                <c:pt idx="14">
                  <c:v>59350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ED5-ACD3-ADD47E1A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752448"/>
        <c:axId val="264592128"/>
      </c:lineChart>
      <c:catAx>
        <c:axId val="6357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4592128"/>
        <c:crosses val="autoZero"/>
        <c:auto val="1"/>
        <c:lblAlgn val="ctr"/>
        <c:lblOffset val="100"/>
        <c:noMultiLvlLbl val="0"/>
      </c:catAx>
      <c:valAx>
        <c:axId val="2645921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635752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'06'!$AD$6:$AD$20</c:f>
              <c:strCache>
                <c:ptCount val="15"/>
                <c:pt idx="0">
                  <c:v>0%</c:v>
                </c:pt>
                <c:pt idx="1">
                  <c:v>83%</c:v>
                </c:pt>
                <c:pt idx="2">
                  <c:v>100%</c:v>
                </c:pt>
                <c:pt idx="3">
                  <c:v>0%</c:v>
                </c:pt>
                <c:pt idx="4">
                  <c:v>45%</c:v>
                </c:pt>
                <c:pt idx="5">
                  <c:v>100%</c:v>
                </c:pt>
                <c:pt idx="6">
                  <c:v>75%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83%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'06'!$AD$6:$AD$20</c:f>
              <c:numCache>
                <c:formatCode>0%</c:formatCode>
                <c:ptCount val="15"/>
                <c:pt idx="0">
                  <c:v>0</c:v>
                </c:pt>
                <c:pt idx="1">
                  <c:v>0.83237547892720309</c:v>
                </c:pt>
                <c:pt idx="2">
                  <c:v>0.99981167608286248</c:v>
                </c:pt>
                <c:pt idx="3">
                  <c:v>0</c:v>
                </c:pt>
                <c:pt idx="4">
                  <c:v>0.45381455399061033</c:v>
                </c:pt>
                <c:pt idx="5">
                  <c:v>0.99907834101382487</c:v>
                </c:pt>
                <c:pt idx="6">
                  <c:v>0.74895104895104891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0.83183183183183185</c:v>
                </c:pt>
                <c:pt idx="11">
                  <c:v>0</c:v>
                </c:pt>
                <c:pt idx="12">
                  <c:v>0.99944547134935302</c:v>
                </c:pt>
                <c:pt idx="13">
                  <c:v>0.99941520467836253</c:v>
                </c:pt>
                <c:pt idx="14">
                  <c:v>0.99996630160067401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3-4FE9-8175-B2DAE5A4991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F3-4FE9-8175-B2DAE5A499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'06'!$AE$6:$AE$20</c:f>
              <c:numCache>
                <c:formatCode>0%</c:formatCode>
                <c:ptCount val="15"/>
                <c:pt idx="0">
                  <c:v>0.52431266056171799</c:v>
                </c:pt>
                <c:pt idx="1">
                  <c:v>0.52431266056171799</c:v>
                </c:pt>
                <c:pt idx="2">
                  <c:v>0.52431266056171799</c:v>
                </c:pt>
                <c:pt idx="3">
                  <c:v>0.52431266056171799</c:v>
                </c:pt>
                <c:pt idx="4">
                  <c:v>0.52431266056171799</c:v>
                </c:pt>
                <c:pt idx="5">
                  <c:v>0.52431266056171799</c:v>
                </c:pt>
                <c:pt idx="6">
                  <c:v>0.52431266056171799</c:v>
                </c:pt>
                <c:pt idx="7">
                  <c:v>0.52431266056171799</c:v>
                </c:pt>
                <c:pt idx="8">
                  <c:v>0.52431266056171799</c:v>
                </c:pt>
                <c:pt idx="9">
                  <c:v>0.52431266056171799</c:v>
                </c:pt>
                <c:pt idx="10">
                  <c:v>0.52431266056171799</c:v>
                </c:pt>
                <c:pt idx="11">
                  <c:v>0.52431266056171799</c:v>
                </c:pt>
                <c:pt idx="12">
                  <c:v>0.52431266056171799</c:v>
                </c:pt>
                <c:pt idx="13">
                  <c:v>0.52431266056171799</c:v>
                </c:pt>
                <c:pt idx="14">
                  <c:v>0.52431266056171799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3-4FE9-8175-B2DAE5A4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753472"/>
        <c:axId val="264853120"/>
      </c:lineChart>
      <c:catAx>
        <c:axId val="6357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4853120"/>
        <c:crosses val="autoZero"/>
        <c:auto val="1"/>
        <c:lblAlgn val="ctr"/>
        <c:lblOffset val="100"/>
        <c:noMultiLvlLbl val="0"/>
      </c:catAx>
      <c:valAx>
        <c:axId val="2648531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63575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977-46BF-B813-AF84A19B3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7-46BF-B813-AF84A19B3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75008"/>
        <c:axId val="26624819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77-46BF-B813-AF84A19B3C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7-46BF-B813-AF84A19B3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75008"/>
        <c:axId val="266248192"/>
      </c:lineChart>
      <c:catAx>
        <c:axId val="1784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248192"/>
        <c:crosses val="autoZero"/>
        <c:auto val="1"/>
        <c:lblAlgn val="ctr"/>
        <c:lblOffset val="100"/>
        <c:noMultiLvlLbl val="0"/>
      </c:catAx>
      <c:valAx>
        <c:axId val="266248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84750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1">
                  <c:v>3842</c:v>
                </c:pt>
                <c:pt idx="2">
                  <c:v>5122</c:v>
                </c:pt>
                <c:pt idx="3">
                  <c:v>1628</c:v>
                </c:pt>
                <c:pt idx="4">
                  <c:v>47</c:v>
                </c:pt>
                <c:pt idx="5">
                  <c:v>2309</c:v>
                </c:pt>
                <c:pt idx="6">
                  <c:v>3334</c:v>
                </c:pt>
                <c:pt idx="7">
                  <c:v>4239</c:v>
                </c:pt>
                <c:pt idx="9">
                  <c:v>903</c:v>
                </c:pt>
                <c:pt idx="10">
                  <c:v>11564</c:v>
                </c:pt>
                <c:pt idx="12">
                  <c:v>5379</c:v>
                </c:pt>
                <c:pt idx="13">
                  <c:v>5116</c:v>
                </c:pt>
                <c:pt idx="14">
                  <c:v>54044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0-4E9B-B735-296EEAC9E4F5}"/>
            </c:ext>
          </c:extLst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3850</c:v>
                </c:pt>
                <c:pt idx="2">
                  <c:v>5130</c:v>
                </c:pt>
                <c:pt idx="3">
                  <c:v>1630</c:v>
                </c:pt>
                <c:pt idx="4">
                  <c:v>47</c:v>
                </c:pt>
                <c:pt idx="5">
                  <c:v>2310</c:v>
                </c:pt>
                <c:pt idx="6">
                  <c:v>3340</c:v>
                </c:pt>
                <c:pt idx="7">
                  <c:v>4240</c:v>
                </c:pt>
                <c:pt idx="8">
                  <c:v>556</c:v>
                </c:pt>
                <c:pt idx="9">
                  <c:v>910</c:v>
                </c:pt>
                <c:pt idx="10">
                  <c:v>11570</c:v>
                </c:pt>
                <c:pt idx="11">
                  <c:v>6520</c:v>
                </c:pt>
                <c:pt idx="12">
                  <c:v>5380</c:v>
                </c:pt>
                <c:pt idx="13">
                  <c:v>5120</c:v>
                </c:pt>
                <c:pt idx="14">
                  <c:v>54050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0-4E9B-B735-296EEAC9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15456"/>
        <c:axId val="266252224"/>
      </c:lineChart>
      <c:catAx>
        <c:axId val="1785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252224"/>
        <c:crosses val="autoZero"/>
        <c:auto val="1"/>
        <c:lblAlgn val="ctr"/>
        <c:lblOffset val="100"/>
        <c:noMultiLvlLbl val="0"/>
      </c:catAx>
      <c:valAx>
        <c:axId val="2662522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7851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5"/>
                <c:pt idx="0">
                  <c:v>0%</c:v>
                </c:pt>
                <c:pt idx="1">
                  <c:v>87%</c:v>
                </c:pt>
                <c:pt idx="2">
                  <c:v>100%</c:v>
                </c:pt>
                <c:pt idx="3">
                  <c:v>50%</c:v>
                </c:pt>
                <c:pt idx="4">
                  <c:v>17%</c:v>
                </c:pt>
                <c:pt idx="5">
                  <c:v>50%</c:v>
                </c:pt>
                <c:pt idx="6">
                  <c:v>83%</c:v>
                </c:pt>
                <c:pt idx="7">
                  <c:v>96%</c:v>
                </c:pt>
                <c:pt idx="8">
                  <c:v>0%</c:v>
                </c:pt>
                <c:pt idx="9">
                  <c:v>33%</c:v>
                </c:pt>
                <c:pt idx="10">
                  <c:v>83%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</c:v>
                </c:pt>
                <c:pt idx="1">
                  <c:v>0.87318181818181817</c:v>
                </c:pt>
                <c:pt idx="2">
                  <c:v>0.99844054580896691</c:v>
                </c:pt>
                <c:pt idx="3">
                  <c:v>0.49938650306748467</c:v>
                </c:pt>
                <c:pt idx="4">
                  <c:v>0.16666666666666666</c:v>
                </c:pt>
                <c:pt idx="5">
                  <c:v>0.49978354978354977</c:v>
                </c:pt>
                <c:pt idx="6">
                  <c:v>0.83183632734530932</c:v>
                </c:pt>
                <c:pt idx="7">
                  <c:v>0.95810731132075477</c:v>
                </c:pt>
                <c:pt idx="8">
                  <c:v>0</c:v>
                </c:pt>
                <c:pt idx="9">
                  <c:v>0.33076923076923076</c:v>
                </c:pt>
                <c:pt idx="10">
                  <c:v>0.83290118121578804</c:v>
                </c:pt>
                <c:pt idx="11">
                  <c:v>0</c:v>
                </c:pt>
                <c:pt idx="12">
                  <c:v>0.99981412639405209</c:v>
                </c:pt>
                <c:pt idx="13">
                  <c:v>0.99921875000000004</c:v>
                </c:pt>
                <c:pt idx="14">
                  <c:v>0.99988899167437562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B-409B-ABD2-52B9206689B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AB-409B-ABD2-52B9206689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0.59933300014853308</c:v>
                </c:pt>
                <c:pt idx="1">
                  <c:v>0.59933300014853308</c:v>
                </c:pt>
                <c:pt idx="2">
                  <c:v>0.59933300014853308</c:v>
                </c:pt>
                <c:pt idx="3">
                  <c:v>0.59933300014853308</c:v>
                </c:pt>
                <c:pt idx="4">
                  <c:v>0.59933300014853308</c:v>
                </c:pt>
                <c:pt idx="5">
                  <c:v>0.59933300014853308</c:v>
                </c:pt>
                <c:pt idx="6">
                  <c:v>0.59933300014853308</c:v>
                </c:pt>
                <c:pt idx="7">
                  <c:v>0.59933300014853308</c:v>
                </c:pt>
                <c:pt idx="8">
                  <c:v>0.59933300014853308</c:v>
                </c:pt>
                <c:pt idx="9">
                  <c:v>0.59933300014853308</c:v>
                </c:pt>
                <c:pt idx="10">
                  <c:v>0.59933300014853308</c:v>
                </c:pt>
                <c:pt idx="11">
                  <c:v>0.59933300014853308</c:v>
                </c:pt>
                <c:pt idx="12">
                  <c:v>0.59933300014853308</c:v>
                </c:pt>
                <c:pt idx="13">
                  <c:v>0.59933300014853308</c:v>
                </c:pt>
                <c:pt idx="14">
                  <c:v>0.59933300014853308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B-409B-ABD2-52B92066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8768"/>
        <c:axId val="266253952"/>
      </c:lineChart>
      <c:catAx>
        <c:axId val="1785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6253952"/>
        <c:crosses val="autoZero"/>
        <c:auto val="1"/>
        <c:lblAlgn val="ctr"/>
        <c:lblOffset val="100"/>
        <c:noMultiLvlLbl val="0"/>
      </c:catAx>
      <c:valAx>
        <c:axId val="2662539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7852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1">
                  <c:v>3842</c:v>
                </c:pt>
                <c:pt idx="2">
                  <c:v>5122</c:v>
                </c:pt>
                <c:pt idx="3">
                  <c:v>1628</c:v>
                </c:pt>
                <c:pt idx="4">
                  <c:v>47</c:v>
                </c:pt>
                <c:pt idx="5">
                  <c:v>2309</c:v>
                </c:pt>
                <c:pt idx="6">
                  <c:v>3334</c:v>
                </c:pt>
                <c:pt idx="7">
                  <c:v>4239</c:v>
                </c:pt>
                <c:pt idx="9">
                  <c:v>903</c:v>
                </c:pt>
                <c:pt idx="10">
                  <c:v>11564</c:v>
                </c:pt>
                <c:pt idx="12">
                  <c:v>5379</c:v>
                </c:pt>
                <c:pt idx="13">
                  <c:v>5116</c:v>
                </c:pt>
                <c:pt idx="14">
                  <c:v>54044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4-480E-99F5-0D302694D0DC}"/>
            </c:ext>
          </c:extLst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3850</c:v>
                </c:pt>
                <c:pt idx="2">
                  <c:v>5130</c:v>
                </c:pt>
                <c:pt idx="3">
                  <c:v>1630</c:v>
                </c:pt>
                <c:pt idx="4">
                  <c:v>47</c:v>
                </c:pt>
                <c:pt idx="5">
                  <c:v>2310</c:v>
                </c:pt>
                <c:pt idx="6">
                  <c:v>3340</c:v>
                </c:pt>
                <c:pt idx="7">
                  <c:v>4240</c:v>
                </c:pt>
                <c:pt idx="8">
                  <c:v>556</c:v>
                </c:pt>
                <c:pt idx="9">
                  <c:v>910</c:v>
                </c:pt>
                <c:pt idx="10">
                  <c:v>11570</c:v>
                </c:pt>
                <c:pt idx="11">
                  <c:v>6520</c:v>
                </c:pt>
                <c:pt idx="12">
                  <c:v>5380</c:v>
                </c:pt>
                <c:pt idx="13">
                  <c:v>5120</c:v>
                </c:pt>
                <c:pt idx="14">
                  <c:v>54050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4-480E-99F5-0D302694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9792"/>
        <c:axId val="266888320"/>
      </c:lineChart>
      <c:catAx>
        <c:axId val="1785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888320"/>
        <c:crosses val="autoZero"/>
        <c:auto val="1"/>
        <c:lblAlgn val="ctr"/>
        <c:lblOffset val="100"/>
        <c:noMultiLvlLbl val="0"/>
      </c:catAx>
      <c:valAx>
        <c:axId val="2668883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7852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5"/>
                <c:pt idx="0">
                  <c:v>0%</c:v>
                </c:pt>
                <c:pt idx="1">
                  <c:v>87%</c:v>
                </c:pt>
                <c:pt idx="2">
                  <c:v>100%</c:v>
                </c:pt>
                <c:pt idx="3">
                  <c:v>50%</c:v>
                </c:pt>
                <c:pt idx="4">
                  <c:v>17%</c:v>
                </c:pt>
                <c:pt idx="5">
                  <c:v>50%</c:v>
                </c:pt>
                <c:pt idx="6">
                  <c:v>83%</c:v>
                </c:pt>
                <c:pt idx="7">
                  <c:v>96%</c:v>
                </c:pt>
                <c:pt idx="8">
                  <c:v>0%</c:v>
                </c:pt>
                <c:pt idx="9">
                  <c:v>33%</c:v>
                </c:pt>
                <c:pt idx="10">
                  <c:v>83%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</c:v>
                </c:pt>
                <c:pt idx="1">
                  <c:v>0.87318181818181817</c:v>
                </c:pt>
                <c:pt idx="2">
                  <c:v>0.99844054580896691</c:v>
                </c:pt>
                <c:pt idx="3">
                  <c:v>0.49938650306748467</c:v>
                </c:pt>
                <c:pt idx="4">
                  <c:v>0.16666666666666666</c:v>
                </c:pt>
                <c:pt idx="5">
                  <c:v>0.49978354978354977</c:v>
                </c:pt>
                <c:pt idx="6">
                  <c:v>0.83183632734530932</c:v>
                </c:pt>
                <c:pt idx="7">
                  <c:v>0.95810731132075477</c:v>
                </c:pt>
                <c:pt idx="8">
                  <c:v>0</c:v>
                </c:pt>
                <c:pt idx="9">
                  <c:v>0.33076923076923076</c:v>
                </c:pt>
                <c:pt idx="10">
                  <c:v>0.83290118121578804</c:v>
                </c:pt>
                <c:pt idx="11">
                  <c:v>0</c:v>
                </c:pt>
                <c:pt idx="12">
                  <c:v>0.99981412639405209</c:v>
                </c:pt>
                <c:pt idx="13">
                  <c:v>0.99921875000000004</c:v>
                </c:pt>
                <c:pt idx="14">
                  <c:v>0.99988899167437562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F-4BBC-B461-173564496D9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AF-4BBC-B461-173564496D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0.59933300014853308</c:v>
                </c:pt>
                <c:pt idx="1">
                  <c:v>0.59933300014853308</c:v>
                </c:pt>
                <c:pt idx="2">
                  <c:v>0.59933300014853308</c:v>
                </c:pt>
                <c:pt idx="3">
                  <c:v>0.59933300014853308</c:v>
                </c:pt>
                <c:pt idx="4">
                  <c:v>0.59933300014853308</c:v>
                </c:pt>
                <c:pt idx="5">
                  <c:v>0.59933300014853308</c:v>
                </c:pt>
                <c:pt idx="6">
                  <c:v>0.59933300014853308</c:v>
                </c:pt>
                <c:pt idx="7">
                  <c:v>0.59933300014853308</c:v>
                </c:pt>
                <c:pt idx="8">
                  <c:v>0.59933300014853308</c:v>
                </c:pt>
                <c:pt idx="9">
                  <c:v>0.59933300014853308</c:v>
                </c:pt>
                <c:pt idx="10">
                  <c:v>0.59933300014853308</c:v>
                </c:pt>
                <c:pt idx="11">
                  <c:v>0.59933300014853308</c:v>
                </c:pt>
                <c:pt idx="12">
                  <c:v>0.59933300014853308</c:v>
                </c:pt>
                <c:pt idx="13">
                  <c:v>0.59933300014853308</c:v>
                </c:pt>
                <c:pt idx="14">
                  <c:v>0.59933300014853308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F-4BBC-B461-17356449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0304"/>
        <c:axId val="276384000"/>
      </c:lineChart>
      <c:catAx>
        <c:axId val="1785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76384000"/>
        <c:crosses val="autoZero"/>
        <c:auto val="1"/>
        <c:lblAlgn val="ctr"/>
        <c:lblOffset val="100"/>
        <c:noMultiLvlLbl val="0"/>
      </c:catAx>
      <c:valAx>
        <c:axId val="2763840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7853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6CD-47BB-8679-18545395B3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D-47BB-8679-18545395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30816"/>
        <c:axId val="27657184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CD-47BB-8679-18545395B3C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D-47BB-8679-18545395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0816"/>
        <c:axId val="276571840"/>
      </c:lineChart>
      <c:catAx>
        <c:axId val="17853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6571840"/>
        <c:crosses val="autoZero"/>
        <c:auto val="1"/>
        <c:lblAlgn val="ctr"/>
        <c:lblOffset val="100"/>
        <c:noMultiLvlLbl val="0"/>
      </c:catAx>
      <c:valAx>
        <c:axId val="276571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85308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2">
                  <c:v>1175</c:v>
                </c:pt>
                <c:pt idx="6">
                  <c:v>1875</c:v>
                </c:pt>
                <c:pt idx="10">
                  <c:v>5784</c:v>
                </c:pt>
                <c:pt idx="12">
                  <c:v>2309</c:v>
                </c:pt>
                <c:pt idx="13">
                  <c:v>437</c:v>
                </c:pt>
                <c:pt idx="14">
                  <c:v>27196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D-4D45-8EBA-3630919846DD}"/>
            </c:ext>
          </c:extLst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3850</c:v>
                </c:pt>
                <c:pt idx="2">
                  <c:v>1180</c:v>
                </c:pt>
                <c:pt idx="3">
                  <c:v>1630</c:v>
                </c:pt>
                <c:pt idx="4">
                  <c:v>47</c:v>
                </c:pt>
                <c:pt idx="5">
                  <c:v>2310</c:v>
                </c:pt>
                <c:pt idx="6">
                  <c:v>1880</c:v>
                </c:pt>
                <c:pt idx="7">
                  <c:v>4240</c:v>
                </c:pt>
                <c:pt idx="8">
                  <c:v>556</c:v>
                </c:pt>
                <c:pt idx="9">
                  <c:v>910</c:v>
                </c:pt>
                <c:pt idx="10">
                  <c:v>11570</c:v>
                </c:pt>
                <c:pt idx="11">
                  <c:v>6520</c:v>
                </c:pt>
                <c:pt idx="12">
                  <c:v>2310</c:v>
                </c:pt>
                <c:pt idx="13">
                  <c:v>440</c:v>
                </c:pt>
                <c:pt idx="14">
                  <c:v>27200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D-4D45-8EBA-36309198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65056"/>
        <c:axId val="276574720"/>
      </c:lineChart>
      <c:catAx>
        <c:axId val="1827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574720"/>
        <c:crosses val="autoZero"/>
        <c:auto val="1"/>
        <c:lblAlgn val="ctr"/>
        <c:lblOffset val="100"/>
        <c:noMultiLvlLbl val="0"/>
      </c:catAx>
      <c:valAx>
        <c:axId val="2765747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8276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29%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42%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21%</c:v>
                </c:pt>
                <c:pt idx="11">
                  <c:v>0%</c:v>
                </c:pt>
                <c:pt idx="12">
                  <c:v>42%</c:v>
                </c:pt>
                <c:pt idx="13">
                  <c:v>17%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0.29043079096045199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0.41555851063829791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0.20829732065687123</c:v>
                </c:pt>
                <c:pt idx="11">
                  <c:v>0</c:v>
                </c:pt>
                <c:pt idx="12">
                  <c:v>0.41648629148629152</c:v>
                </c:pt>
                <c:pt idx="13">
                  <c:v>0.16553030303030303</c:v>
                </c:pt>
                <c:pt idx="14">
                  <c:v>0.41660539215686276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C-4E9C-91C6-061A9632029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8C-4E9C-91C6-061A9632029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0.1275272405952719</c:v>
                </c:pt>
                <c:pt idx="1">
                  <c:v>0.1275272405952719</c:v>
                </c:pt>
                <c:pt idx="2">
                  <c:v>0.1275272405952719</c:v>
                </c:pt>
                <c:pt idx="3">
                  <c:v>0.1275272405952719</c:v>
                </c:pt>
                <c:pt idx="4">
                  <c:v>0.1275272405952719</c:v>
                </c:pt>
                <c:pt idx="5">
                  <c:v>0.1275272405952719</c:v>
                </c:pt>
                <c:pt idx="6">
                  <c:v>0.1275272405952719</c:v>
                </c:pt>
                <c:pt idx="7">
                  <c:v>0.1275272405952719</c:v>
                </c:pt>
                <c:pt idx="8">
                  <c:v>0.1275272405952719</c:v>
                </c:pt>
                <c:pt idx="9">
                  <c:v>0.1275272405952719</c:v>
                </c:pt>
                <c:pt idx="10">
                  <c:v>0.1275272405952719</c:v>
                </c:pt>
                <c:pt idx="11">
                  <c:v>0.1275272405952719</c:v>
                </c:pt>
                <c:pt idx="12">
                  <c:v>0.1275272405952719</c:v>
                </c:pt>
                <c:pt idx="13">
                  <c:v>0.1275272405952719</c:v>
                </c:pt>
                <c:pt idx="14">
                  <c:v>0.1275272405952719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C-4E9C-91C6-061A9632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67104"/>
        <c:axId val="276576448"/>
      </c:lineChart>
      <c:catAx>
        <c:axId val="1827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76576448"/>
        <c:crosses val="autoZero"/>
        <c:auto val="1"/>
        <c:lblAlgn val="ctr"/>
        <c:lblOffset val="100"/>
        <c:noMultiLvlLbl val="0"/>
      </c:catAx>
      <c:valAx>
        <c:axId val="2765764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8276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5241</c:v>
                </c:pt>
                <c:pt idx="3">
                  <c:v>4050</c:v>
                </c:pt>
                <c:pt idx="5">
                  <c:v>4405</c:v>
                </c:pt>
                <c:pt idx="6">
                  <c:v>3024</c:v>
                </c:pt>
                <c:pt idx="10">
                  <c:v>4278</c:v>
                </c:pt>
                <c:pt idx="12">
                  <c:v>5817</c:v>
                </c:pt>
                <c:pt idx="13">
                  <c:v>4420</c:v>
                </c:pt>
                <c:pt idx="14">
                  <c:v>59600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6-4457-BC99-6F05C5BCCAF4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3330</c:v>
                </c:pt>
                <c:pt idx="2">
                  <c:v>5250</c:v>
                </c:pt>
                <c:pt idx="3">
                  <c:v>4050</c:v>
                </c:pt>
                <c:pt idx="4">
                  <c:v>4400</c:v>
                </c:pt>
                <c:pt idx="5">
                  <c:v>4410</c:v>
                </c:pt>
                <c:pt idx="6">
                  <c:v>3030</c:v>
                </c:pt>
                <c:pt idx="7">
                  <c:v>2220</c:v>
                </c:pt>
                <c:pt idx="8">
                  <c:v>556</c:v>
                </c:pt>
                <c:pt idx="9">
                  <c:v>2730</c:v>
                </c:pt>
                <c:pt idx="10">
                  <c:v>4280</c:v>
                </c:pt>
                <c:pt idx="11">
                  <c:v>6520</c:v>
                </c:pt>
                <c:pt idx="12">
                  <c:v>5820</c:v>
                </c:pt>
                <c:pt idx="13">
                  <c:v>4420</c:v>
                </c:pt>
                <c:pt idx="14">
                  <c:v>59600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6-4457-BC99-6F05C5BC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15264"/>
        <c:axId val="169213248"/>
      </c:lineChart>
      <c:catAx>
        <c:axId val="2375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13248"/>
        <c:crosses val="autoZero"/>
        <c:auto val="1"/>
        <c:lblAlgn val="ctr"/>
        <c:lblOffset val="100"/>
        <c:noMultiLvlLbl val="0"/>
      </c:catAx>
      <c:valAx>
        <c:axId val="1692132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751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2">
                  <c:v>1175</c:v>
                </c:pt>
                <c:pt idx="6">
                  <c:v>1875</c:v>
                </c:pt>
                <c:pt idx="10">
                  <c:v>5784</c:v>
                </c:pt>
                <c:pt idx="12">
                  <c:v>2309</c:v>
                </c:pt>
                <c:pt idx="13">
                  <c:v>437</c:v>
                </c:pt>
                <c:pt idx="14">
                  <c:v>27196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88F-BB31-C02BC91401B5}"/>
            </c:ext>
          </c:extLst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3850</c:v>
                </c:pt>
                <c:pt idx="2">
                  <c:v>1180</c:v>
                </c:pt>
                <c:pt idx="3">
                  <c:v>1630</c:v>
                </c:pt>
                <c:pt idx="4">
                  <c:v>47</c:v>
                </c:pt>
                <c:pt idx="5">
                  <c:v>2310</c:v>
                </c:pt>
                <c:pt idx="6">
                  <c:v>1880</c:v>
                </c:pt>
                <c:pt idx="7">
                  <c:v>4240</c:v>
                </c:pt>
                <c:pt idx="8">
                  <c:v>556</c:v>
                </c:pt>
                <c:pt idx="9">
                  <c:v>910</c:v>
                </c:pt>
                <c:pt idx="10">
                  <c:v>11570</c:v>
                </c:pt>
                <c:pt idx="11">
                  <c:v>6520</c:v>
                </c:pt>
                <c:pt idx="12">
                  <c:v>2310</c:v>
                </c:pt>
                <c:pt idx="13">
                  <c:v>440</c:v>
                </c:pt>
                <c:pt idx="14">
                  <c:v>27200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3-488F-BB31-C02BC914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51936"/>
        <c:axId val="303809088"/>
      </c:lineChart>
      <c:catAx>
        <c:axId val="1829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809088"/>
        <c:crosses val="autoZero"/>
        <c:auto val="1"/>
        <c:lblAlgn val="ctr"/>
        <c:lblOffset val="100"/>
        <c:noMultiLvlLbl val="0"/>
      </c:catAx>
      <c:valAx>
        <c:axId val="3038090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8295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29%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42%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21%</c:v>
                </c:pt>
                <c:pt idx="11">
                  <c:v>0%</c:v>
                </c:pt>
                <c:pt idx="12">
                  <c:v>42%</c:v>
                </c:pt>
                <c:pt idx="13">
                  <c:v>17%</c:v>
                </c:pt>
                <c:pt idx="14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0.29043079096045199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0.41555851063829791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0.20829732065687123</c:v>
                </c:pt>
                <c:pt idx="11">
                  <c:v>0</c:v>
                </c:pt>
                <c:pt idx="12">
                  <c:v>0.41648629148629152</c:v>
                </c:pt>
                <c:pt idx="13">
                  <c:v>0.16553030303030303</c:v>
                </c:pt>
                <c:pt idx="14">
                  <c:v>0.41660539215686276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9-4AFC-946A-006CF4068AB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39-4AFC-946A-006CF4068A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Z280ASSY</c:v>
                </c:pt>
                <c:pt idx="5">
                  <c:v>ACTUATOR</c:v>
                </c:pt>
                <c:pt idx="6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0.1275272405952719</c:v>
                </c:pt>
                <c:pt idx="1">
                  <c:v>0.1275272405952719</c:v>
                </c:pt>
                <c:pt idx="2">
                  <c:v>0.1275272405952719</c:v>
                </c:pt>
                <c:pt idx="3">
                  <c:v>0.1275272405952719</c:v>
                </c:pt>
                <c:pt idx="4">
                  <c:v>0.1275272405952719</c:v>
                </c:pt>
                <c:pt idx="5">
                  <c:v>0.1275272405952719</c:v>
                </c:pt>
                <c:pt idx="6">
                  <c:v>0.1275272405952719</c:v>
                </c:pt>
                <c:pt idx="7">
                  <c:v>0.1275272405952719</c:v>
                </c:pt>
                <c:pt idx="8">
                  <c:v>0.1275272405952719</c:v>
                </c:pt>
                <c:pt idx="9">
                  <c:v>0.1275272405952719</c:v>
                </c:pt>
                <c:pt idx="10">
                  <c:v>0.1275272405952719</c:v>
                </c:pt>
                <c:pt idx="11">
                  <c:v>0.1275272405952719</c:v>
                </c:pt>
                <c:pt idx="12">
                  <c:v>0.1275272405952719</c:v>
                </c:pt>
                <c:pt idx="13">
                  <c:v>0.1275272405952719</c:v>
                </c:pt>
                <c:pt idx="14">
                  <c:v>0.1275272405952719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9-4AFC-946A-006CF406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53472"/>
        <c:axId val="303810816"/>
      </c:lineChart>
      <c:catAx>
        <c:axId val="1829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3810816"/>
        <c:crosses val="autoZero"/>
        <c:auto val="1"/>
        <c:lblAlgn val="ctr"/>
        <c:lblOffset val="100"/>
        <c:noMultiLvlLbl val="0"/>
      </c:catAx>
      <c:valAx>
        <c:axId val="3038108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8295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1A5-442A-B358-F7264DC0C9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5-442A-B358-F7264DC0C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53984"/>
        <c:axId val="37509529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A5-442A-B358-F7264DC0C9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5-442A-B358-F7264DC0C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53984"/>
        <c:axId val="375095296"/>
      </c:lineChart>
      <c:catAx>
        <c:axId val="18295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095296"/>
        <c:crosses val="autoZero"/>
        <c:auto val="1"/>
        <c:lblAlgn val="ctr"/>
        <c:lblOffset val="100"/>
        <c:noMultiLvlLbl val="0"/>
      </c:catAx>
      <c:valAx>
        <c:axId val="375095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95398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SHAFT</c:v>
                </c:pt>
                <c:pt idx="5">
                  <c:v>ACTUATOR</c:v>
                </c:pt>
                <c:pt idx="6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1">
                  <c:v>2137</c:v>
                </c:pt>
                <c:pt idx="2">
                  <c:v>4566</c:v>
                </c:pt>
                <c:pt idx="4">
                  <c:v>177440</c:v>
                </c:pt>
                <c:pt idx="6">
                  <c:v>3428</c:v>
                </c:pt>
                <c:pt idx="10">
                  <c:v>14091</c:v>
                </c:pt>
                <c:pt idx="11">
                  <c:v>632</c:v>
                </c:pt>
                <c:pt idx="13">
                  <c:v>4687</c:v>
                </c:pt>
                <c:pt idx="14">
                  <c:v>52908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3-446E-B6D4-0562D032FF8A}"/>
            </c:ext>
          </c:extLst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SHAFT</c:v>
                </c:pt>
                <c:pt idx="5">
                  <c:v>ACTUATOR</c:v>
                </c:pt>
                <c:pt idx="6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2140</c:v>
                </c:pt>
                <c:pt idx="2">
                  <c:v>4570</c:v>
                </c:pt>
                <c:pt idx="3">
                  <c:v>1630</c:v>
                </c:pt>
                <c:pt idx="4">
                  <c:v>177440</c:v>
                </c:pt>
                <c:pt idx="5">
                  <c:v>2310</c:v>
                </c:pt>
                <c:pt idx="6">
                  <c:v>3430</c:v>
                </c:pt>
                <c:pt idx="7">
                  <c:v>4240</c:v>
                </c:pt>
                <c:pt idx="8">
                  <c:v>556</c:v>
                </c:pt>
                <c:pt idx="9">
                  <c:v>910</c:v>
                </c:pt>
                <c:pt idx="10">
                  <c:v>14091</c:v>
                </c:pt>
                <c:pt idx="11">
                  <c:v>632</c:v>
                </c:pt>
                <c:pt idx="12">
                  <c:v>2310</c:v>
                </c:pt>
                <c:pt idx="13">
                  <c:v>4690</c:v>
                </c:pt>
                <c:pt idx="14">
                  <c:v>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3-446E-B6D4-0562D032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61248"/>
        <c:axId val="475534400"/>
      </c:lineChart>
      <c:catAx>
        <c:axId val="2270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534400"/>
        <c:crosses val="autoZero"/>
        <c:auto val="1"/>
        <c:lblAlgn val="ctr"/>
        <c:lblOffset val="100"/>
        <c:noMultiLvlLbl val="0"/>
      </c:catAx>
      <c:valAx>
        <c:axId val="4755344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2706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5"/>
                <c:pt idx="0">
                  <c:v>0%</c:v>
                </c:pt>
                <c:pt idx="1">
                  <c:v>58%</c:v>
                </c:pt>
                <c:pt idx="2">
                  <c:v>96%</c:v>
                </c:pt>
                <c:pt idx="3">
                  <c:v>0%</c:v>
                </c:pt>
                <c:pt idx="4">
                  <c:v>96%</c:v>
                </c:pt>
                <c:pt idx="5">
                  <c:v>0%</c:v>
                </c:pt>
                <c:pt idx="6">
                  <c:v>79%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21%</c:v>
                </c:pt>
                <c:pt idx="12">
                  <c:v>0%</c:v>
                </c:pt>
                <c:pt idx="13">
                  <c:v>100%</c:v>
                </c:pt>
                <c:pt idx="14">
                  <c:v>96%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SHAFT</c:v>
                </c:pt>
                <c:pt idx="5">
                  <c:v>ACTUATOR</c:v>
                </c:pt>
                <c:pt idx="6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</c:v>
                </c:pt>
                <c:pt idx="1">
                  <c:v>0.58251557632398754</c:v>
                </c:pt>
                <c:pt idx="2">
                  <c:v>0.95749452954048142</c:v>
                </c:pt>
                <c:pt idx="3">
                  <c:v>0</c:v>
                </c:pt>
                <c:pt idx="4">
                  <c:v>0.95833333333333337</c:v>
                </c:pt>
                <c:pt idx="5">
                  <c:v>0</c:v>
                </c:pt>
                <c:pt idx="6">
                  <c:v>0.7912050534499514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0.20833333333333334</c:v>
                </c:pt>
                <c:pt idx="12">
                  <c:v>0</c:v>
                </c:pt>
                <c:pt idx="13">
                  <c:v>0.99936034115138594</c:v>
                </c:pt>
                <c:pt idx="14">
                  <c:v>0.95666981132075479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3-4E22-90F8-E4B477EACDC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33-4E22-90F8-E4B477EACDC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SHAFT</c:v>
                </c:pt>
                <c:pt idx="5">
                  <c:v>ACTUATOR</c:v>
                </c:pt>
                <c:pt idx="6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0.43026079856354849</c:v>
                </c:pt>
                <c:pt idx="1">
                  <c:v>0.43026079856354849</c:v>
                </c:pt>
                <c:pt idx="2">
                  <c:v>0.43026079856354849</c:v>
                </c:pt>
                <c:pt idx="3">
                  <c:v>0.43026079856354849</c:v>
                </c:pt>
                <c:pt idx="4">
                  <c:v>0.43026079856354849</c:v>
                </c:pt>
                <c:pt idx="5">
                  <c:v>0.43026079856354849</c:v>
                </c:pt>
                <c:pt idx="6">
                  <c:v>0.43026079856354849</c:v>
                </c:pt>
                <c:pt idx="7">
                  <c:v>0.43026079856354849</c:v>
                </c:pt>
                <c:pt idx="8">
                  <c:v>0.43026079856354849</c:v>
                </c:pt>
                <c:pt idx="9">
                  <c:v>0.43026079856354849</c:v>
                </c:pt>
                <c:pt idx="10">
                  <c:v>0.43026079856354849</c:v>
                </c:pt>
                <c:pt idx="11">
                  <c:v>0.43026079856354849</c:v>
                </c:pt>
                <c:pt idx="12">
                  <c:v>0.43026079856354849</c:v>
                </c:pt>
                <c:pt idx="13">
                  <c:v>0.43026079856354849</c:v>
                </c:pt>
                <c:pt idx="14">
                  <c:v>0.43026079856354849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3-4E22-90F8-E4B477EAC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71488"/>
        <c:axId val="475536128"/>
      </c:lineChart>
      <c:catAx>
        <c:axId val="2270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475536128"/>
        <c:crosses val="autoZero"/>
        <c:auto val="1"/>
        <c:lblAlgn val="ctr"/>
        <c:lblOffset val="100"/>
        <c:noMultiLvlLbl val="0"/>
      </c:catAx>
      <c:valAx>
        <c:axId val="4755361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2707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SHAFT</c:v>
                </c:pt>
                <c:pt idx="5">
                  <c:v>ACTUATOR</c:v>
                </c:pt>
                <c:pt idx="6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1">
                  <c:v>2137</c:v>
                </c:pt>
                <c:pt idx="2">
                  <c:v>4566</c:v>
                </c:pt>
                <c:pt idx="4">
                  <c:v>177440</c:v>
                </c:pt>
                <c:pt idx="6">
                  <c:v>3428</c:v>
                </c:pt>
                <c:pt idx="10">
                  <c:v>14091</c:v>
                </c:pt>
                <c:pt idx="11">
                  <c:v>632</c:v>
                </c:pt>
                <c:pt idx="13">
                  <c:v>4687</c:v>
                </c:pt>
                <c:pt idx="14">
                  <c:v>52908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0-4804-9B5E-57421F8DBB02}"/>
            </c:ext>
          </c:extLst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SHAFT</c:v>
                </c:pt>
                <c:pt idx="5">
                  <c:v>ACTUATOR</c:v>
                </c:pt>
                <c:pt idx="6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2140</c:v>
                </c:pt>
                <c:pt idx="2">
                  <c:v>4570</c:v>
                </c:pt>
                <c:pt idx="3">
                  <c:v>1630</c:v>
                </c:pt>
                <c:pt idx="4">
                  <c:v>177440</c:v>
                </c:pt>
                <c:pt idx="5">
                  <c:v>2310</c:v>
                </c:pt>
                <c:pt idx="6">
                  <c:v>3430</c:v>
                </c:pt>
                <c:pt idx="7">
                  <c:v>4240</c:v>
                </c:pt>
                <c:pt idx="8">
                  <c:v>556</c:v>
                </c:pt>
                <c:pt idx="9">
                  <c:v>910</c:v>
                </c:pt>
                <c:pt idx="10">
                  <c:v>14091</c:v>
                </c:pt>
                <c:pt idx="11">
                  <c:v>632</c:v>
                </c:pt>
                <c:pt idx="12">
                  <c:v>2310</c:v>
                </c:pt>
                <c:pt idx="13">
                  <c:v>4690</c:v>
                </c:pt>
                <c:pt idx="14">
                  <c:v>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0-4804-9B5E-57421F8D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72000"/>
        <c:axId val="553181184"/>
      </c:lineChart>
      <c:catAx>
        <c:axId val="22707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181184"/>
        <c:crosses val="autoZero"/>
        <c:auto val="1"/>
        <c:lblAlgn val="ctr"/>
        <c:lblOffset val="100"/>
        <c:noMultiLvlLbl val="0"/>
      </c:catAx>
      <c:valAx>
        <c:axId val="5531811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27072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5"/>
                <c:pt idx="0">
                  <c:v>0%</c:v>
                </c:pt>
                <c:pt idx="1">
                  <c:v>58%</c:v>
                </c:pt>
                <c:pt idx="2">
                  <c:v>96%</c:v>
                </c:pt>
                <c:pt idx="3">
                  <c:v>0%</c:v>
                </c:pt>
                <c:pt idx="4">
                  <c:v>96%</c:v>
                </c:pt>
                <c:pt idx="5">
                  <c:v>0%</c:v>
                </c:pt>
                <c:pt idx="6">
                  <c:v>79%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21%</c:v>
                </c:pt>
                <c:pt idx="12">
                  <c:v>0%</c:v>
                </c:pt>
                <c:pt idx="13">
                  <c:v>100%</c:v>
                </c:pt>
                <c:pt idx="14">
                  <c:v>96%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SHAFT</c:v>
                </c:pt>
                <c:pt idx="5">
                  <c:v>ACTUATOR</c:v>
                </c:pt>
                <c:pt idx="6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</c:v>
                </c:pt>
                <c:pt idx="1">
                  <c:v>0.58251557632398754</c:v>
                </c:pt>
                <c:pt idx="2">
                  <c:v>0.95749452954048142</c:v>
                </c:pt>
                <c:pt idx="3">
                  <c:v>0</c:v>
                </c:pt>
                <c:pt idx="4">
                  <c:v>0.95833333333333337</c:v>
                </c:pt>
                <c:pt idx="5">
                  <c:v>0</c:v>
                </c:pt>
                <c:pt idx="6">
                  <c:v>0.7912050534499514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0.20833333333333334</c:v>
                </c:pt>
                <c:pt idx="12">
                  <c:v>0</c:v>
                </c:pt>
                <c:pt idx="13">
                  <c:v>0.99936034115138594</c:v>
                </c:pt>
                <c:pt idx="14">
                  <c:v>0.95666981132075479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4-4527-BA24-8B21422BAD5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94-4527-BA24-8B21422BAD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SPACER A,B</c:v>
                </c:pt>
                <c:pt idx="4">
                  <c:v>SHAFT</c:v>
                </c:pt>
                <c:pt idx="5">
                  <c:v>ACTUATOR</c:v>
                </c:pt>
                <c:pt idx="6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203T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0.43026079856354849</c:v>
                </c:pt>
                <c:pt idx="1">
                  <c:v>0.43026079856354849</c:v>
                </c:pt>
                <c:pt idx="2">
                  <c:v>0.43026079856354849</c:v>
                </c:pt>
                <c:pt idx="3">
                  <c:v>0.43026079856354849</c:v>
                </c:pt>
                <c:pt idx="4">
                  <c:v>0.43026079856354849</c:v>
                </c:pt>
                <c:pt idx="5">
                  <c:v>0.43026079856354849</c:v>
                </c:pt>
                <c:pt idx="6">
                  <c:v>0.43026079856354849</c:v>
                </c:pt>
                <c:pt idx="7">
                  <c:v>0.43026079856354849</c:v>
                </c:pt>
                <c:pt idx="8">
                  <c:v>0.43026079856354849</c:v>
                </c:pt>
                <c:pt idx="9">
                  <c:v>0.43026079856354849</c:v>
                </c:pt>
                <c:pt idx="10">
                  <c:v>0.43026079856354849</c:v>
                </c:pt>
                <c:pt idx="11">
                  <c:v>0.43026079856354849</c:v>
                </c:pt>
                <c:pt idx="12">
                  <c:v>0.43026079856354849</c:v>
                </c:pt>
                <c:pt idx="13">
                  <c:v>0.43026079856354849</c:v>
                </c:pt>
                <c:pt idx="14">
                  <c:v>0.43026079856354849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4-4527-BA24-8B21422B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73024"/>
        <c:axId val="553182912"/>
      </c:lineChart>
      <c:catAx>
        <c:axId val="2270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553182912"/>
        <c:crosses val="autoZero"/>
        <c:auto val="1"/>
        <c:lblAlgn val="ctr"/>
        <c:lblOffset val="100"/>
        <c:noMultiLvlLbl val="0"/>
      </c:catAx>
      <c:valAx>
        <c:axId val="5531829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2707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708-49A3-920F-E9E34C2D4C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8-49A3-920F-E9E34C2D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70976"/>
        <c:axId val="55318579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08-49A3-920F-E9E34C2D4CC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08-49A3-920F-E9E34C2D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70976"/>
        <c:axId val="553185792"/>
      </c:lineChart>
      <c:catAx>
        <c:axId val="22707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85792"/>
        <c:crosses val="autoZero"/>
        <c:auto val="1"/>
        <c:lblAlgn val="ctr"/>
        <c:lblOffset val="100"/>
        <c:noMultiLvlLbl val="0"/>
      </c:catAx>
      <c:valAx>
        <c:axId val="553185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707097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ACTUATOR</c:v>
                </c:pt>
                <c:pt idx="6">
                  <c:v>STOPPER</c:v>
                </c:pt>
                <c:pt idx="7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203T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1">
                  <c:v>4653</c:v>
                </c:pt>
                <c:pt idx="2">
                  <c:v>5171</c:v>
                </c:pt>
                <c:pt idx="3">
                  <c:v>4324</c:v>
                </c:pt>
                <c:pt idx="4">
                  <c:v>812</c:v>
                </c:pt>
                <c:pt idx="6">
                  <c:v>1166</c:v>
                </c:pt>
                <c:pt idx="7">
                  <c:v>3048</c:v>
                </c:pt>
                <c:pt idx="11">
                  <c:v>9360</c:v>
                </c:pt>
                <c:pt idx="13">
                  <c:v>0</c:v>
                </c:pt>
                <c:pt idx="14">
                  <c:v>2909</c:v>
                </c:pt>
                <c:pt idx="15">
                  <c:v>59372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0-4157-BBAA-4B80B67BDBD3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ACTUATOR</c:v>
                </c:pt>
                <c:pt idx="6">
                  <c:v>STOPPER</c:v>
                </c:pt>
                <c:pt idx="7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203T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4660</c:v>
                </c:pt>
                <c:pt idx="2">
                  <c:v>5180</c:v>
                </c:pt>
                <c:pt idx="3">
                  <c:v>4324</c:v>
                </c:pt>
                <c:pt idx="4">
                  <c:v>812</c:v>
                </c:pt>
                <c:pt idx="5">
                  <c:v>2310</c:v>
                </c:pt>
                <c:pt idx="6">
                  <c:v>1170</c:v>
                </c:pt>
                <c:pt idx="7">
                  <c:v>3050</c:v>
                </c:pt>
                <c:pt idx="8">
                  <c:v>4240</c:v>
                </c:pt>
                <c:pt idx="9">
                  <c:v>556</c:v>
                </c:pt>
                <c:pt idx="10">
                  <c:v>910</c:v>
                </c:pt>
                <c:pt idx="11">
                  <c:v>9360</c:v>
                </c:pt>
                <c:pt idx="12">
                  <c:v>632</c:v>
                </c:pt>
                <c:pt idx="13">
                  <c:v>2310</c:v>
                </c:pt>
                <c:pt idx="14">
                  <c:v>2910</c:v>
                </c:pt>
                <c:pt idx="15">
                  <c:v>59380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0-4157-BBAA-4B80B67BD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28864"/>
        <c:axId val="567131456"/>
      </c:lineChart>
      <c:catAx>
        <c:axId val="2274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7131456"/>
        <c:crosses val="autoZero"/>
        <c:auto val="1"/>
        <c:lblAlgn val="ctr"/>
        <c:lblOffset val="100"/>
        <c:noMultiLvlLbl val="0"/>
      </c:catAx>
      <c:valAx>
        <c:axId val="56713145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27428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46%</c:v>
                </c:pt>
                <c:pt idx="4">
                  <c:v>42%</c:v>
                </c:pt>
                <c:pt idx="5">
                  <c:v>0%</c:v>
                </c:pt>
                <c:pt idx="6">
                  <c:v>25%</c:v>
                </c:pt>
                <c:pt idx="7">
                  <c:v>71%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67%</c:v>
                </c:pt>
                <c:pt idx="12">
                  <c:v>0%</c:v>
                </c:pt>
                <c:pt idx="13">
                  <c:v>0%</c:v>
                </c:pt>
                <c:pt idx="14">
                  <c:v>58%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ACTUATOR</c:v>
                </c:pt>
                <c:pt idx="6">
                  <c:v>STOPPER</c:v>
                </c:pt>
                <c:pt idx="7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203T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0.99849785407725322</c:v>
                </c:pt>
                <c:pt idx="2">
                  <c:v>0.99826254826254823</c:v>
                </c:pt>
                <c:pt idx="3">
                  <c:v>0.45833333333333331</c:v>
                </c:pt>
                <c:pt idx="4">
                  <c:v>0.41666666666666669</c:v>
                </c:pt>
                <c:pt idx="5">
                  <c:v>0</c:v>
                </c:pt>
                <c:pt idx="6">
                  <c:v>0.24914529914529915</c:v>
                </c:pt>
                <c:pt idx="7">
                  <c:v>0.70786885245901643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0.66666666666666663</c:v>
                </c:pt>
                <c:pt idx="12">
                  <c:v>0</c:v>
                </c:pt>
                <c:pt idx="13">
                  <c:v>0</c:v>
                </c:pt>
                <c:pt idx="14">
                  <c:v>0.58313287514318446</c:v>
                </c:pt>
                <c:pt idx="15">
                  <c:v>0.99986527450319973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E-49C4-8A99-3A6DDFEFB30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9E-49C4-8A99-3A6DDFEFB3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ACTUATOR</c:v>
                </c:pt>
                <c:pt idx="6">
                  <c:v>STOPPER</c:v>
                </c:pt>
                <c:pt idx="7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203T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0.40522929135047792</c:v>
                </c:pt>
                <c:pt idx="1">
                  <c:v>0.40522929135047792</c:v>
                </c:pt>
                <c:pt idx="2">
                  <c:v>0.40522929135047792</c:v>
                </c:pt>
                <c:pt idx="3">
                  <c:v>0.40522929135047792</c:v>
                </c:pt>
                <c:pt idx="4">
                  <c:v>0.40522929135047792</c:v>
                </c:pt>
                <c:pt idx="5">
                  <c:v>0.40522929135047792</c:v>
                </c:pt>
                <c:pt idx="6">
                  <c:v>0.40522929135047792</c:v>
                </c:pt>
                <c:pt idx="7">
                  <c:v>0.99986527450319973</c:v>
                </c:pt>
                <c:pt idx="8">
                  <c:v>0.40522929135047792</c:v>
                </c:pt>
                <c:pt idx="9">
                  <c:v>0.40522929135047792</c:v>
                </c:pt>
                <c:pt idx="10">
                  <c:v>0.40522929135047792</c:v>
                </c:pt>
                <c:pt idx="11">
                  <c:v>0.40522929135047792</c:v>
                </c:pt>
                <c:pt idx="12">
                  <c:v>0.40522929135047792</c:v>
                </c:pt>
                <c:pt idx="13">
                  <c:v>0.40522929135047792</c:v>
                </c:pt>
                <c:pt idx="14">
                  <c:v>0.40522929135047792</c:v>
                </c:pt>
                <c:pt idx="15">
                  <c:v>0.40522929135047792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E-49C4-8A99-3A6DDFEF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47296"/>
        <c:axId val="32253056"/>
      </c:lineChart>
      <c:catAx>
        <c:axId val="2274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2253056"/>
        <c:crosses val="autoZero"/>
        <c:auto val="1"/>
        <c:lblAlgn val="ctr"/>
        <c:lblOffset val="100"/>
        <c:noMultiLvlLbl val="0"/>
      </c:catAx>
      <c:valAx>
        <c:axId val="322530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27447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92%</c:v>
                </c:pt>
                <c:pt idx="4">
                  <c:v>0%</c:v>
                </c:pt>
                <c:pt idx="5">
                  <c:v>100%</c:v>
                </c:pt>
                <c:pt idx="6">
                  <c:v>83%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87%</c:v>
                </c:pt>
                <c:pt idx="11">
                  <c:v>0%</c:v>
                </c:pt>
                <c:pt idx="12">
                  <c:v>100%</c:v>
                </c:pt>
                <c:pt idx="13">
                  <c:v>88%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0.99828571428571433</c:v>
                </c:pt>
                <c:pt idx="3">
                  <c:v>0.91666666666666663</c:v>
                </c:pt>
                <c:pt idx="4">
                  <c:v>0</c:v>
                </c:pt>
                <c:pt idx="5">
                  <c:v>0.99886621315192747</c:v>
                </c:pt>
                <c:pt idx="6">
                  <c:v>0.83168316831683176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0.87459112149532714</c:v>
                </c:pt>
                <c:pt idx="11">
                  <c:v>0</c:v>
                </c:pt>
                <c:pt idx="12">
                  <c:v>0.99948453608247423</c:v>
                </c:pt>
                <c:pt idx="13">
                  <c:v>0.875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3-4340-BEBC-913A8D2D3F0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53-4340-BEBC-913A8D2D3F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0.4996384946665961</c:v>
                </c:pt>
                <c:pt idx="1">
                  <c:v>0.4996384946665961</c:v>
                </c:pt>
                <c:pt idx="2">
                  <c:v>0.4996384946665961</c:v>
                </c:pt>
                <c:pt idx="3">
                  <c:v>0.4996384946665961</c:v>
                </c:pt>
                <c:pt idx="4">
                  <c:v>0.4996384946665961</c:v>
                </c:pt>
                <c:pt idx="5">
                  <c:v>0.4996384946665961</c:v>
                </c:pt>
                <c:pt idx="6">
                  <c:v>0.4996384946665961</c:v>
                </c:pt>
                <c:pt idx="7">
                  <c:v>0.4996384946665961</c:v>
                </c:pt>
                <c:pt idx="8">
                  <c:v>0.4996384946665961</c:v>
                </c:pt>
                <c:pt idx="9">
                  <c:v>0.4996384946665961</c:v>
                </c:pt>
                <c:pt idx="10">
                  <c:v>0.4996384946665961</c:v>
                </c:pt>
                <c:pt idx="11">
                  <c:v>0.4996384946665961</c:v>
                </c:pt>
                <c:pt idx="12">
                  <c:v>0.4996384946665961</c:v>
                </c:pt>
                <c:pt idx="13">
                  <c:v>0.4996384946665961</c:v>
                </c:pt>
                <c:pt idx="14">
                  <c:v>0.4996384946665961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3-4340-BEBC-913A8D2D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16288"/>
        <c:axId val="176542208"/>
      </c:lineChart>
      <c:catAx>
        <c:axId val="2375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76542208"/>
        <c:crosses val="autoZero"/>
        <c:auto val="1"/>
        <c:lblAlgn val="ctr"/>
        <c:lblOffset val="100"/>
        <c:noMultiLvlLbl val="0"/>
      </c:catAx>
      <c:valAx>
        <c:axId val="1765422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751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ACTUATOR</c:v>
                </c:pt>
                <c:pt idx="6">
                  <c:v>STOPPER</c:v>
                </c:pt>
                <c:pt idx="7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203T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1">
                  <c:v>4653</c:v>
                </c:pt>
                <c:pt idx="2">
                  <c:v>5171</c:v>
                </c:pt>
                <c:pt idx="3">
                  <c:v>4324</c:v>
                </c:pt>
                <c:pt idx="4">
                  <c:v>812</c:v>
                </c:pt>
                <c:pt idx="6">
                  <c:v>1166</c:v>
                </c:pt>
                <c:pt idx="7">
                  <c:v>3048</c:v>
                </c:pt>
                <c:pt idx="11">
                  <c:v>9360</c:v>
                </c:pt>
                <c:pt idx="13">
                  <c:v>0</c:v>
                </c:pt>
                <c:pt idx="14">
                  <c:v>2909</c:v>
                </c:pt>
                <c:pt idx="15">
                  <c:v>59372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B-4685-95A5-A7E9139D02CE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ACTUATOR</c:v>
                </c:pt>
                <c:pt idx="6">
                  <c:v>STOPPER</c:v>
                </c:pt>
                <c:pt idx="7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203T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4660</c:v>
                </c:pt>
                <c:pt idx="2">
                  <c:v>5180</c:v>
                </c:pt>
                <c:pt idx="3">
                  <c:v>4324</c:v>
                </c:pt>
                <c:pt idx="4">
                  <c:v>812</c:v>
                </c:pt>
                <c:pt idx="5">
                  <c:v>2310</c:v>
                </c:pt>
                <c:pt idx="6">
                  <c:v>1170</c:v>
                </c:pt>
                <c:pt idx="7">
                  <c:v>3050</c:v>
                </c:pt>
                <c:pt idx="8">
                  <c:v>4240</c:v>
                </c:pt>
                <c:pt idx="9">
                  <c:v>556</c:v>
                </c:pt>
                <c:pt idx="10">
                  <c:v>910</c:v>
                </c:pt>
                <c:pt idx="11">
                  <c:v>9360</c:v>
                </c:pt>
                <c:pt idx="12">
                  <c:v>632</c:v>
                </c:pt>
                <c:pt idx="13">
                  <c:v>2310</c:v>
                </c:pt>
                <c:pt idx="14">
                  <c:v>2910</c:v>
                </c:pt>
                <c:pt idx="15">
                  <c:v>59380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B-4685-95A5-A7E9139D0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47808"/>
        <c:axId val="32255360"/>
      </c:lineChart>
      <c:catAx>
        <c:axId val="2274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55360"/>
        <c:crosses val="autoZero"/>
        <c:auto val="1"/>
        <c:lblAlgn val="ctr"/>
        <c:lblOffset val="100"/>
        <c:noMultiLvlLbl val="0"/>
      </c:catAx>
      <c:valAx>
        <c:axId val="322553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27447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46%</c:v>
                </c:pt>
                <c:pt idx="4">
                  <c:v>42%</c:v>
                </c:pt>
                <c:pt idx="5">
                  <c:v>0%</c:v>
                </c:pt>
                <c:pt idx="6">
                  <c:v>25%</c:v>
                </c:pt>
                <c:pt idx="7">
                  <c:v>71%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67%</c:v>
                </c:pt>
                <c:pt idx="12">
                  <c:v>0%</c:v>
                </c:pt>
                <c:pt idx="13">
                  <c:v>0%</c:v>
                </c:pt>
                <c:pt idx="14">
                  <c:v>58%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ACTUATOR</c:v>
                </c:pt>
                <c:pt idx="6">
                  <c:v>STOPPER</c:v>
                </c:pt>
                <c:pt idx="7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203T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0.99849785407725322</c:v>
                </c:pt>
                <c:pt idx="2">
                  <c:v>0.99826254826254823</c:v>
                </c:pt>
                <c:pt idx="3">
                  <c:v>0.45833333333333331</c:v>
                </c:pt>
                <c:pt idx="4">
                  <c:v>0.41666666666666669</c:v>
                </c:pt>
                <c:pt idx="5">
                  <c:v>0</c:v>
                </c:pt>
                <c:pt idx="6">
                  <c:v>0.24914529914529915</c:v>
                </c:pt>
                <c:pt idx="7">
                  <c:v>0.70786885245901643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0.66666666666666663</c:v>
                </c:pt>
                <c:pt idx="12">
                  <c:v>0</c:v>
                </c:pt>
                <c:pt idx="13">
                  <c:v>0</c:v>
                </c:pt>
                <c:pt idx="14">
                  <c:v>0.58313287514318446</c:v>
                </c:pt>
                <c:pt idx="15">
                  <c:v>0.99986527450319973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4-4729-B2D4-CB98E36F660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64-4729-B2D4-CB98E36F66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ACTUATOR</c:v>
                </c:pt>
                <c:pt idx="6">
                  <c:v>STOPPER</c:v>
                </c:pt>
                <c:pt idx="7">
                  <c:v>BODY</c:v>
                </c:pt>
                <c:pt idx="9">
                  <c:v>BASE</c:v>
                </c:pt>
                <c:pt idx="10">
                  <c:v>ADAPTER</c:v>
                </c:pt>
                <c:pt idx="11">
                  <c:v>203T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0.40522929135047792</c:v>
                </c:pt>
                <c:pt idx="1">
                  <c:v>0.40522929135047792</c:v>
                </c:pt>
                <c:pt idx="2">
                  <c:v>0.40522929135047792</c:v>
                </c:pt>
                <c:pt idx="3">
                  <c:v>0.40522929135047792</c:v>
                </c:pt>
                <c:pt idx="4">
                  <c:v>0.40522929135047792</c:v>
                </c:pt>
                <c:pt idx="5">
                  <c:v>0.40522929135047792</c:v>
                </c:pt>
                <c:pt idx="6">
                  <c:v>0.40522929135047792</c:v>
                </c:pt>
                <c:pt idx="7">
                  <c:v>0.99986527450319973</c:v>
                </c:pt>
                <c:pt idx="8">
                  <c:v>0.40522929135047792</c:v>
                </c:pt>
                <c:pt idx="9">
                  <c:v>0.40522929135047792</c:v>
                </c:pt>
                <c:pt idx="10">
                  <c:v>0.40522929135047792</c:v>
                </c:pt>
                <c:pt idx="11">
                  <c:v>0.40522929135047792</c:v>
                </c:pt>
                <c:pt idx="12">
                  <c:v>0.40522929135047792</c:v>
                </c:pt>
                <c:pt idx="13">
                  <c:v>0.40522929135047792</c:v>
                </c:pt>
                <c:pt idx="14">
                  <c:v>0.40522929135047792</c:v>
                </c:pt>
                <c:pt idx="15">
                  <c:v>0.40522929135047792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4-4729-B2D4-CB98E36F6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48832"/>
        <c:axId val="32257088"/>
      </c:lineChart>
      <c:catAx>
        <c:axId val="2274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2257088"/>
        <c:crosses val="autoZero"/>
        <c:auto val="1"/>
        <c:lblAlgn val="ctr"/>
        <c:lblOffset val="100"/>
        <c:noMultiLvlLbl val="0"/>
      </c:catAx>
      <c:valAx>
        <c:axId val="322570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274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AE1-4509-8A9E-3C5FB4760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1-4509-8A9E-3C5FB4760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49344"/>
        <c:axId val="3225939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E1-4509-8A9E-3C5FB47607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1-4509-8A9E-3C5FB4760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49344"/>
        <c:axId val="32259392"/>
      </c:lineChart>
      <c:catAx>
        <c:axId val="22744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59392"/>
        <c:crosses val="autoZero"/>
        <c:auto val="1"/>
        <c:lblAlgn val="ctr"/>
        <c:lblOffset val="100"/>
        <c:noMultiLvlLbl val="0"/>
      </c:catAx>
      <c:valAx>
        <c:axId val="32259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744934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LATCH C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'13'!$L$6:$L$20</c:f>
              <c:numCache>
                <c:formatCode>_(* #,##0_);_(* \(#,##0\);_(* "-"_);_(@_)</c:formatCode>
                <c:ptCount val="15"/>
                <c:pt idx="1">
                  <c:v>4615</c:v>
                </c:pt>
                <c:pt idx="2">
                  <c:v>2860</c:v>
                </c:pt>
                <c:pt idx="3">
                  <c:v>1157</c:v>
                </c:pt>
                <c:pt idx="4">
                  <c:v>421</c:v>
                </c:pt>
                <c:pt idx="5">
                  <c:v>4563</c:v>
                </c:pt>
                <c:pt idx="6">
                  <c:v>3908</c:v>
                </c:pt>
                <c:pt idx="7">
                  <c:v>5546</c:v>
                </c:pt>
                <c:pt idx="10">
                  <c:v>3834</c:v>
                </c:pt>
                <c:pt idx="13">
                  <c:v>3071</c:v>
                </c:pt>
                <c:pt idx="14">
                  <c:v>59200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6-40CF-AE56-1C1CC4520027}"/>
            </c:ext>
          </c:extLst>
        </c:ser>
        <c:ser>
          <c:idx val="1"/>
          <c:order val="1"/>
          <c:tx>
            <c:v>계획</c:v>
          </c:tx>
          <c:cat>
            <c:strRef>
              <c:f>'13'!$D$6:$D$20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LATCH C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'13'!$J$6:$J$20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4620</c:v>
                </c:pt>
                <c:pt idx="2">
                  <c:v>2860</c:v>
                </c:pt>
                <c:pt idx="3">
                  <c:v>1160</c:v>
                </c:pt>
                <c:pt idx="4">
                  <c:v>421</c:v>
                </c:pt>
                <c:pt idx="5">
                  <c:v>4670</c:v>
                </c:pt>
                <c:pt idx="6">
                  <c:v>3910</c:v>
                </c:pt>
                <c:pt idx="7">
                  <c:v>5550</c:v>
                </c:pt>
                <c:pt idx="8">
                  <c:v>556</c:v>
                </c:pt>
                <c:pt idx="9">
                  <c:v>910</c:v>
                </c:pt>
                <c:pt idx="10">
                  <c:v>3840</c:v>
                </c:pt>
                <c:pt idx="11">
                  <c:v>632</c:v>
                </c:pt>
                <c:pt idx="12">
                  <c:v>2310</c:v>
                </c:pt>
                <c:pt idx="13">
                  <c:v>3080</c:v>
                </c:pt>
                <c:pt idx="14">
                  <c:v>59200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6-40CF-AE56-1C1CC452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34784"/>
        <c:axId val="263825664"/>
      </c:lineChart>
      <c:catAx>
        <c:axId val="2317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825664"/>
        <c:crosses val="autoZero"/>
        <c:auto val="1"/>
        <c:lblAlgn val="ctr"/>
        <c:lblOffset val="100"/>
        <c:noMultiLvlLbl val="0"/>
      </c:catAx>
      <c:valAx>
        <c:axId val="26382566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173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'13'!$AD$6:$AD$20</c:f>
              <c:strCache>
                <c:ptCount val="15"/>
                <c:pt idx="0">
                  <c:v>0%</c:v>
                </c:pt>
                <c:pt idx="1">
                  <c:v>100%</c:v>
                </c:pt>
                <c:pt idx="2">
                  <c:v>63%</c:v>
                </c:pt>
                <c:pt idx="3">
                  <c:v>33%</c:v>
                </c:pt>
                <c:pt idx="4">
                  <c:v>29%</c:v>
                </c:pt>
                <c:pt idx="5">
                  <c:v>94%</c:v>
                </c:pt>
                <c:pt idx="6">
                  <c:v>92%</c:v>
                </c:pt>
                <c:pt idx="7">
                  <c:v>58%</c:v>
                </c:pt>
                <c:pt idx="8">
                  <c:v>0%</c:v>
                </c:pt>
                <c:pt idx="9">
                  <c:v>0%</c:v>
                </c:pt>
                <c:pt idx="10">
                  <c:v>92%</c:v>
                </c:pt>
                <c:pt idx="11">
                  <c:v>0%</c:v>
                </c:pt>
                <c:pt idx="12">
                  <c:v>0%</c:v>
                </c:pt>
                <c:pt idx="13">
                  <c:v>66%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LATCH C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'13'!$AD$6:$AD$20</c:f>
              <c:numCache>
                <c:formatCode>0%</c:formatCode>
                <c:ptCount val="15"/>
                <c:pt idx="0">
                  <c:v>0</c:v>
                </c:pt>
                <c:pt idx="1">
                  <c:v>0.99891774891774887</c:v>
                </c:pt>
                <c:pt idx="2">
                  <c:v>0.625</c:v>
                </c:pt>
                <c:pt idx="3">
                  <c:v>0.33247126436781604</c:v>
                </c:pt>
                <c:pt idx="4">
                  <c:v>0.29166666666666669</c:v>
                </c:pt>
                <c:pt idx="5">
                  <c:v>0.93637580299785872</c:v>
                </c:pt>
                <c:pt idx="6">
                  <c:v>0.91619778346121061</c:v>
                </c:pt>
                <c:pt idx="7">
                  <c:v>0.58291291291291292</c:v>
                </c:pt>
                <c:pt idx="8">
                  <c:v>0</c:v>
                </c:pt>
                <c:pt idx="9">
                  <c:v>0</c:v>
                </c:pt>
                <c:pt idx="10">
                  <c:v>0.91523437499999993</c:v>
                </c:pt>
                <c:pt idx="11">
                  <c:v>0</c:v>
                </c:pt>
                <c:pt idx="12">
                  <c:v>0</c:v>
                </c:pt>
                <c:pt idx="13">
                  <c:v>0.66471861471861471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C-4B4C-992B-CC36B4586B1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9C-4B4C-992B-CC36B4586B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LATCH C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'13'!$AE$6:$AE$20</c:f>
              <c:numCache>
                <c:formatCode>0%</c:formatCode>
                <c:ptCount val="15"/>
                <c:pt idx="0">
                  <c:v>0.48423301126952184</c:v>
                </c:pt>
                <c:pt idx="1">
                  <c:v>0.48423301126952184</c:v>
                </c:pt>
                <c:pt idx="2">
                  <c:v>0.48423301126952184</c:v>
                </c:pt>
                <c:pt idx="3">
                  <c:v>0.48423301126952184</c:v>
                </c:pt>
                <c:pt idx="4">
                  <c:v>0.48423301126952184</c:v>
                </c:pt>
                <c:pt idx="5">
                  <c:v>0.48423301126952184</c:v>
                </c:pt>
                <c:pt idx="6">
                  <c:v>1</c:v>
                </c:pt>
                <c:pt idx="7">
                  <c:v>0.48423301126952184</c:v>
                </c:pt>
                <c:pt idx="8">
                  <c:v>0.48423301126952184</c:v>
                </c:pt>
                <c:pt idx="9">
                  <c:v>0.48423301126952184</c:v>
                </c:pt>
                <c:pt idx="10">
                  <c:v>0.48423301126952184</c:v>
                </c:pt>
                <c:pt idx="11">
                  <c:v>0.48423301126952184</c:v>
                </c:pt>
                <c:pt idx="12">
                  <c:v>0.48423301126952184</c:v>
                </c:pt>
                <c:pt idx="13">
                  <c:v>0.48423301126952184</c:v>
                </c:pt>
                <c:pt idx="14">
                  <c:v>0.48423301126952184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C-4B4C-992B-CC36B458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84960"/>
        <c:axId val="263827392"/>
      </c:lineChart>
      <c:catAx>
        <c:axId val="2317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3827392"/>
        <c:crosses val="autoZero"/>
        <c:auto val="1"/>
        <c:lblAlgn val="ctr"/>
        <c:lblOffset val="100"/>
        <c:noMultiLvlLbl val="0"/>
      </c:catAx>
      <c:valAx>
        <c:axId val="2638273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178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LATCH C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'13'!$L$6:$L$20</c:f>
              <c:numCache>
                <c:formatCode>_(* #,##0_);_(* \(#,##0\);_(* "-"_);_(@_)</c:formatCode>
                <c:ptCount val="15"/>
                <c:pt idx="1">
                  <c:v>4615</c:v>
                </c:pt>
                <c:pt idx="2">
                  <c:v>2860</c:v>
                </c:pt>
                <c:pt idx="3">
                  <c:v>1157</c:v>
                </c:pt>
                <c:pt idx="4">
                  <c:v>421</c:v>
                </c:pt>
                <c:pt idx="5">
                  <c:v>4563</c:v>
                </c:pt>
                <c:pt idx="6">
                  <c:v>3908</c:v>
                </c:pt>
                <c:pt idx="7">
                  <c:v>5546</c:v>
                </c:pt>
                <c:pt idx="10">
                  <c:v>3834</c:v>
                </c:pt>
                <c:pt idx="13">
                  <c:v>3071</c:v>
                </c:pt>
                <c:pt idx="14">
                  <c:v>59200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7-437B-9048-BBDC5311F23A}"/>
            </c:ext>
          </c:extLst>
        </c:ser>
        <c:ser>
          <c:idx val="1"/>
          <c:order val="1"/>
          <c:tx>
            <c:v>계획</c:v>
          </c:tx>
          <c:cat>
            <c:strRef>
              <c:f>'13'!$D$6:$D$20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LATCH C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'13'!$J$6:$J$20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4620</c:v>
                </c:pt>
                <c:pt idx="2">
                  <c:v>2860</c:v>
                </c:pt>
                <c:pt idx="3">
                  <c:v>1160</c:v>
                </c:pt>
                <c:pt idx="4">
                  <c:v>421</c:v>
                </c:pt>
                <c:pt idx="5">
                  <c:v>4670</c:v>
                </c:pt>
                <c:pt idx="6">
                  <c:v>3910</c:v>
                </c:pt>
                <c:pt idx="7">
                  <c:v>5550</c:v>
                </c:pt>
                <c:pt idx="8">
                  <c:v>556</c:v>
                </c:pt>
                <c:pt idx="9">
                  <c:v>910</c:v>
                </c:pt>
                <c:pt idx="10">
                  <c:v>3840</c:v>
                </c:pt>
                <c:pt idx="11">
                  <c:v>632</c:v>
                </c:pt>
                <c:pt idx="12">
                  <c:v>2310</c:v>
                </c:pt>
                <c:pt idx="13">
                  <c:v>3080</c:v>
                </c:pt>
                <c:pt idx="14">
                  <c:v>59200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7-437B-9048-BBDC5311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85984"/>
        <c:axId val="263829696"/>
      </c:lineChart>
      <c:catAx>
        <c:axId val="2317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829696"/>
        <c:crosses val="autoZero"/>
        <c:auto val="1"/>
        <c:lblAlgn val="ctr"/>
        <c:lblOffset val="100"/>
        <c:noMultiLvlLbl val="0"/>
      </c:catAx>
      <c:valAx>
        <c:axId val="2638296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178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'13'!$AD$6:$AD$20</c:f>
              <c:strCache>
                <c:ptCount val="15"/>
                <c:pt idx="0">
                  <c:v>0%</c:v>
                </c:pt>
                <c:pt idx="1">
                  <c:v>100%</c:v>
                </c:pt>
                <c:pt idx="2">
                  <c:v>63%</c:v>
                </c:pt>
                <c:pt idx="3">
                  <c:v>33%</c:v>
                </c:pt>
                <c:pt idx="4">
                  <c:v>29%</c:v>
                </c:pt>
                <c:pt idx="5">
                  <c:v>94%</c:v>
                </c:pt>
                <c:pt idx="6">
                  <c:v>92%</c:v>
                </c:pt>
                <c:pt idx="7">
                  <c:v>58%</c:v>
                </c:pt>
                <c:pt idx="8">
                  <c:v>0%</c:v>
                </c:pt>
                <c:pt idx="9">
                  <c:v>0%</c:v>
                </c:pt>
                <c:pt idx="10">
                  <c:v>92%</c:v>
                </c:pt>
                <c:pt idx="11">
                  <c:v>0%</c:v>
                </c:pt>
                <c:pt idx="12">
                  <c:v>0%</c:v>
                </c:pt>
                <c:pt idx="13">
                  <c:v>66%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LATCH C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'13'!$AD$6:$AD$20</c:f>
              <c:numCache>
                <c:formatCode>0%</c:formatCode>
                <c:ptCount val="15"/>
                <c:pt idx="0">
                  <c:v>0</c:v>
                </c:pt>
                <c:pt idx="1">
                  <c:v>0.99891774891774887</c:v>
                </c:pt>
                <c:pt idx="2">
                  <c:v>0.625</c:v>
                </c:pt>
                <c:pt idx="3">
                  <c:v>0.33247126436781604</c:v>
                </c:pt>
                <c:pt idx="4">
                  <c:v>0.29166666666666669</c:v>
                </c:pt>
                <c:pt idx="5">
                  <c:v>0.93637580299785872</c:v>
                </c:pt>
                <c:pt idx="6">
                  <c:v>0.91619778346121061</c:v>
                </c:pt>
                <c:pt idx="7">
                  <c:v>0.58291291291291292</c:v>
                </c:pt>
                <c:pt idx="8">
                  <c:v>0</c:v>
                </c:pt>
                <c:pt idx="9">
                  <c:v>0</c:v>
                </c:pt>
                <c:pt idx="10">
                  <c:v>0.91523437499999993</c:v>
                </c:pt>
                <c:pt idx="11">
                  <c:v>0</c:v>
                </c:pt>
                <c:pt idx="12">
                  <c:v>0</c:v>
                </c:pt>
                <c:pt idx="13">
                  <c:v>0.66471861471861471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D-4E8F-856F-4A619836EE7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8D-4E8F-856F-4A619836EE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SEPARATOR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LATCH C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'13'!$AE$6:$AE$20</c:f>
              <c:numCache>
                <c:formatCode>0%</c:formatCode>
                <c:ptCount val="15"/>
                <c:pt idx="0">
                  <c:v>0.48423301126952184</c:v>
                </c:pt>
                <c:pt idx="1">
                  <c:v>0.48423301126952184</c:v>
                </c:pt>
                <c:pt idx="2">
                  <c:v>0.48423301126952184</c:v>
                </c:pt>
                <c:pt idx="3">
                  <c:v>0.48423301126952184</c:v>
                </c:pt>
                <c:pt idx="4">
                  <c:v>0.48423301126952184</c:v>
                </c:pt>
                <c:pt idx="5">
                  <c:v>0.48423301126952184</c:v>
                </c:pt>
                <c:pt idx="6">
                  <c:v>1</c:v>
                </c:pt>
                <c:pt idx="7">
                  <c:v>0.48423301126952184</c:v>
                </c:pt>
                <c:pt idx="8">
                  <c:v>0.48423301126952184</c:v>
                </c:pt>
                <c:pt idx="9">
                  <c:v>0.48423301126952184</c:v>
                </c:pt>
                <c:pt idx="10">
                  <c:v>0.48423301126952184</c:v>
                </c:pt>
                <c:pt idx="11">
                  <c:v>0.48423301126952184</c:v>
                </c:pt>
                <c:pt idx="12">
                  <c:v>0.48423301126952184</c:v>
                </c:pt>
                <c:pt idx="13">
                  <c:v>0.48423301126952184</c:v>
                </c:pt>
                <c:pt idx="14">
                  <c:v>0.48423301126952184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D-4E8F-856F-4A619836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86496"/>
        <c:axId val="262995968"/>
      </c:lineChart>
      <c:catAx>
        <c:axId val="2317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2995968"/>
        <c:crosses val="autoZero"/>
        <c:auto val="1"/>
        <c:lblAlgn val="ctr"/>
        <c:lblOffset val="100"/>
        <c:noMultiLvlLbl val="0"/>
      </c:catAx>
      <c:valAx>
        <c:axId val="2629959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178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892-4EC1-96BE-953C97151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2-4EC1-96BE-953C9715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87008"/>
        <c:axId val="26299827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92-4EC1-96BE-953C971512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2-4EC1-96BE-953C9715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87008"/>
        <c:axId val="262998272"/>
      </c:lineChart>
      <c:catAx>
        <c:axId val="23178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98272"/>
        <c:crosses val="autoZero"/>
        <c:auto val="1"/>
        <c:lblAlgn val="ctr"/>
        <c:lblOffset val="100"/>
        <c:noMultiLvlLbl val="0"/>
      </c:catAx>
      <c:valAx>
        <c:axId val="262998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17870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COVER</c:v>
                </c:pt>
                <c:pt idx="3">
                  <c:v>STOPPER</c:v>
                </c:pt>
                <c:pt idx="4">
                  <c:v>SLIDER</c:v>
                </c:pt>
                <c:pt idx="5">
                  <c:v>Z280ASSY</c:v>
                </c:pt>
                <c:pt idx="6">
                  <c:v>F/ADAPTER</c:v>
                </c:pt>
                <c:pt idx="7">
                  <c:v>BODY</c:v>
                </c:pt>
                <c:pt idx="8">
                  <c:v>LATCH C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LEAD GUIDE</c:v>
                </c:pt>
                <c:pt idx="13">
                  <c:v>LEVER</c:v>
                </c:pt>
                <c:pt idx="14">
                  <c:v>COVER A,B</c:v>
                </c:pt>
                <c:pt idx="15">
                  <c:v>BASE</c:v>
                </c:pt>
              </c:strCache>
            </c:strRef>
          </c:cat>
          <c:val>
            <c:numRef>
              <c:f>'14'!$L$6:$L$22</c:f>
              <c:numCache>
                <c:formatCode>_(* #,##0_);_(* \(#,##0\);_(* "-"_);_(@_)</c:formatCode>
                <c:ptCount val="17"/>
                <c:pt idx="1">
                  <c:v>1744</c:v>
                </c:pt>
                <c:pt idx="2">
                  <c:v>2045</c:v>
                </c:pt>
                <c:pt idx="3">
                  <c:v>4516</c:v>
                </c:pt>
                <c:pt idx="4">
                  <c:v>2467</c:v>
                </c:pt>
                <c:pt idx="5">
                  <c:v>506</c:v>
                </c:pt>
                <c:pt idx="6">
                  <c:v>692</c:v>
                </c:pt>
                <c:pt idx="7">
                  <c:v>1500</c:v>
                </c:pt>
                <c:pt idx="11">
                  <c:v>1307</c:v>
                </c:pt>
                <c:pt idx="12">
                  <c:v>3005</c:v>
                </c:pt>
                <c:pt idx="14">
                  <c:v>1142</c:v>
                </c:pt>
                <c:pt idx="15">
                  <c:v>5068</c:v>
                </c:pt>
                <c:pt idx="16">
                  <c:v>57276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6-4AF3-9A63-054CC1360D4A}"/>
            </c:ext>
          </c:extLst>
        </c:ser>
        <c:ser>
          <c:idx val="1"/>
          <c:order val="1"/>
          <c:tx>
            <c:v>계획</c:v>
          </c:tx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COVER</c:v>
                </c:pt>
                <c:pt idx="3">
                  <c:v>STOPPER</c:v>
                </c:pt>
                <c:pt idx="4">
                  <c:v>SLIDER</c:v>
                </c:pt>
                <c:pt idx="5">
                  <c:v>Z280ASSY</c:v>
                </c:pt>
                <c:pt idx="6">
                  <c:v>F/ADAPTER</c:v>
                </c:pt>
                <c:pt idx="7">
                  <c:v>BODY</c:v>
                </c:pt>
                <c:pt idx="8">
                  <c:v>LATCH C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LEAD GUIDE</c:v>
                </c:pt>
                <c:pt idx="13">
                  <c:v>LEVER</c:v>
                </c:pt>
                <c:pt idx="14">
                  <c:v>COVER A,B</c:v>
                </c:pt>
                <c:pt idx="15">
                  <c:v>BASE</c:v>
                </c:pt>
              </c:strCache>
            </c:strRef>
          </c:cat>
          <c:val>
            <c:numRef>
              <c:f>'14'!$J$6:$J$22</c:f>
              <c:numCache>
                <c:formatCode>_(* #,##0_);_(* \(#,##0\);_(* "-"_);_(@_)</c:formatCode>
                <c:ptCount val="17"/>
                <c:pt idx="0">
                  <c:v>1970</c:v>
                </c:pt>
                <c:pt idx="1">
                  <c:v>1750</c:v>
                </c:pt>
                <c:pt idx="2">
                  <c:v>2050</c:v>
                </c:pt>
                <c:pt idx="3">
                  <c:v>4520</c:v>
                </c:pt>
                <c:pt idx="4">
                  <c:v>2470</c:v>
                </c:pt>
                <c:pt idx="5">
                  <c:v>510</c:v>
                </c:pt>
                <c:pt idx="6">
                  <c:v>700</c:v>
                </c:pt>
                <c:pt idx="7">
                  <c:v>1500</c:v>
                </c:pt>
                <c:pt idx="8">
                  <c:v>5550</c:v>
                </c:pt>
                <c:pt idx="9">
                  <c:v>556</c:v>
                </c:pt>
                <c:pt idx="10">
                  <c:v>910</c:v>
                </c:pt>
                <c:pt idx="11">
                  <c:v>1310</c:v>
                </c:pt>
                <c:pt idx="12">
                  <c:v>3010</c:v>
                </c:pt>
                <c:pt idx="13">
                  <c:v>632</c:v>
                </c:pt>
                <c:pt idx="14">
                  <c:v>1142</c:v>
                </c:pt>
                <c:pt idx="15">
                  <c:v>5070</c:v>
                </c:pt>
                <c:pt idx="16">
                  <c:v>57280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6-4AF3-9A63-054CC136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57728"/>
        <c:axId val="263001152"/>
      </c:lineChart>
      <c:catAx>
        <c:axId val="2324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001152"/>
        <c:crosses val="autoZero"/>
        <c:auto val="1"/>
        <c:lblAlgn val="ctr"/>
        <c:lblOffset val="100"/>
        <c:noMultiLvlLbl val="0"/>
      </c:catAx>
      <c:valAx>
        <c:axId val="2630011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245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'14'!$AD$6:$AD$22</c:f>
              <c:strCache>
                <c:ptCount val="17"/>
                <c:pt idx="0">
                  <c:v>0%</c:v>
                </c:pt>
                <c:pt idx="1">
                  <c:v>37%</c:v>
                </c:pt>
                <c:pt idx="2">
                  <c:v>54%</c:v>
                </c:pt>
                <c:pt idx="3">
                  <c:v>100%</c:v>
                </c:pt>
                <c:pt idx="4">
                  <c:v>50%</c:v>
                </c:pt>
                <c:pt idx="5">
                  <c:v>29%</c:v>
                </c:pt>
                <c:pt idx="6">
                  <c:v>25%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37%</c:v>
                </c:pt>
                <c:pt idx="12">
                  <c:v>50%</c:v>
                </c:pt>
                <c:pt idx="13">
                  <c:v>0%</c:v>
                </c:pt>
                <c:pt idx="14">
                  <c:v>58%</c:v>
                </c:pt>
                <c:pt idx="15">
                  <c:v>100%</c:v>
                </c:pt>
                <c:pt idx="16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COVER</c:v>
                </c:pt>
                <c:pt idx="3">
                  <c:v>STOPPER</c:v>
                </c:pt>
                <c:pt idx="4">
                  <c:v>SLIDER</c:v>
                </c:pt>
                <c:pt idx="5">
                  <c:v>Z280ASSY</c:v>
                </c:pt>
                <c:pt idx="6">
                  <c:v>F/ADAPTER</c:v>
                </c:pt>
                <c:pt idx="7">
                  <c:v>BODY</c:v>
                </c:pt>
                <c:pt idx="8">
                  <c:v>LATCH C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LEAD GUIDE</c:v>
                </c:pt>
                <c:pt idx="13">
                  <c:v>LEVER</c:v>
                </c:pt>
                <c:pt idx="14">
                  <c:v>COVER A,B</c:v>
                </c:pt>
                <c:pt idx="15">
                  <c:v>BASE</c:v>
                </c:pt>
              </c:strCache>
            </c:strRef>
          </c:cat>
          <c:val>
            <c:numRef>
              <c:f>'14'!$AD$6:$AD$22</c:f>
              <c:numCache>
                <c:formatCode>0%</c:formatCode>
                <c:ptCount val="17"/>
                <c:pt idx="0">
                  <c:v>0</c:v>
                </c:pt>
                <c:pt idx="1">
                  <c:v>0.37371428571428572</c:v>
                </c:pt>
                <c:pt idx="2">
                  <c:v>0.5403455284552845</c:v>
                </c:pt>
                <c:pt idx="3">
                  <c:v>0.99911504424778763</c:v>
                </c:pt>
                <c:pt idx="4">
                  <c:v>0.4993927125506073</c:v>
                </c:pt>
                <c:pt idx="5">
                  <c:v>0.28937908496732029</c:v>
                </c:pt>
                <c:pt idx="6">
                  <c:v>0.24714285714285714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0.37414122137404582</c:v>
                </c:pt>
                <c:pt idx="12">
                  <c:v>0.49916943521594687</c:v>
                </c:pt>
                <c:pt idx="13">
                  <c:v>0</c:v>
                </c:pt>
                <c:pt idx="14">
                  <c:v>0.58333333333333337</c:v>
                </c:pt>
                <c:pt idx="15">
                  <c:v>0.99960552268244574</c:v>
                </c:pt>
                <c:pt idx="16">
                  <c:v>0.99993016759776532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8-408A-BF19-DDD3563AA1F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38-408A-BF19-DDD3563AA1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COVER</c:v>
                </c:pt>
                <c:pt idx="3">
                  <c:v>STOPPER</c:v>
                </c:pt>
                <c:pt idx="4">
                  <c:v>SLIDER</c:v>
                </c:pt>
                <c:pt idx="5">
                  <c:v>Z280ASSY</c:v>
                </c:pt>
                <c:pt idx="6">
                  <c:v>F/ADAPTER</c:v>
                </c:pt>
                <c:pt idx="7">
                  <c:v>BODY</c:v>
                </c:pt>
                <c:pt idx="8">
                  <c:v>LATCH C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LEAD GUIDE</c:v>
                </c:pt>
                <c:pt idx="13">
                  <c:v>LEVER</c:v>
                </c:pt>
                <c:pt idx="14">
                  <c:v>COVER A,B</c:v>
                </c:pt>
                <c:pt idx="15">
                  <c:v>BASE</c:v>
                </c:pt>
              </c:strCache>
            </c:strRef>
          </c:cat>
          <c:val>
            <c:numRef>
              <c:f>'14'!$AE$6:$AE$22</c:f>
              <c:numCache>
                <c:formatCode>0%</c:formatCode>
                <c:ptCount val="17"/>
                <c:pt idx="0">
                  <c:v>0.45479572399655638</c:v>
                </c:pt>
                <c:pt idx="1">
                  <c:v>0.45479572399655638</c:v>
                </c:pt>
                <c:pt idx="2">
                  <c:v>0.45479572399655638</c:v>
                </c:pt>
                <c:pt idx="3">
                  <c:v>0.45479572399655638</c:v>
                </c:pt>
                <c:pt idx="4">
                  <c:v>0.45479572399655638</c:v>
                </c:pt>
                <c:pt idx="5">
                  <c:v>0.45479572399655638</c:v>
                </c:pt>
                <c:pt idx="6">
                  <c:v>0.45479572399655638</c:v>
                </c:pt>
                <c:pt idx="7">
                  <c:v>0.45479572399655638</c:v>
                </c:pt>
                <c:pt idx="8">
                  <c:v>0.45479572399655638</c:v>
                </c:pt>
                <c:pt idx="9">
                  <c:v>0.45479572399655638</c:v>
                </c:pt>
                <c:pt idx="10">
                  <c:v>0.45479572399655638</c:v>
                </c:pt>
                <c:pt idx="11">
                  <c:v>0.45479572399655638</c:v>
                </c:pt>
                <c:pt idx="12">
                  <c:v>0.45479572399655638</c:v>
                </c:pt>
                <c:pt idx="13">
                  <c:v>0.45479572399655638</c:v>
                </c:pt>
                <c:pt idx="14">
                  <c:v>0.45479572399655638</c:v>
                </c:pt>
                <c:pt idx="15">
                  <c:v>0.45479572399655638</c:v>
                </c:pt>
                <c:pt idx="16">
                  <c:v>0.45479572399655638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8-408A-BF19-DDD3563A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59776"/>
        <c:axId val="263002880"/>
      </c:lineChart>
      <c:catAx>
        <c:axId val="2324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3002880"/>
        <c:crosses val="autoZero"/>
        <c:auto val="1"/>
        <c:lblAlgn val="ctr"/>
        <c:lblOffset val="100"/>
        <c:noMultiLvlLbl val="0"/>
      </c:catAx>
      <c:valAx>
        <c:axId val="2630028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245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5241</c:v>
                </c:pt>
                <c:pt idx="3">
                  <c:v>4050</c:v>
                </c:pt>
                <c:pt idx="5">
                  <c:v>4405</c:v>
                </c:pt>
                <c:pt idx="6">
                  <c:v>3024</c:v>
                </c:pt>
                <c:pt idx="10">
                  <c:v>4278</c:v>
                </c:pt>
                <c:pt idx="12">
                  <c:v>5817</c:v>
                </c:pt>
                <c:pt idx="13">
                  <c:v>4420</c:v>
                </c:pt>
                <c:pt idx="14">
                  <c:v>59600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1-47D8-A871-D47AE4213283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3330</c:v>
                </c:pt>
                <c:pt idx="2">
                  <c:v>5250</c:v>
                </c:pt>
                <c:pt idx="3">
                  <c:v>4050</c:v>
                </c:pt>
                <c:pt idx="4">
                  <c:v>4400</c:v>
                </c:pt>
                <c:pt idx="5">
                  <c:v>4410</c:v>
                </c:pt>
                <c:pt idx="6">
                  <c:v>3030</c:v>
                </c:pt>
                <c:pt idx="7">
                  <c:v>2220</c:v>
                </c:pt>
                <c:pt idx="8">
                  <c:v>556</c:v>
                </c:pt>
                <c:pt idx="9">
                  <c:v>2730</c:v>
                </c:pt>
                <c:pt idx="10">
                  <c:v>4280</c:v>
                </c:pt>
                <c:pt idx="11">
                  <c:v>6520</c:v>
                </c:pt>
                <c:pt idx="12">
                  <c:v>5820</c:v>
                </c:pt>
                <c:pt idx="13">
                  <c:v>4420</c:v>
                </c:pt>
                <c:pt idx="14">
                  <c:v>59600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1-47D8-A871-D47AE421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33536"/>
        <c:axId val="208530816"/>
      </c:lineChart>
      <c:catAx>
        <c:axId val="2376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30816"/>
        <c:crosses val="autoZero"/>
        <c:auto val="1"/>
        <c:lblAlgn val="ctr"/>
        <c:lblOffset val="100"/>
        <c:noMultiLvlLbl val="0"/>
      </c:catAx>
      <c:valAx>
        <c:axId val="2085308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763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COVER</c:v>
                </c:pt>
                <c:pt idx="3">
                  <c:v>STOPPER</c:v>
                </c:pt>
                <c:pt idx="4">
                  <c:v>SLIDER</c:v>
                </c:pt>
                <c:pt idx="5">
                  <c:v>Z280ASSY</c:v>
                </c:pt>
                <c:pt idx="6">
                  <c:v>F/ADAPTER</c:v>
                </c:pt>
                <c:pt idx="7">
                  <c:v>BODY</c:v>
                </c:pt>
                <c:pt idx="8">
                  <c:v>LATCH C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LEAD GUIDE</c:v>
                </c:pt>
                <c:pt idx="13">
                  <c:v>LEVER</c:v>
                </c:pt>
                <c:pt idx="14">
                  <c:v>COVER A,B</c:v>
                </c:pt>
                <c:pt idx="15">
                  <c:v>BASE</c:v>
                </c:pt>
              </c:strCache>
            </c:strRef>
          </c:cat>
          <c:val>
            <c:numRef>
              <c:f>'14'!$L$6:$L$22</c:f>
              <c:numCache>
                <c:formatCode>_(* #,##0_);_(* \(#,##0\);_(* "-"_);_(@_)</c:formatCode>
                <c:ptCount val="17"/>
                <c:pt idx="1">
                  <c:v>1744</c:v>
                </c:pt>
                <c:pt idx="2">
                  <c:v>2045</c:v>
                </c:pt>
                <c:pt idx="3">
                  <c:v>4516</c:v>
                </c:pt>
                <c:pt idx="4">
                  <c:v>2467</c:v>
                </c:pt>
                <c:pt idx="5">
                  <c:v>506</c:v>
                </c:pt>
                <c:pt idx="6">
                  <c:v>692</c:v>
                </c:pt>
                <c:pt idx="7">
                  <c:v>1500</c:v>
                </c:pt>
                <c:pt idx="11">
                  <c:v>1307</c:v>
                </c:pt>
                <c:pt idx="12">
                  <c:v>3005</c:v>
                </c:pt>
                <c:pt idx="14">
                  <c:v>1142</c:v>
                </c:pt>
                <c:pt idx="15">
                  <c:v>5068</c:v>
                </c:pt>
                <c:pt idx="16">
                  <c:v>57276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8-4533-914A-E863B0359220}"/>
            </c:ext>
          </c:extLst>
        </c:ser>
        <c:ser>
          <c:idx val="1"/>
          <c:order val="1"/>
          <c:tx>
            <c:v>계획</c:v>
          </c:tx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COVER</c:v>
                </c:pt>
                <c:pt idx="3">
                  <c:v>STOPPER</c:v>
                </c:pt>
                <c:pt idx="4">
                  <c:v>SLIDER</c:v>
                </c:pt>
                <c:pt idx="5">
                  <c:v>Z280ASSY</c:v>
                </c:pt>
                <c:pt idx="6">
                  <c:v>F/ADAPTER</c:v>
                </c:pt>
                <c:pt idx="7">
                  <c:v>BODY</c:v>
                </c:pt>
                <c:pt idx="8">
                  <c:v>LATCH C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LEAD GUIDE</c:v>
                </c:pt>
                <c:pt idx="13">
                  <c:v>LEVER</c:v>
                </c:pt>
                <c:pt idx="14">
                  <c:v>COVER A,B</c:v>
                </c:pt>
                <c:pt idx="15">
                  <c:v>BASE</c:v>
                </c:pt>
              </c:strCache>
            </c:strRef>
          </c:cat>
          <c:val>
            <c:numRef>
              <c:f>'14'!$J$6:$J$22</c:f>
              <c:numCache>
                <c:formatCode>_(* #,##0_);_(* \(#,##0\);_(* "-"_);_(@_)</c:formatCode>
                <c:ptCount val="17"/>
                <c:pt idx="0">
                  <c:v>1970</c:v>
                </c:pt>
                <c:pt idx="1">
                  <c:v>1750</c:v>
                </c:pt>
                <c:pt idx="2">
                  <c:v>2050</c:v>
                </c:pt>
                <c:pt idx="3">
                  <c:v>4520</c:v>
                </c:pt>
                <c:pt idx="4">
                  <c:v>2470</c:v>
                </c:pt>
                <c:pt idx="5">
                  <c:v>510</c:v>
                </c:pt>
                <c:pt idx="6">
                  <c:v>700</c:v>
                </c:pt>
                <c:pt idx="7">
                  <c:v>1500</c:v>
                </c:pt>
                <c:pt idx="8">
                  <c:v>5550</c:v>
                </c:pt>
                <c:pt idx="9">
                  <c:v>556</c:v>
                </c:pt>
                <c:pt idx="10">
                  <c:v>910</c:v>
                </c:pt>
                <c:pt idx="11">
                  <c:v>1310</c:v>
                </c:pt>
                <c:pt idx="12">
                  <c:v>3010</c:v>
                </c:pt>
                <c:pt idx="13">
                  <c:v>632</c:v>
                </c:pt>
                <c:pt idx="14">
                  <c:v>1142</c:v>
                </c:pt>
                <c:pt idx="15">
                  <c:v>5070</c:v>
                </c:pt>
                <c:pt idx="16">
                  <c:v>57280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8-4533-914A-E863B035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05344"/>
        <c:axId val="266232960"/>
      </c:lineChart>
      <c:catAx>
        <c:axId val="2325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232960"/>
        <c:crosses val="autoZero"/>
        <c:auto val="1"/>
        <c:lblAlgn val="ctr"/>
        <c:lblOffset val="100"/>
        <c:noMultiLvlLbl val="0"/>
      </c:catAx>
      <c:valAx>
        <c:axId val="2662329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2505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'14'!$AD$6:$AD$22</c:f>
              <c:strCache>
                <c:ptCount val="17"/>
                <c:pt idx="0">
                  <c:v>0%</c:v>
                </c:pt>
                <c:pt idx="1">
                  <c:v>37%</c:v>
                </c:pt>
                <c:pt idx="2">
                  <c:v>54%</c:v>
                </c:pt>
                <c:pt idx="3">
                  <c:v>100%</c:v>
                </c:pt>
                <c:pt idx="4">
                  <c:v>50%</c:v>
                </c:pt>
                <c:pt idx="5">
                  <c:v>29%</c:v>
                </c:pt>
                <c:pt idx="6">
                  <c:v>25%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37%</c:v>
                </c:pt>
                <c:pt idx="12">
                  <c:v>50%</c:v>
                </c:pt>
                <c:pt idx="13">
                  <c:v>0%</c:v>
                </c:pt>
                <c:pt idx="14">
                  <c:v>58%</c:v>
                </c:pt>
                <c:pt idx="15">
                  <c:v>100%</c:v>
                </c:pt>
                <c:pt idx="16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COVER</c:v>
                </c:pt>
                <c:pt idx="3">
                  <c:v>STOPPER</c:v>
                </c:pt>
                <c:pt idx="4">
                  <c:v>SLIDER</c:v>
                </c:pt>
                <c:pt idx="5">
                  <c:v>Z280ASSY</c:v>
                </c:pt>
                <c:pt idx="6">
                  <c:v>F/ADAPTER</c:v>
                </c:pt>
                <c:pt idx="7">
                  <c:v>BODY</c:v>
                </c:pt>
                <c:pt idx="8">
                  <c:v>LATCH C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LEAD GUIDE</c:v>
                </c:pt>
                <c:pt idx="13">
                  <c:v>LEVER</c:v>
                </c:pt>
                <c:pt idx="14">
                  <c:v>COVER A,B</c:v>
                </c:pt>
                <c:pt idx="15">
                  <c:v>BASE</c:v>
                </c:pt>
              </c:strCache>
            </c:strRef>
          </c:cat>
          <c:val>
            <c:numRef>
              <c:f>'14'!$AD$6:$AD$22</c:f>
              <c:numCache>
                <c:formatCode>0%</c:formatCode>
                <c:ptCount val="17"/>
                <c:pt idx="0">
                  <c:v>0</c:v>
                </c:pt>
                <c:pt idx="1">
                  <c:v>0.37371428571428572</c:v>
                </c:pt>
                <c:pt idx="2">
                  <c:v>0.5403455284552845</c:v>
                </c:pt>
                <c:pt idx="3">
                  <c:v>0.99911504424778763</c:v>
                </c:pt>
                <c:pt idx="4">
                  <c:v>0.4993927125506073</c:v>
                </c:pt>
                <c:pt idx="5">
                  <c:v>0.28937908496732029</c:v>
                </c:pt>
                <c:pt idx="6">
                  <c:v>0.24714285714285714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0.37414122137404582</c:v>
                </c:pt>
                <c:pt idx="12">
                  <c:v>0.49916943521594687</c:v>
                </c:pt>
                <c:pt idx="13">
                  <c:v>0</c:v>
                </c:pt>
                <c:pt idx="14">
                  <c:v>0.58333333333333337</c:v>
                </c:pt>
                <c:pt idx="15">
                  <c:v>0.99960552268244574</c:v>
                </c:pt>
                <c:pt idx="16">
                  <c:v>0.99993016759776532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1F0-8FF6-3B27271DDFA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56-41F0-8FF6-3B27271DDF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COVER</c:v>
                </c:pt>
                <c:pt idx="3">
                  <c:v>STOPPER</c:v>
                </c:pt>
                <c:pt idx="4">
                  <c:v>SLIDER</c:v>
                </c:pt>
                <c:pt idx="5">
                  <c:v>Z280ASSY</c:v>
                </c:pt>
                <c:pt idx="6">
                  <c:v>F/ADAPTER</c:v>
                </c:pt>
                <c:pt idx="7">
                  <c:v>BODY</c:v>
                </c:pt>
                <c:pt idx="8">
                  <c:v>LATCH C</c:v>
                </c:pt>
                <c:pt idx="9">
                  <c:v>BASE</c:v>
                </c:pt>
                <c:pt idx="10">
                  <c:v>ADAPTER</c:v>
                </c:pt>
                <c:pt idx="11">
                  <c:v>BODY</c:v>
                </c:pt>
                <c:pt idx="12">
                  <c:v>LEAD GUIDE</c:v>
                </c:pt>
                <c:pt idx="13">
                  <c:v>LEVER</c:v>
                </c:pt>
                <c:pt idx="14">
                  <c:v>COVER A,B</c:v>
                </c:pt>
                <c:pt idx="15">
                  <c:v>BASE</c:v>
                </c:pt>
              </c:strCache>
            </c:strRef>
          </c:cat>
          <c:val>
            <c:numRef>
              <c:f>'14'!$AE$6:$AE$22</c:f>
              <c:numCache>
                <c:formatCode>0%</c:formatCode>
                <c:ptCount val="17"/>
                <c:pt idx="0">
                  <c:v>0.45479572399655638</c:v>
                </c:pt>
                <c:pt idx="1">
                  <c:v>0.45479572399655638</c:v>
                </c:pt>
                <c:pt idx="2">
                  <c:v>0.45479572399655638</c:v>
                </c:pt>
                <c:pt idx="3">
                  <c:v>0.45479572399655638</c:v>
                </c:pt>
                <c:pt idx="4">
                  <c:v>0.45479572399655638</c:v>
                </c:pt>
                <c:pt idx="5">
                  <c:v>0.45479572399655638</c:v>
                </c:pt>
                <c:pt idx="6">
                  <c:v>0.45479572399655638</c:v>
                </c:pt>
                <c:pt idx="7">
                  <c:v>0.45479572399655638</c:v>
                </c:pt>
                <c:pt idx="8">
                  <c:v>0.45479572399655638</c:v>
                </c:pt>
                <c:pt idx="9">
                  <c:v>0.45479572399655638</c:v>
                </c:pt>
                <c:pt idx="10">
                  <c:v>0.45479572399655638</c:v>
                </c:pt>
                <c:pt idx="11">
                  <c:v>0.45479572399655638</c:v>
                </c:pt>
                <c:pt idx="12">
                  <c:v>0.45479572399655638</c:v>
                </c:pt>
                <c:pt idx="13">
                  <c:v>0.45479572399655638</c:v>
                </c:pt>
                <c:pt idx="14">
                  <c:v>0.45479572399655638</c:v>
                </c:pt>
                <c:pt idx="15">
                  <c:v>0.45479572399655638</c:v>
                </c:pt>
                <c:pt idx="16">
                  <c:v>0.45479572399655638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6-41F0-8FF6-3B27271D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07392"/>
        <c:axId val="266234688"/>
      </c:lineChart>
      <c:catAx>
        <c:axId val="2325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6234688"/>
        <c:crosses val="autoZero"/>
        <c:auto val="1"/>
        <c:lblAlgn val="ctr"/>
        <c:lblOffset val="100"/>
        <c:noMultiLvlLbl val="0"/>
      </c:catAx>
      <c:valAx>
        <c:axId val="2662346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250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199-4C8A-AF25-98BF19558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9-4C8A-AF25-98BF195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08928"/>
        <c:axId val="26623699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99-4C8A-AF25-98BF195586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99-4C8A-AF25-98BF195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08928"/>
        <c:axId val="266236992"/>
      </c:lineChart>
      <c:catAx>
        <c:axId val="23250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236992"/>
        <c:crosses val="autoZero"/>
        <c:auto val="1"/>
        <c:lblAlgn val="ctr"/>
        <c:lblOffset val="100"/>
        <c:noMultiLvlLbl val="0"/>
      </c:catAx>
      <c:valAx>
        <c:axId val="266236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250892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HOLDER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'15'!$L$6:$L$21</c:f>
              <c:numCache>
                <c:formatCode>_(* #,##0_);_(* \(#,##0\);_(* "-"_);_(@_)</c:formatCode>
                <c:ptCount val="16"/>
                <c:pt idx="1">
                  <c:v>4660</c:v>
                </c:pt>
                <c:pt idx="2">
                  <c:v>3286</c:v>
                </c:pt>
                <c:pt idx="3">
                  <c:v>4801</c:v>
                </c:pt>
                <c:pt idx="4">
                  <c:v>51</c:v>
                </c:pt>
                <c:pt idx="6">
                  <c:v>3674</c:v>
                </c:pt>
                <c:pt idx="7">
                  <c:v>1105</c:v>
                </c:pt>
                <c:pt idx="10">
                  <c:v>5564</c:v>
                </c:pt>
                <c:pt idx="12">
                  <c:v>2116</c:v>
                </c:pt>
                <c:pt idx="13">
                  <c:v>2973</c:v>
                </c:pt>
                <c:pt idx="14">
                  <c:v>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A-4FB9-9FBB-C2F16787D0C3}"/>
            </c:ext>
          </c:extLst>
        </c:ser>
        <c:ser>
          <c:idx val="1"/>
          <c:order val="1"/>
          <c:tx>
            <c:v>계획</c:v>
          </c:tx>
          <c:cat>
            <c:strRef>
              <c:f>'15'!$D$6:$D$21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HOLDER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'15'!$J$6:$J$21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4660</c:v>
                </c:pt>
                <c:pt idx="2">
                  <c:v>3290</c:v>
                </c:pt>
                <c:pt idx="3">
                  <c:v>4810</c:v>
                </c:pt>
                <c:pt idx="4">
                  <c:v>51</c:v>
                </c:pt>
                <c:pt idx="5">
                  <c:v>700</c:v>
                </c:pt>
                <c:pt idx="6">
                  <c:v>3680</c:v>
                </c:pt>
                <c:pt idx="7">
                  <c:v>1110</c:v>
                </c:pt>
                <c:pt idx="8">
                  <c:v>556</c:v>
                </c:pt>
                <c:pt idx="9">
                  <c:v>910</c:v>
                </c:pt>
                <c:pt idx="10">
                  <c:v>5570</c:v>
                </c:pt>
                <c:pt idx="11">
                  <c:v>632</c:v>
                </c:pt>
                <c:pt idx="12">
                  <c:v>2120</c:v>
                </c:pt>
                <c:pt idx="13">
                  <c:v>2980</c:v>
                </c:pt>
                <c:pt idx="14">
                  <c:v>4920</c:v>
                </c:pt>
                <c:pt idx="15">
                  <c:v>57280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A-4FB9-9FBB-C2F16787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38816"/>
        <c:axId val="266608640"/>
      </c:lineChart>
      <c:catAx>
        <c:axId val="2327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608640"/>
        <c:crosses val="autoZero"/>
        <c:auto val="1"/>
        <c:lblAlgn val="ctr"/>
        <c:lblOffset val="100"/>
        <c:noMultiLvlLbl val="0"/>
      </c:catAx>
      <c:valAx>
        <c:axId val="2666086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273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83%</c:v>
                </c:pt>
                <c:pt idx="3">
                  <c:v>100%</c:v>
                </c:pt>
                <c:pt idx="4">
                  <c:v>13%</c:v>
                </c:pt>
                <c:pt idx="5">
                  <c:v>0%</c:v>
                </c:pt>
                <c:pt idx="6">
                  <c:v>87%</c:v>
                </c:pt>
                <c:pt idx="7">
                  <c:v>25%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42%</c:v>
                </c:pt>
                <c:pt idx="13">
                  <c:v>50%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HOLDER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'15'!$AD$6:$AD$21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0.83232016210739612</c:v>
                </c:pt>
                <c:pt idx="3">
                  <c:v>0.99812889812889816</c:v>
                </c:pt>
                <c:pt idx="4">
                  <c:v>0.125</c:v>
                </c:pt>
                <c:pt idx="5">
                  <c:v>0</c:v>
                </c:pt>
                <c:pt idx="6">
                  <c:v>0.87357336956521736</c:v>
                </c:pt>
                <c:pt idx="7">
                  <c:v>0.24887387387387389</c:v>
                </c:pt>
                <c:pt idx="8">
                  <c:v>0</c:v>
                </c:pt>
                <c:pt idx="9">
                  <c:v>0</c:v>
                </c:pt>
                <c:pt idx="10">
                  <c:v>0.99892280071813289</c:v>
                </c:pt>
                <c:pt idx="11">
                  <c:v>0</c:v>
                </c:pt>
                <c:pt idx="12">
                  <c:v>0.41588050314465408</c:v>
                </c:pt>
                <c:pt idx="13">
                  <c:v>0.49882550335570469</c:v>
                </c:pt>
                <c:pt idx="14">
                  <c:v>0.99857723577235769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8-4D54-978A-4693BAD6383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8-4D54-978A-4693BAD638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HOLDER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'15'!$AE$6:$AE$21</c:f>
              <c:numCache>
                <c:formatCode>0%</c:formatCode>
                <c:ptCount val="16"/>
                <c:pt idx="0">
                  <c:v>0.46600682311108238</c:v>
                </c:pt>
                <c:pt idx="1">
                  <c:v>0.46600682311108238</c:v>
                </c:pt>
                <c:pt idx="2">
                  <c:v>0.46600682311108238</c:v>
                </c:pt>
                <c:pt idx="3">
                  <c:v>0.46600682311108238</c:v>
                </c:pt>
                <c:pt idx="4">
                  <c:v>0.46600682311108238</c:v>
                </c:pt>
                <c:pt idx="5">
                  <c:v>0.46600682311108238</c:v>
                </c:pt>
                <c:pt idx="6">
                  <c:v>0.46600682311108238</c:v>
                </c:pt>
                <c:pt idx="7">
                  <c:v>0.46600682311108238</c:v>
                </c:pt>
                <c:pt idx="8">
                  <c:v>0.46600682311108238</c:v>
                </c:pt>
                <c:pt idx="9">
                  <c:v>0.46600682311108238</c:v>
                </c:pt>
                <c:pt idx="10">
                  <c:v>0.46600682311108238</c:v>
                </c:pt>
                <c:pt idx="11">
                  <c:v>0.46600682311108238</c:v>
                </c:pt>
                <c:pt idx="12">
                  <c:v>0.46600682311108238</c:v>
                </c:pt>
                <c:pt idx="13">
                  <c:v>0.46600682311108238</c:v>
                </c:pt>
                <c:pt idx="14">
                  <c:v>0.46600682311108238</c:v>
                </c:pt>
                <c:pt idx="15">
                  <c:v>0.46600682311108238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8-4D54-978A-4693BAD6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40352"/>
        <c:axId val="266610368"/>
      </c:lineChart>
      <c:catAx>
        <c:axId val="2327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6610368"/>
        <c:crosses val="autoZero"/>
        <c:auto val="1"/>
        <c:lblAlgn val="ctr"/>
        <c:lblOffset val="100"/>
        <c:noMultiLvlLbl val="0"/>
      </c:catAx>
      <c:valAx>
        <c:axId val="2666103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274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HOLDER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'15'!$L$6:$L$21</c:f>
              <c:numCache>
                <c:formatCode>_(* #,##0_);_(* \(#,##0\);_(* "-"_);_(@_)</c:formatCode>
                <c:ptCount val="16"/>
                <c:pt idx="1">
                  <c:v>4660</c:v>
                </c:pt>
                <c:pt idx="2">
                  <c:v>3286</c:v>
                </c:pt>
                <c:pt idx="3">
                  <c:v>4801</c:v>
                </c:pt>
                <c:pt idx="4">
                  <c:v>51</c:v>
                </c:pt>
                <c:pt idx="6">
                  <c:v>3674</c:v>
                </c:pt>
                <c:pt idx="7">
                  <c:v>1105</c:v>
                </c:pt>
                <c:pt idx="10">
                  <c:v>5564</c:v>
                </c:pt>
                <c:pt idx="12">
                  <c:v>2116</c:v>
                </c:pt>
                <c:pt idx="13">
                  <c:v>2973</c:v>
                </c:pt>
                <c:pt idx="14">
                  <c:v>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9-4337-BD63-BBB7D1A4392B}"/>
            </c:ext>
          </c:extLst>
        </c:ser>
        <c:ser>
          <c:idx val="1"/>
          <c:order val="1"/>
          <c:tx>
            <c:v>계획</c:v>
          </c:tx>
          <c:cat>
            <c:strRef>
              <c:f>'15'!$D$6:$D$21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HOLDER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'15'!$J$6:$J$21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4660</c:v>
                </c:pt>
                <c:pt idx="2">
                  <c:v>3290</c:v>
                </c:pt>
                <c:pt idx="3">
                  <c:v>4810</c:v>
                </c:pt>
                <c:pt idx="4">
                  <c:v>51</c:v>
                </c:pt>
                <c:pt idx="5">
                  <c:v>700</c:v>
                </c:pt>
                <c:pt idx="6">
                  <c:v>3680</c:v>
                </c:pt>
                <c:pt idx="7">
                  <c:v>1110</c:v>
                </c:pt>
                <c:pt idx="8">
                  <c:v>556</c:v>
                </c:pt>
                <c:pt idx="9">
                  <c:v>910</c:v>
                </c:pt>
                <c:pt idx="10">
                  <c:v>5570</c:v>
                </c:pt>
                <c:pt idx="11">
                  <c:v>632</c:v>
                </c:pt>
                <c:pt idx="12">
                  <c:v>2120</c:v>
                </c:pt>
                <c:pt idx="13">
                  <c:v>2980</c:v>
                </c:pt>
                <c:pt idx="14">
                  <c:v>4920</c:v>
                </c:pt>
                <c:pt idx="15">
                  <c:v>57280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9-4337-BD63-BBB7D1A43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40864"/>
        <c:axId val="266612672"/>
      </c:lineChart>
      <c:catAx>
        <c:axId val="2327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612672"/>
        <c:crosses val="autoZero"/>
        <c:auto val="1"/>
        <c:lblAlgn val="ctr"/>
        <c:lblOffset val="100"/>
        <c:noMultiLvlLbl val="0"/>
      </c:catAx>
      <c:valAx>
        <c:axId val="2666126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274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83%</c:v>
                </c:pt>
                <c:pt idx="3">
                  <c:v>100%</c:v>
                </c:pt>
                <c:pt idx="4">
                  <c:v>13%</c:v>
                </c:pt>
                <c:pt idx="5">
                  <c:v>0%</c:v>
                </c:pt>
                <c:pt idx="6">
                  <c:v>87%</c:v>
                </c:pt>
                <c:pt idx="7">
                  <c:v>25%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42%</c:v>
                </c:pt>
                <c:pt idx="13">
                  <c:v>50%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HOLDER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'15'!$AD$6:$AD$21</c:f>
              <c:numCache>
                <c:formatCode>0%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0.83232016210739612</c:v>
                </c:pt>
                <c:pt idx="3">
                  <c:v>0.99812889812889816</c:v>
                </c:pt>
                <c:pt idx="4">
                  <c:v>0.125</c:v>
                </c:pt>
                <c:pt idx="5">
                  <c:v>0</c:v>
                </c:pt>
                <c:pt idx="6">
                  <c:v>0.87357336956521736</c:v>
                </c:pt>
                <c:pt idx="7">
                  <c:v>0.24887387387387389</c:v>
                </c:pt>
                <c:pt idx="8">
                  <c:v>0</c:v>
                </c:pt>
                <c:pt idx="9">
                  <c:v>0</c:v>
                </c:pt>
                <c:pt idx="10">
                  <c:v>0.99892280071813289</c:v>
                </c:pt>
                <c:pt idx="11">
                  <c:v>0</c:v>
                </c:pt>
                <c:pt idx="12">
                  <c:v>0.41588050314465408</c:v>
                </c:pt>
                <c:pt idx="13">
                  <c:v>0.49882550335570469</c:v>
                </c:pt>
                <c:pt idx="14">
                  <c:v>0.99857723577235769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4D52-B1A9-9CB034D1F65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C8-4D52-B1A9-9CB034D1F6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HOLDER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'15'!$AE$6:$AE$21</c:f>
              <c:numCache>
                <c:formatCode>0%</c:formatCode>
                <c:ptCount val="16"/>
                <c:pt idx="0">
                  <c:v>0.46600682311108238</c:v>
                </c:pt>
                <c:pt idx="1">
                  <c:v>0.46600682311108238</c:v>
                </c:pt>
                <c:pt idx="2">
                  <c:v>0.46600682311108238</c:v>
                </c:pt>
                <c:pt idx="3">
                  <c:v>0.46600682311108238</c:v>
                </c:pt>
                <c:pt idx="4">
                  <c:v>0.46600682311108238</c:v>
                </c:pt>
                <c:pt idx="5">
                  <c:v>0.46600682311108238</c:v>
                </c:pt>
                <c:pt idx="6">
                  <c:v>0.46600682311108238</c:v>
                </c:pt>
                <c:pt idx="7">
                  <c:v>0.46600682311108238</c:v>
                </c:pt>
                <c:pt idx="8">
                  <c:v>0.46600682311108238</c:v>
                </c:pt>
                <c:pt idx="9">
                  <c:v>0.46600682311108238</c:v>
                </c:pt>
                <c:pt idx="10">
                  <c:v>0.46600682311108238</c:v>
                </c:pt>
                <c:pt idx="11">
                  <c:v>0.46600682311108238</c:v>
                </c:pt>
                <c:pt idx="12">
                  <c:v>0.46600682311108238</c:v>
                </c:pt>
                <c:pt idx="13">
                  <c:v>0.46600682311108238</c:v>
                </c:pt>
                <c:pt idx="14">
                  <c:v>0.46600682311108238</c:v>
                </c:pt>
                <c:pt idx="15">
                  <c:v>0.46600682311108238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8-4D52-B1A9-9CB034D1F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41888"/>
        <c:axId val="266614400"/>
      </c:lineChart>
      <c:catAx>
        <c:axId val="2327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6614400"/>
        <c:crosses val="autoZero"/>
        <c:auto val="1"/>
        <c:lblAlgn val="ctr"/>
        <c:lblOffset val="100"/>
        <c:noMultiLvlLbl val="0"/>
      </c:catAx>
      <c:valAx>
        <c:axId val="2666144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274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199-4073-B883-7E253C3B3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9-4073-B883-7E253C3B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32320"/>
        <c:axId val="26683801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99-4073-B883-7E253C3B3EE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9-4073-B883-7E253C3B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32320"/>
        <c:axId val="266838016"/>
      </c:lineChart>
      <c:catAx>
        <c:axId val="23263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38016"/>
        <c:crosses val="autoZero"/>
        <c:auto val="1"/>
        <c:lblAlgn val="ctr"/>
        <c:lblOffset val="100"/>
        <c:noMultiLvlLbl val="0"/>
      </c:catAx>
      <c:valAx>
        <c:axId val="266838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263232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'16'!$L$6:$L$20</c:f>
              <c:numCache>
                <c:formatCode>_(* #,##0_);_(* \(#,##0\);_(* "-"_);_(@_)</c:formatCode>
                <c:ptCount val="15"/>
                <c:pt idx="1">
                  <c:v>4937</c:v>
                </c:pt>
                <c:pt idx="2">
                  <c:v>4226</c:v>
                </c:pt>
                <c:pt idx="3">
                  <c:v>5657</c:v>
                </c:pt>
                <c:pt idx="6">
                  <c:v>4638</c:v>
                </c:pt>
                <c:pt idx="8">
                  <c:v>300</c:v>
                </c:pt>
                <c:pt idx="10">
                  <c:v>4844</c:v>
                </c:pt>
                <c:pt idx="12">
                  <c:v>3499</c:v>
                </c:pt>
                <c:pt idx="13">
                  <c:v>4197</c:v>
                </c:pt>
                <c:pt idx="14">
                  <c:v>50220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E-4D49-BA51-7C60E6872F5E}"/>
            </c:ext>
          </c:extLst>
        </c:ser>
        <c:ser>
          <c:idx val="1"/>
          <c:order val="1"/>
          <c:tx>
            <c:v>계획</c:v>
          </c:tx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'16'!$J$6:$J$20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4940</c:v>
                </c:pt>
                <c:pt idx="2">
                  <c:v>4230</c:v>
                </c:pt>
                <c:pt idx="3">
                  <c:v>5660</c:v>
                </c:pt>
                <c:pt idx="4">
                  <c:v>51</c:v>
                </c:pt>
                <c:pt idx="5">
                  <c:v>700</c:v>
                </c:pt>
                <c:pt idx="6">
                  <c:v>4640</c:v>
                </c:pt>
                <c:pt idx="7">
                  <c:v>1110</c:v>
                </c:pt>
                <c:pt idx="8">
                  <c:v>300</c:v>
                </c:pt>
                <c:pt idx="9">
                  <c:v>910</c:v>
                </c:pt>
                <c:pt idx="10">
                  <c:v>4850</c:v>
                </c:pt>
                <c:pt idx="11">
                  <c:v>632</c:v>
                </c:pt>
                <c:pt idx="12">
                  <c:v>2980</c:v>
                </c:pt>
                <c:pt idx="13">
                  <c:v>4200</c:v>
                </c:pt>
                <c:pt idx="14">
                  <c:v>50220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E-4D49-BA51-7C60E687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86144"/>
        <c:axId val="266840896"/>
      </c:lineChart>
      <c:catAx>
        <c:axId val="2332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840896"/>
        <c:crosses val="autoZero"/>
        <c:auto val="1"/>
        <c:lblAlgn val="ctr"/>
        <c:lblOffset val="100"/>
        <c:noMultiLvlLbl val="0"/>
      </c:catAx>
      <c:valAx>
        <c:axId val="2668408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286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'16'!$AD$6:$AD$20</c:f>
              <c:strCache>
                <c:ptCount val="15"/>
                <c:pt idx="0">
                  <c:v>0%</c:v>
                </c:pt>
                <c:pt idx="1">
                  <c:v>100%</c:v>
                </c:pt>
                <c:pt idx="2">
                  <c:v>87%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0%</c:v>
                </c:pt>
                <c:pt idx="8">
                  <c:v>29%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73%</c:v>
                </c:pt>
                <c:pt idx="13">
                  <c:v>79%</c:v>
                </c:pt>
                <c:pt idx="14">
                  <c:v>96%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'16'!$AD$6:$AD$20</c:f>
              <c:numCache>
                <c:formatCode>0%</c:formatCode>
                <c:ptCount val="15"/>
                <c:pt idx="0">
                  <c:v>0</c:v>
                </c:pt>
                <c:pt idx="1">
                  <c:v>0.99939271255060724</c:v>
                </c:pt>
                <c:pt idx="2">
                  <c:v>0.87417257683215133</c:v>
                </c:pt>
                <c:pt idx="3">
                  <c:v>0.99946996466431093</c:v>
                </c:pt>
                <c:pt idx="4">
                  <c:v>0</c:v>
                </c:pt>
                <c:pt idx="5">
                  <c:v>0</c:v>
                </c:pt>
                <c:pt idx="6">
                  <c:v>0.99956896551724139</c:v>
                </c:pt>
                <c:pt idx="7">
                  <c:v>0</c:v>
                </c:pt>
                <c:pt idx="8">
                  <c:v>0.29166666666666669</c:v>
                </c:pt>
                <c:pt idx="9">
                  <c:v>0</c:v>
                </c:pt>
                <c:pt idx="10">
                  <c:v>0.9987628865979381</c:v>
                </c:pt>
                <c:pt idx="11">
                  <c:v>0</c:v>
                </c:pt>
                <c:pt idx="12">
                  <c:v>0.7338506711409396</c:v>
                </c:pt>
                <c:pt idx="13">
                  <c:v>0.79110119047619043</c:v>
                </c:pt>
                <c:pt idx="14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2-4053-A95A-C6A959ACCBE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92-4053-A95A-C6A959ACCBE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'16'!$AE$6:$AE$20</c:f>
              <c:numCache>
                <c:formatCode>0%</c:formatCode>
                <c:ptCount val="15"/>
                <c:pt idx="0">
                  <c:v>0.50975459785195865</c:v>
                </c:pt>
                <c:pt idx="1">
                  <c:v>0.50975459785195865</c:v>
                </c:pt>
                <c:pt idx="2">
                  <c:v>0.50975459785195865</c:v>
                </c:pt>
                <c:pt idx="3">
                  <c:v>0.50975459785195865</c:v>
                </c:pt>
                <c:pt idx="4">
                  <c:v>0.50975459785195865</c:v>
                </c:pt>
                <c:pt idx="5">
                  <c:v>0.50975459785195865</c:v>
                </c:pt>
                <c:pt idx="6">
                  <c:v>0.50975459785195865</c:v>
                </c:pt>
                <c:pt idx="7">
                  <c:v>0.50975459785195865</c:v>
                </c:pt>
                <c:pt idx="8">
                  <c:v>0.50975459785195865</c:v>
                </c:pt>
                <c:pt idx="9">
                  <c:v>0.50975459785195865</c:v>
                </c:pt>
                <c:pt idx="10">
                  <c:v>0.50975459785195865</c:v>
                </c:pt>
                <c:pt idx="11">
                  <c:v>0.50975459785195865</c:v>
                </c:pt>
                <c:pt idx="12">
                  <c:v>0.50975459785195865</c:v>
                </c:pt>
                <c:pt idx="13">
                  <c:v>0.50975459785195865</c:v>
                </c:pt>
                <c:pt idx="14">
                  <c:v>0.50975459785195865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2-4053-A95A-C6A959ACC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96384"/>
        <c:axId val="266842624"/>
      </c:lineChart>
      <c:catAx>
        <c:axId val="2332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6842624"/>
        <c:crosses val="autoZero"/>
        <c:auto val="1"/>
        <c:lblAlgn val="ctr"/>
        <c:lblOffset val="100"/>
        <c:noMultiLvlLbl val="0"/>
      </c:catAx>
      <c:valAx>
        <c:axId val="2668426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296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92%</c:v>
                </c:pt>
                <c:pt idx="4">
                  <c:v>0%</c:v>
                </c:pt>
                <c:pt idx="5">
                  <c:v>100%</c:v>
                </c:pt>
                <c:pt idx="6">
                  <c:v>83%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87%</c:v>
                </c:pt>
                <c:pt idx="11">
                  <c:v>0%</c:v>
                </c:pt>
                <c:pt idx="12">
                  <c:v>100%</c:v>
                </c:pt>
                <c:pt idx="13">
                  <c:v>88%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0.99828571428571433</c:v>
                </c:pt>
                <c:pt idx="3">
                  <c:v>0.91666666666666663</c:v>
                </c:pt>
                <c:pt idx="4">
                  <c:v>0</c:v>
                </c:pt>
                <c:pt idx="5">
                  <c:v>0.99886621315192747</c:v>
                </c:pt>
                <c:pt idx="6">
                  <c:v>0.83168316831683176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0.87459112149532714</c:v>
                </c:pt>
                <c:pt idx="11">
                  <c:v>0</c:v>
                </c:pt>
                <c:pt idx="12">
                  <c:v>0.99948453608247423</c:v>
                </c:pt>
                <c:pt idx="13">
                  <c:v>0.875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0-4136-B97F-55B95F9F29C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30-4136-B97F-55B95F9F29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COVER</c:v>
                </c:pt>
                <c:pt idx="13">
                  <c:v>BASE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0.4996384946665961</c:v>
                </c:pt>
                <c:pt idx="1">
                  <c:v>0.4996384946665961</c:v>
                </c:pt>
                <c:pt idx="2">
                  <c:v>0.4996384946665961</c:v>
                </c:pt>
                <c:pt idx="3">
                  <c:v>0.4996384946665961</c:v>
                </c:pt>
                <c:pt idx="4">
                  <c:v>0.4996384946665961</c:v>
                </c:pt>
                <c:pt idx="5">
                  <c:v>0.4996384946665961</c:v>
                </c:pt>
                <c:pt idx="6">
                  <c:v>0.4996384946665961</c:v>
                </c:pt>
                <c:pt idx="7">
                  <c:v>0.4996384946665961</c:v>
                </c:pt>
                <c:pt idx="8">
                  <c:v>0.4996384946665961</c:v>
                </c:pt>
                <c:pt idx="9">
                  <c:v>0.4996384946665961</c:v>
                </c:pt>
                <c:pt idx="10">
                  <c:v>0.4996384946665961</c:v>
                </c:pt>
                <c:pt idx="11">
                  <c:v>0.4996384946665961</c:v>
                </c:pt>
                <c:pt idx="12">
                  <c:v>0.4996384946665961</c:v>
                </c:pt>
                <c:pt idx="13">
                  <c:v>0.4996384946665961</c:v>
                </c:pt>
                <c:pt idx="14">
                  <c:v>0.4996384946665961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0-4136-B97F-55B95F9F2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34560"/>
        <c:axId val="208533120"/>
      </c:lineChart>
      <c:catAx>
        <c:axId val="2376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08533120"/>
        <c:crosses val="autoZero"/>
        <c:auto val="1"/>
        <c:lblAlgn val="ctr"/>
        <c:lblOffset val="100"/>
        <c:noMultiLvlLbl val="0"/>
      </c:catAx>
      <c:valAx>
        <c:axId val="2085331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763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'16'!$L$6:$L$20</c:f>
              <c:numCache>
                <c:formatCode>_(* #,##0_);_(* \(#,##0\);_(* "-"_);_(@_)</c:formatCode>
                <c:ptCount val="15"/>
                <c:pt idx="1">
                  <c:v>4937</c:v>
                </c:pt>
                <c:pt idx="2">
                  <c:v>4226</c:v>
                </c:pt>
                <c:pt idx="3">
                  <c:v>5657</c:v>
                </c:pt>
                <c:pt idx="6">
                  <c:v>4638</c:v>
                </c:pt>
                <c:pt idx="8">
                  <c:v>300</c:v>
                </c:pt>
                <c:pt idx="10">
                  <c:v>4844</c:v>
                </c:pt>
                <c:pt idx="12">
                  <c:v>3499</c:v>
                </c:pt>
                <c:pt idx="13">
                  <c:v>4197</c:v>
                </c:pt>
                <c:pt idx="14">
                  <c:v>50220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5-47F3-9624-2367DD13EDCB}"/>
            </c:ext>
          </c:extLst>
        </c:ser>
        <c:ser>
          <c:idx val="1"/>
          <c:order val="1"/>
          <c:tx>
            <c:v>계획</c:v>
          </c:tx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'16'!$J$6:$J$20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4940</c:v>
                </c:pt>
                <c:pt idx="2">
                  <c:v>4230</c:v>
                </c:pt>
                <c:pt idx="3">
                  <c:v>5660</c:v>
                </c:pt>
                <c:pt idx="4">
                  <c:v>51</c:v>
                </c:pt>
                <c:pt idx="5">
                  <c:v>700</c:v>
                </c:pt>
                <c:pt idx="6">
                  <c:v>4640</c:v>
                </c:pt>
                <c:pt idx="7">
                  <c:v>1110</c:v>
                </c:pt>
                <c:pt idx="8">
                  <c:v>300</c:v>
                </c:pt>
                <c:pt idx="9">
                  <c:v>910</c:v>
                </c:pt>
                <c:pt idx="10">
                  <c:v>4850</c:v>
                </c:pt>
                <c:pt idx="11">
                  <c:v>632</c:v>
                </c:pt>
                <c:pt idx="12">
                  <c:v>2980</c:v>
                </c:pt>
                <c:pt idx="13">
                  <c:v>4200</c:v>
                </c:pt>
                <c:pt idx="14">
                  <c:v>50220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5-47F3-9624-2367DD13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96896"/>
        <c:axId val="266844928"/>
      </c:lineChart>
      <c:catAx>
        <c:axId val="2332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844928"/>
        <c:crosses val="autoZero"/>
        <c:auto val="1"/>
        <c:lblAlgn val="ctr"/>
        <c:lblOffset val="100"/>
        <c:noMultiLvlLbl val="0"/>
      </c:catAx>
      <c:valAx>
        <c:axId val="2668449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29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'16'!$AD$6:$AD$20</c:f>
              <c:strCache>
                <c:ptCount val="15"/>
                <c:pt idx="0">
                  <c:v>0%</c:v>
                </c:pt>
                <c:pt idx="1">
                  <c:v>100%</c:v>
                </c:pt>
                <c:pt idx="2">
                  <c:v>87%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0%</c:v>
                </c:pt>
                <c:pt idx="8">
                  <c:v>29%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73%</c:v>
                </c:pt>
                <c:pt idx="13">
                  <c:v>79%</c:v>
                </c:pt>
                <c:pt idx="14">
                  <c:v>96%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'16'!$AD$6:$AD$20</c:f>
              <c:numCache>
                <c:formatCode>0%</c:formatCode>
                <c:ptCount val="15"/>
                <c:pt idx="0">
                  <c:v>0</c:v>
                </c:pt>
                <c:pt idx="1">
                  <c:v>0.99939271255060724</c:v>
                </c:pt>
                <c:pt idx="2">
                  <c:v>0.87417257683215133</c:v>
                </c:pt>
                <c:pt idx="3">
                  <c:v>0.99946996466431093</c:v>
                </c:pt>
                <c:pt idx="4">
                  <c:v>0</c:v>
                </c:pt>
                <c:pt idx="5">
                  <c:v>0</c:v>
                </c:pt>
                <c:pt idx="6">
                  <c:v>0.99956896551724139</c:v>
                </c:pt>
                <c:pt idx="7">
                  <c:v>0</c:v>
                </c:pt>
                <c:pt idx="8">
                  <c:v>0.29166666666666669</c:v>
                </c:pt>
                <c:pt idx="9">
                  <c:v>0</c:v>
                </c:pt>
                <c:pt idx="10">
                  <c:v>0.9987628865979381</c:v>
                </c:pt>
                <c:pt idx="11">
                  <c:v>0</c:v>
                </c:pt>
                <c:pt idx="12">
                  <c:v>0.7338506711409396</c:v>
                </c:pt>
                <c:pt idx="13">
                  <c:v>0.79110119047619043</c:v>
                </c:pt>
                <c:pt idx="14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5-4C39-B9E4-9D4F655C479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A5-4C39-B9E4-9D4F655C479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Z280ASSY</c:v>
                </c:pt>
                <c:pt idx="5">
                  <c:v>F/ADAPTER</c:v>
                </c:pt>
                <c:pt idx="6">
                  <c:v>BODY</c:v>
                </c:pt>
                <c:pt idx="7">
                  <c:v>STOPPER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'16'!$AE$6:$AE$20</c:f>
              <c:numCache>
                <c:formatCode>0%</c:formatCode>
                <c:ptCount val="15"/>
                <c:pt idx="0">
                  <c:v>0.50975459785195865</c:v>
                </c:pt>
                <c:pt idx="1">
                  <c:v>0.50975459785195865</c:v>
                </c:pt>
                <c:pt idx="2">
                  <c:v>0.50975459785195865</c:v>
                </c:pt>
                <c:pt idx="3">
                  <c:v>0.50975459785195865</c:v>
                </c:pt>
                <c:pt idx="4">
                  <c:v>0.50975459785195865</c:v>
                </c:pt>
                <c:pt idx="5">
                  <c:v>0.50975459785195865</c:v>
                </c:pt>
                <c:pt idx="6">
                  <c:v>0.50975459785195865</c:v>
                </c:pt>
                <c:pt idx="7">
                  <c:v>0.50975459785195865</c:v>
                </c:pt>
                <c:pt idx="8">
                  <c:v>0.50975459785195865</c:v>
                </c:pt>
                <c:pt idx="9">
                  <c:v>0.50975459785195865</c:v>
                </c:pt>
                <c:pt idx="10">
                  <c:v>0.50975459785195865</c:v>
                </c:pt>
                <c:pt idx="11">
                  <c:v>0.50975459785195865</c:v>
                </c:pt>
                <c:pt idx="12">
                  <c:v>0.50975459785195865</c:v>
                </c:pt>
                <c:pt idx="13">
                  <c:v>0.50975459785195865</c:v>
                </c:pt>
                <c:pt idx="14">
                  <c:v>0.50975459785195865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5-4C39-B9E4-9D4F655C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97920"/>
        <c:axId val="266961472"/>
      </c:lineChart>
      <c:catAx>
        <c:axId val="23329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6961472"/>
        <c:crosses val="autoZero"/>
        <c:auto val="1"/>
        <c:lblAlgn val="ctr"/>
        <c:lblOffset val="100"/>
        <c:noMultiLvlLbl val="0"/>
      </c:catAx>
      <c:valAx>
        <c:axId val="266961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29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DFC-493D-9D70-FA11BD625B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C-493D-9D70-FA11BD62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98432"/>
        <c:axId val="26696377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FC-493D-9D70-FA11BD625B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C-493D-9D70-FA11BD62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98432"/>
        <c:axId val="266963776"/>
      </c:lineChart>
      <c:catAx>
        <c:axId val="23329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963776"/>
        <c:crosses val="autoZero"/>
        <c:auto val="1"/>
        <c:lblAlgn val="ctr"/>
        <c:lblOffset val="100"/>
        <c:noMultiLvlLbl val="0"/>
      </c:catAx>
      <c:valAx>
        <c:axId val="266963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29843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F/ADAPTER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'18'!$L$6:$L$21</c:f>
              <c:numCache>
                <c:formatCode>_(* #,##0_);_(* \(#,##0\);_(* "-"_);_(@_)</c:formatCode>
                <c:ptCount val="16"/>
                <c:pt idx="1">
                  <c:v>3956</c:v>
                </c:pt>
                <c:pt idx="2">
                  <c:v>4487</c:v>
                </c:pt>
                <c:pt idx="3">
                  <c:v>3590</c:v>
                </c:pt>
                <c:pt idx="4">
                  <c:v>124384</c:v>
                </c:pt>
                <c:pt idx="6">
                  <c:v>4098</c:v>
                </c:pt>
                <c:pt idx="7">
                  <c:v>727</c:v>
                </c:pt>
                <c:pt idx="10">
                  <c:v>667</c:v>
                </c:pt>
                <c:pt idx="11">
                  <c:v>1728</c:v>
                </c:pt>
                <c:pt idx="13">
                  <c:v>4604</c:v>
                </c:pt>
                <c:pt idx="14">
                  <c:v>4697</c:v>
                </c:pt>
                <c:pt idx="15">
                  <c:v>52380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D-4789-BFEC-74DF9416E01D}"/>
            </c:ext>
          </c:extLst>
        </c:ser>
        <c:ser>
          <c:idx val="1"/>
          <c:order val="1"/>
          <c:tx>
            <c:v>계획</c:v>
          </c:tx>
          <c:cat>
            <c:strRef>
              <c:f>'18'!$D$6:$D$21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F/ADAPTER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'18'!$J$6:$J$21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3960</c:v>
                </c:pt>
                <c:pt idx="2">
                  <c:v>4490</c:v>
                </c:pt>
                <c:pt idx="3">
                  <c:v>3590</c:v>
                </c:pt>
                <c:pt idx="4">
                  <c:v>124400</c:v>
                </c:pt>
                <c:pt idx="5">
                  <c:v>700</c:v>
                </c:pt>
                <c:pt idx="6">
                  <c:v>4100</c:v>
                </c:pt>
                <c:pt idx="7">
                  <c:v>730</c:v>
                </c:pt>
                <c:pt idx="8">
                  <c:v>300</c:v>
                </c:pt>
                <c:pt idx="9">
                  <c:v>910</c:v>
                </c:pt>
                <c:pt idx="10">
                  <c:v>670</c:v>
                </c:pt>
                <c:pt idx="11">
                  <c:v>1730</c:v>
                </c:pt>
                <c:pt idx="12">
                  <c:v>632</c:v>
                </c:pt>
                <c:pt idx="13">
                  <c:v>4610</c:v>
                </c:pt>
                <c:pt idx="14">
                  <c:v>4700</c:v>
                </c:pt>
                <c:pt idx="15">
                  <c:v>52380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D-4789-BFEC-74DF9416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54080"/>
        <c:axId val="266966656"/>
      </c:lineChart>
      <c:catAx>
        <c:axId val="2334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966656"/>
        <c:crosses val="autoZero"/>
        <c:auto val="1"/>
        <c:lblAlgn val="ctr"/>
        <c:lblOffset val="100"/>
        <c:noMultiLvlLbl val="0"/>
      </c:catAx>
      <c:valAx>
        <c:axId val="26696665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45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'18'!$AD$6:$AD$21</c:f>
              <c:strCache>
                <c:ptCount val="16"/>
                <c:pt idx="0">
                  <c:v>0%</c:v>
                </c:pt>
                <c:pt idx="1">
                  <c:v>96%</c:v>
                </c:pt>
                <c:pt idx="2">
                  <c:v>100%</c:v>
                </c:pt>
                <c:pt idx="3">
                  <c:v>79%</c:v>
                </c:pt>
                <c:pt idx="4">
                  <c:v>83%</c:v>
                </c:pt>
                <c:pt idx="5">
                  <c:v>0%</c:v>
                </c:pt>
                <c:pt idx="6">
                  <c:v>100%</c:v>
                </c:pt>
                <c:pt idx="7">
                  <c:v>33%</c:v>
                </c:pt>
                <c:pt idx="8">
                  <c:v>0%</c:v>
                </c:pt>
                <c:pt idx="9">
                  <c:v>0%</c:v>
                </c:pt>
                <c:pt idx="10">
                  <c:v>17%</c:v>
                </c:pt>
                <c:pt idx="11">
                  <c:v>42%</c:v>
                </c:pt>
                <c:pt idx="12">
                  <c:v>0%</c:v>
                </c:pt>
                <c:pt idx="13">
                  <c:v>96%</c:v>
                </c:pt>
                <c:pt idx="14">
                  <c:v>100%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F/ADAPTER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'18'!$AD$6:$AD$21</c:f>
              <c:numCache>
                <c:formatCode>0%</c:formatCode>
                <c:ptCount val="16"/>
                <c:pt idx="0">
                  <c:v>0</c:v>
                </c:pt>
                <c:pt idx="1">
                  <c:v>0.95736531986531992</c:v>
                </c:pt>
                <c:pt idx="2">
                  <c:v>0.99933184855233848</c:v>
                </c:pt>
                <c:pt idx="3">
                  <c:v>0.79166666666666663</c:v>
                </c:pt>
                <c:pt idx="4">
                  <c:v>0.8332261521972133</c:v>
                </c:pt>
                <c:pt idx="5">
                  <c:v>0</c:v>
                </c:pt>
                <c:pt idx="6">
                  <c:v>0.99951219512195122</c:v>
                </c:pt>
                <c:pt idx="7">
                  <c:v>0.33196347031963469</c:v>
                </c:pt>
                <c:pt idx="8">
                  <c:v>0</c:v>
                </c:pt>
                <c:pt idx="9">
                  <c:v>0</c:v>
                </c:pt>
                <c:pt idx="10">
                  <c:v>0.16592039800995023</c:v>
                </c:pt>
                <c:pt idx="11">
                  <c:v>0.41618497109826591</c:v>
                </c:pt>
                <c:pt idx="12">
                  <c:v>0</c:v>
                </c:pt>
                <c:pt idx="13">
                  <c:v>0.95708604483007964</c:v>
                </c:pt>
                <c:pt idx="14">
                  <c:v>0.99936170212765962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6-4A53-9080-B3A0846DC5A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06-4A53-9080-B3A0846DC5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F/ADAPTER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'18'!$AE$6:$AE$21</c:f>
              <c:numCache>
                <c:formatCode>0%</c:formatCode>
                <c:ptCount val="16"/>
                <c:pt idx="0">
                  <c:v>0.56344125125260525</c:v>
                </c:pt>
                <c:pt idx="1">
                  <c:v>0.56344125125260525</c:v>
                </c:pt>
                <c:pt idx="2">
                  <c:v>0.56344125125260525</c:v>
                </c:pt>
                <c:pt idx="3">
                  <c:v>0.56344125125260525</c:v>
                </c:pt>
                <c:pt idx="4">
                  <c:v>0.56344125125260525</c:v>
                </c:pt>
                <c:pt idx="5">
                  <c:v>0.56344125125260525</c:v>
                </c:pt>
                <c:pt idx="6">
                  <c:v>0.56344125125260525</c:v>
                </c:pt>
                <c:pt idx="7">
                  <c:v>0.56344125125260525</c:v>
                </c:pt>
                <c:pt idx="8">
                  <c:v>0.56344125125260525</c:v>
                </c:pt>
                <c:pt idx="9">
                  <c:v>0.56344125125260525</c:v>
                </c:pt>
                <c:pt idx="10">
                  <c:v>0.56344125125260525</c:v>
                </c:pt>
                <c:pt idx="11">
                  <c:v>0.56344125125260525</c:v>
                </c:pt>
                <c:pt idx="12">
                  <c:v>0.56344125125260525</c:v>
                </c:pt>
                <c:pt idx="13">
                  <c:v>0.56344125125260525</c:v>
                </c:pt>
                <c:pt idx="14">
                  <c:v>0.56344125125260525</c:v>
                </c:pt>
                <c:pt idx="15">
                  <c:v>0.56344125125260525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6-4A53-9080-B3A0846D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68416"/>
        <c:axId val="266968384"/>
      </c:lineChart>
      <c:catAx>
        <c:axId val="2334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6968384"/>
        <c:crosses val="autoZero"/>
        <c:auto val="1"/>
        <c:lblAlgn val="ctr"/>
        <c:lblOffset val="100"/>
        <c:noMultiLvlLbl val="0"/>
      </c:catAx>
      <c:valAx>
        <c:axId val="2669683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46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F/ADAPTER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'18'!$L$6:$L$21</c:f>
              <c:numCache>
                <c:formatCode>_(* #,##0_);_(* \(#,##0\);_(* "-"_);_(@_)</c:formatCode>
                <c:ptCount val="16"/>
                <c:pt idx="1">
                  <c:v>3956</c:v>
                </c:pt>
                <c:pt idx="2">
                  <c:v>4487</c:v>
                </c:pt>
                <c:pt idx="3">
                  <c:v>3590</c:v>
                </c:pt>
                <c:pt idx="4">
                  <c:v>124384</c:v>
                </c:pt>
                <c:pt idx="6">
                  <c:v>4098</c:v>
                </c:pt>
                <c:pt idx="7">
                  <c:v>727</c:v>
                </c:pt>
                <c:pt idx="10">
                  <c:v>667</c:v>
                </c:pt>
                <c:pt idx="11">
                  <c:v>1728</c:v>
                </c:pt>
                <c:pt idx="13">
                  <c:v>4604</c:v>
                </c:pt>
                <c:pt idx="14">
                  <c:v>4697</c:v>
                </c:pt>
                <c:pt idx="15">
                  <c:v>52380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4-47BE-A45F-6AE918192529}"/>
            </c:ext>
          </c:extLst>
        </c:ser>
        <c:ser>
          <c:idx val="1"/>
          <c:order val="1"/>
          <c:tx>
            <c:v>계획</c:v>
          </c:tx>
          <c:cat>
            <c:strRef>
              <c:f>'18'!$D$6:$D$21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F/ADAPTER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'18'!$J$6:$J$21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3960</c:v>
                </c:pt>
                <c:pt idx="2">
                  <c:v>4490</c:v>
                </c:pt>
                <c:pt idx="3">
                  <c:v>3590</c:v>
                </c:pt>
                <c:pt idx="4">
                  <c:v>124400</c:v>
                </c:pt>
                <c:pt idx="5">
                  <c:v>700</c:v>
                </c:pt>
                <c:pt idx="6">
                  <c:v>4100</c:v>
                </c:pt>
                <c:pt idx="7">
                  <c:v>730</c:v>
                </c:pt>
                <c:pt idx="8">
                  <c:v>300</c:v>
                </c:pt>
                <c:pt idx="9">
                  <c:v>910</c:v>
                </c:pt>
                <c:pt idx="10">
                  <c:v>670</c:v>
                </c:pt>
                <c:pt idx="11">
                  <c:v>1730</c:v>
                </c:pt>
                <c:pt idx="12">
                  <c:v>632</c:v>
                </c:pt>
                <c:pt idx="13">
                  <c:v>4610</c:v>
                </c:pt>
                <c:pt idx="14">
                  <c:v>4700</c:v>
                </c:pt>
                <c:pt idx="15">
                  <c:v>52380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4-47BE-A45F-6AE91819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68928"/>
        <c:axId val="475531520"/>
      </c:lineChart>
      <c:catAx>
        <c:axId val="2334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531520"/>
        <c:crosses val="autoZero"/>
        <c:auto val="1"/>
        <c:lblAlgn val="ctr"/>
        <c:lblOffset val="100"/>
        <c:noMultiLvlLbl val="0"/>
      </c:catAx>
      <c:valAx>
        <c:axId val="47553152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46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'18'!$AD$6:$AD$21</c:f>
              <c:strCache>
                <c:ptCount val="16"/>
                <c:pt idx="0">
                  <c:v>0%</c:v>
                </c:pt>
                <c:pt idx="1">
                  <c:v>96%</c:v>
                </c:pt>
                <c:pt idx="2">
                  <c:v>100%</c:v>
                </c:pt>
                <c:pt idx="3">
                  <c:v>79%</c:v>
                </c:pt>
                <c:pt idx="4">
                  <c:v>83%</c:v>
                </c:pt>
                <c:pt idx="5">
                  <c:v>0%</c:v>
                </c:pt>
                <c:pt idx="6">
                  <c:v>100%</c:v>
                </c:pt>
                <c:pt idx="7">
                  <c:v>33%</c:v>
                </c:pt>
                <c:pt idx="8">
                  <c:v>0%</c:v>
                </c:pt>
                <c:pt idx="9">
                  <c:v>0%</c:v>
                </c:pt>
                <c:pt idx="10">
                  <c:v>17%</c:v>
                </c:pt>
                <c:pt idx="11">
                  <c:v>42%</c:v>
                </c:pt>
                <c:pt idx="12">
                  <c:v>0%</c:v>
                </c:pt>
                <c:pt idx="13">
                  <c:v>96%</c:v>
                </c:pt>
                <c:pt idx="14">
                  <c:v>100%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F/ADAPTER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'18'!$AD$6:$AD$21</c:f>
              <c:numCache>
                <c:formatCode>0%</c:formatCode>
                <c:ptCount val="16"/>
                <c:pt idx="0">
                  <c:v>0</c:v>
                </c:pt>
                <c:pt idx="1">
                  <c:v>0.95736531986531992</c:v>
                </c:pt>
                <c:pt idx="2">
                  <c:v>0.99933184855233848</c:v>
                </c:pt>
                <c:pt idx="3">
                  <c:v>0.79166666666666663</c:v>
                </c:pt>
                <c:pt idx="4">
                  <c:v>0.8332261521972133</c:v>
                </c:pt>
                <c:pt idx="5">
                  <c:v>0</c:v>
                </c:pt>
                <c:pt idx="6">
                  <c:v>0.99951219512195122</c:v>
                </c:pt>
                <c:pt idx="7">
                  <c:v>0.33196347031963469</c:v>
                </c:pt>
                <c:pt idx="8">
                  <c:v>0</c:v>
                </c:pt>
                <c:pt idx="9">
                  <c:v>0</c:v>
                </c:pt>
                <c:pt idx="10">
                  <c:v>0.16592039800995023</c:v>
                </c:pt>
                <c:pt idx="11">
                  <c:v>0.41618497109826591</c:v>
                </c:pt>
                <c:pt idx="12">
                  <c:v>0</c:v>
                </c:pt>
                <c:pt idx="13">
                  <c:v>0.95708604483007964</c:v>
                </c:pt>
                <c:pt idx="14">
                  <c:v>0.99936170212765962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2-4DFA-B2FB-1FF0091DC78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A2-4DFA-B2FB-1FF0091DC7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F/ADAPTER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BODY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'18'!$AE$6:$AE$21</c:f>
              <c:numCache>
                <c:formatCode>0%</c:formatCode>
                <c:ptCount val="16"/>
                <c:pt idx="0">
                  <c:v>0.56344125125260525</c:v>
                </c:pt>
                <c:pt idx="1">
                  <c:v>0.56344125125260525</c:v>
                </c:pt>
                <c:pt idx="2">
                  <c:v>0.56344125125260525</c:v>
                </c:pt>
                <c:pt idx="3">
                  <c:v>0.56344125125260525</c:v>
                </c:pt>
                <c:pt idx="4">
                  <c:v>0.56344125125260525</c:v>
                </c:pt>
                <c:pt idx="5">
                  <c:v>0.56344125125260525</c:v>
                </c:pt>
                <c:pt idx="6">
                  <c:v>0.56344125125260525</c:v>
                </c:pt>
                <c:pt idx="7">
                  <c:v>0.56344125125260525</c:v>
                </c:pt>
                <c:pt idx="8">
                  <c:v>0.56344125125260525</c:v>
                </c:pt>
                <c:pt idx="9">
                  <c:v>0.56344125125260525</c:v>
                </c:pt>
                <c:pt idx="10">
                  <c:v>0.56344125125260525</c:v>
                </c:pt>
                <c:pt idx="11">
                  <c:v>0.56344125125260525</c:v>
                </c:pt>
                <c:pt idx="12">
                  <c:v>0.56344125125260525</c:v>
                </c:pt>
                <c:pt idx="13">
                  <c:v>0.56344125125260525</c:v>
                </c:pt>
                <c:pt idx="14">
                  <c:v>0.56344125125260525</c:v>
                </c:pt>
                <c:pt idx="15">
                  <c:v>0.56344125125260525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2-4DFA-B2FB-1FF0091D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69952"/>
        <c:axId val="268994816"/>
      </c:lineChart>
      <c:catAx>
        <c:axId val="2334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68994816"/>
        <c:crosses val="autoZero"/>
        <c:auto val="1"/>
        <c:lblAlgn val="ctr"/>
        <c:lblOffset val="100"/>
        <c:noMultiLvlLbl val="0"/>
      </c:catAx>
      <c:valAx>
        <c:axId val="2689948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46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877-402D-876A-84DC14DA2D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7-402D-876A-84DC14DA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70464"/>
        <c:axId val="26899712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77-402D-876A-84DC14DA2D4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7-402D-876A-84DC14DA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70464"/>
        <c:axId val="268997120"/>
      </c:lineChart>
      <c:catAx>
        <c:axId val="23347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997120"/>
        <c:crosses val="autoZero"/>
        <c:auto val="1"/>
        <c:lblAlgn val="ctr"/>
        <c:lblOffset val="100"/>
        <c:noMultiLvlLbl val="0"/>
      </c:catAx>
      <c:valAx>
        <c:axId val="268997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47046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COVER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'19'!$L$6:$L$20</c:f>
              <c:numCache>
                <c:formatCode>_(* #,##0_);_(* \(#,##0\);_(* "-"_);_(@_)</c:formatCode>
                <c:ptCount val="15"/>
                <c:pt idx="1">
                  <c:v>4522</c:v>
                </c:pt>
                <c:pt idx="2">
                  <c:v>3753</c:v>
                </c:pt>
                <c:pt idx="3">
                  <c:v>5665</c:v>
                </c:pt>
                <c:pt idx="4">
                  <c:v>170016</c:v>
                </c:pt>
                <c:pt idx="5">
                  <c:v>5600</c:v>
                </c:pt>
                <c:pt idx="6">
                  <c:v>3327</c:v>
                </c:pt>
                <c:pt idx="10">
                  <c:v>5785</c:v>
                </c:pt>
                <c:pt idx="12">
                  <c:v>5292</c:v>
                </c:pt>
                <c:pt idx="13">
                  <c:v>5124</c:v>
                </c:pt>
                <c:pt idx="14">
                  <c:v>58428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7-4697-8433-E96E0CE562EF}"/>
            </c:ext>
          </c:extLst>
        </c:ser>
        <c:ser>
          <c:idx val="1"/>
          <c:order val="1"/>
          <c:tx>
            <c:v>계획</c:v>
          </c:tx>
          <c:cat>
            <c:strRef>
              <c:f>'19'!$D$6:$D$20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COVER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'19'!$J$6:$J$20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4530</c:v>
                </c:pt>
                <c:pt idx="2">
                  <c:v>3760</c:v>
                </c:pt>
                <c:pt idx="3">
                  <c:v>5670</c:v>
                </c:pt>
                <c:pt idx="4">
                  <c:v>170020</c:v>
                </c:pt>
                <c:pt idx="5">
                  <c:v>5600</c:v>
                </c:pt>
                <c:pt idx="6">
                  <c:v>3330</c:v>
                </c:pt>
                <c:pt idx="7">
                  <c:v>730</c:v>
                </c:pt>
                <c:pt idx="8">
                  <c:v>300</c:v>
                </c:pt>
                <c:pt idx="9">
                  <c:v>910</c:v>
                </c:pt>
                <c:pt idx="10">
                  <c:v>5790</c:v>
                </c:pt>
                <c:pt idx="11">
                  <c:v>632</c:v>
                </c:pt>
                <c:pt idx="12">
                  <c:v>5300</c:v>
                </c:pt>
                <c:pt idx="13">
                  <c:v>5130</c:v>
                </c:pt>
                <c:pt idx="14">
                  <c:v>58430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7-4697-8433-E96E0CE5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94720"/>
        <c:axId val="269000000"/>
      </c:lineChart>
      <c:catAx>
        <c:axId val="2336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000000"/>
        <c:crosses val="autoZero"/>
        <c:auto val="1"/>
        <c:lblAlgn val="ctr"/>
        <c:lblOffset val="100"/>
        <c:noMultiLvlLbl val="0"/>
      </c:catAx>
      <c:valAx>
        <c:axId val="2690000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694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'19'!$AD$6:$AD$20</c:f>
              <c:strCache>
                <c:ptCount val="15"/>
                <c:pt idx="0">
                  <c:v>0%</c:v>
                </c:pt>
                <c:pt idx="1">
                  <c:v>100%</c:v>
                </c:pt>
                <c:pt idx="2">
                  <c:v>67%</c:v>
                </c:pt>
                <c:pt idx="3">
                  <c:v>100%</c:v>
                </c:pt>
                <c:pt idx="4">
                  <c:v>100%</c:v>
                </c:pt>
                <c:pt idx="5">
                  <c:v>33%</c:v>
                </c:pt>
                <c:pt idx="6">
                  <c:v>79%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COVER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'19'!$AD$6:$AD$20</c:f>
              <c:numCache>
                <c:formatCode>0%</c:formatCode>
                <c:ptCount val="15"/>
                <c:pt idx="0">
                  <c:v>0</c:v>
                </c:pt>
                <c:pt idx="1">
                  <c:v>0.99823399558498893</c:v>
                </c:pt>
                <c:pt idx="2">
                  <c:v>0.66542553191489362</c:v>
                </c:pt>
                <c:pt idx="3">
                  <c:v>0.99911816578483248</c:v>
                </c:pt>
                <c:pt idx="4">
                  <c:v>0.99997647335607576</c:v>
                </c:pt>
                <c:pt idx="5">
                  <c:v>0.33333333333333331</c:v>
                </c:pt>
                <c:pt idx="6">
                  <c:v>0.79095345345345347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0.99913644214162345</c:v>
                </c:pt>
                <c:pt idx="11">
                  <c:v>0</c:v>
                </c:pt>
                <c:pt idx="12">
                  <c:v>0.99849056603773589</c:v>
                </c:pt>
                <c:pt idx="13">
                  <c:v>0.99883040935672518</c:v>
                </c:pt>
                <c:pt idx="14">
                  <c:v>0.99996577100804385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B-4832-AE35-FE2DF429BF6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FB-4832-AE35-FE2DF429BF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COVER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'19'!$AE$6:$AE$20</c:f>
              <c:numCache>
                <c:formatCode>0%</c:formatCode>
                <c:ptCount val="15"/>
                <c:pt idx="0">
                  <c:v>0.58556427613144713</c:v>
                </c:pt>
                <c:pt idx="1">
                  <c:v>0.58556427613144713</c:v>
                </c:pt>
                <c:pt idx="2">
                  <c:v>0.58556427613144713</c:v>
                </c:pt>
                <c:pt idx="3">
                  <c:v>0.58556427613144713</c:v>
                </c:pt>
                <c:pt idx="4">
                  <c:v>0.58556427613144713</c:v>
                </c:pt>
                <c:pt idx="5">
                  <c:v>0.58556427613144713</c:v>
                </c:pt>
                <c:pt idx="6">
                  <c:v>0.58556427613144713</c:v>
                </c:pt>
                <c:pt idx="7">
                  <c:v>0.58556427613144713</c:v>
                </c:pt>
                <c:pt idx="8">
                  <c:v>0.58556427613144713</c:v>
                </c:pt>
                <c:pt idx="9">
                  <c:v>0.58556427613144713</c:v>
                </c:pt>
                <c:pt idx="10">
                  <c:v>0.58556427613144713</c:v>
                </c:pt>
                <c:pt idx="11">
                  <c:v>0.58556427613144713</c:v>
                </c:pt>
                <c:pt idx="12">
                  <c:v>0.58556427613144713</c:v>
                </c:pt>
                <c:pt idx="13">
                  <c:v>0.58556427613144713</c:v>
                </c:pt>
                <c:pt idx="14">
                  <c:v>0.58556427613144713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B-4832-AE35-FE2DF429B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95744"/>
        <c:axId val="275580032"/>
      </c:lineChart>
      <c:catAx>
        <c:axId val="2336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75580032"/>
        <c:crosses val="autoZero"/>
        <c:auto val="1"/>
        <c:lblAlgn val="ctr"/>
        <c:lblOffset val="100"/>
        <c:noMultiLvlLbl val="0"/>
      </c:catAx>
      <c:valAx>
        <c:axId val="2755800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69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0AD-4163-AF59-B5E202F3D3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D-4163-AF59-B5E202F3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35072"/>
        <c:axId val="22666028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AD-4163-AF59-B5E202F3D36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D-4163-AF59-B5E202F3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35072"/>
        <c:axId val="226660288"/>
      </c:lineChart>
      <c:catAx>
        <c:axId val="23763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660288"/>
        <c:crosses val="autoZero"/>
        <c:auto val="1"/>
        <c:lblAlgn val="ctr"/>
        <c:lblOffset val="100"/>
        <c:noMultiLvlLbl val="0"/>
      </c:catAx>
      <c:valAx>
        <c:axId val="226660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63507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COVER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'19'!$L$6:$L$20</c:f>
              <c:numCache>
                <c:formatCode>_(* #,##0_);_(* \(#,##0\);_(* "-"_);_(@_)</c:formatCode>
                <c:ptCount val="15"/>
                <c:pt idx="1">
                  <c:v>4522</c:v>
                </c:pt>
                <c:pt idx="2">
                  <c:v>3753</c:v>
                </c:pt>
                <c:pt idx="3">
                  <c:v>5665</c:v>
                </c:pt>
                <c:pt idx="4">
                  <c:v>170016</c:v>
                </c:pt>
                <c:pt idx="5">
                  <c:v>5600</c:v>
                </c:pt>
                <c:pt idx="6">
                  <c:v>3327</c:v>
                </c:pt>
                <c:pt idx="10">
                  <c:v>5785</c:v>
                </c:pt>
                <c:pt idx="12">
                  <c:v>5292</c:v>
                </c:pt>
                <c:pt idx="13">
                  <c:v>5124</c:v>
                </c:pt>
                <c:pt idx="14">
                  <c:v>58428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C-4D7B-B632-8F5D92C31CA1}"/>
            </c:ext>
          </c:extLst>
        </c:ser>
        <c:ser>
          <c:idx val="1"/>
          <c:order val="1"/>
          <c:tx>
            <c:v>계획</c:v>
          </c:tx>
          <c:cat>
            <c:strRef>
              <c:f>'19'!$D$6:$D$20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COVER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'19'!$J$6:$J$20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4530</c:v>
                </c:pt>
                <c:pt idx="2">
                  <c:v>3760</c:v>
                </c:pt>
                <c:pt idx="3">
                  <c:v>5670</c:v>
                </c:pt>
                <c:pt idx="4">
                  <c:v>170020</c:v>
                </c:pt>
                <c:pt idx="5">
                  <c:v>5600</c:v>
                </c:pt>
                <c:pt idx="6">
                  <c:v>3330</c:v>
                </c:pt>
                <c:pt idx="7">
                  <c:v>730</c:v>
                </c:pt>
                <c:pt idx="8">
                  <c:v>300</c:v>
                </c:pt>
                <c:pt idx="9">
                  <c:v>910</c:v>
                </c:pt>
                <c:pt idx="10">
                  <c:v>5790</c:v>
                </c:pt>
                <c:pt idx="11">
                  <c:v>632</c:v>
                </c:pt>
                <c:pt idx="12">
                  <c:v>5300</c:v>
                </c:pt>
                <c:pt idx="13">
                  <c:v>5130</c:v>
                </c:pt>
                <c:pt idx="14">
                  <c:v>58430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C-4D7B-B632-8F5D92C3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96768"/>
        <c:axId val="275582336"/>
      </c:lineChart>
      <c:catAx>
        <c:axId val="2336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582336"/>
        <c:crosses val="autoZero"/>
        <c:auto val="1"/>
        <c:lblAlgn val="ctr"/>
        <c:lblOffset val="100"/>
        <c:noMultiLvlLbl val="0"/>
      </c:catAx>
      <c:valAx>
        <c:axId val="2755823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696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'19'!$AD$6:$AD$20</c:f>
              <c:strCache>
                <c:ptCount val="15"/>
                <c:pt idx="0">
                  <c:v>0%</c:v>
                </c:pt>
                <c:pt idx="1">
                  <c:v>100%</c:v>
                </c:pt>
                <c:pt idx="2">
                  <c:v>67%</c:v>
                </c:pt>
                <c:pt idx="3">
                  <c:v>100%</c:v>
                </c:pt>
                <c:pt idx="4">
                  <c:v>100%</c:v>
                </c:pt>
                <c:pt idx="5">
                  <c:v>33%</c:v>
                </c:pt>
                <c:pt idx="6">
                  <c:v>79%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COVER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'19'!$AD$6:$AD$20</c:f>
              <c:numCache>
                <c:formatCode>0%</c:formatCode>
                <c:ptCount val="15"/>
                <c:pt idx="0">
                  <c:v>0</c:v>
                </c:pt>
                <c:pt idx="1">
                  <c:v>0.99823399558498893</c:v>
                </c:pt>
                <c:pt idx="2">
                  <c:v>0.66542553191489362</c:v>
                </c:pt>
                <c:pt idx="3">
                  <c:v>0.99911816578483248</c:v>
                </c:pt>
                <c:pt idx="4">
                  <c:v>0.99997647335607576</c:v>
                </c:pt>
                <c:pt idx="5">
                  <c:v>0.33333333333333331</c:v>
                </c:pt>
                <c:pt idx="6">
                  <c:v>0.79095345345345347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0.99913644214162345</c:v>
                </c:pt>
                <c:pt idx="11">
                  <c:v>0</c:v>
                </c:pt>
                <c:pt idx="12">
                  <c:v>0.99849056603773589</c:v>
                </c:pt>
                <c:pt idx="13">
                  <c:v>0.99883040935672518</c:v>
                </c:pt>
                <c:pt idx="14">
                  <c:v>0.99996577100804385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F-445D-B5F5-9FA23779000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0F-445D-B5F5-9FA2377900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COVER</c:v>
                </c:pt>
                <c:pt idx="6">
                  <c:v>BODY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LEVER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'19'!$AE$6:$AE$20</c:f>
              <c:numCache>
                <c:formatCode>0%</c:formatCode>
                <c:ptCount val="15"/>
                <c:pt idx="0">
                  <c:v>0.58556427613144713</c:v>
                </c:pt>
                <c:pt idx="1">
                  <c:v>0.58556427613144713</c:v>
                </c:pt>
                <c:pt idx="2">
                  <c:v>0.58556427613144713</c:v>
                </c:pt>
                <c:pt idx="3">
                  <c:v>0.58556427613144713</c:v>
                </c:pt>
                <c:pt idx="4">
                  <c:v>0.58556427613144713</c:v>
                </c:pt>
                <c:pt idx="5">
                  <c:v>0.58556427613144713</c:v>
                </c:pt>
                <c:pt idx="6">
                  <c:v>0.58556427613144713</c:v>
                </c:pt>
                <c:pt idx="7">
                  <c:v>0.58556427613144713</c:v>
                </c:pt>
                <c:pt idx="8">
                  <c:v>0.58556427613144713</c:v>
                </c:pt>
                <c:pt idx="9">
                  <c:v>0.58556427613144713</c:v>
                </c:pt>
                <c:pt idx="10">
                  <c:v>0.58556427613144713</c:v>
                </c:pt>
                <c:pt idx="11">
                  <c:v>0.58556427613144713</c:v>
                </c:pt>
                <c:pt idx="12">
                  <c:v>0.58556427613144713</c:v>
                </c:pt>
                <c:pt idx="13">
                  <c:v>0.58556427613144713</c:v>
                </c:pt>
                <c:pt idx="14">
                  <c:v>0.58556427613144713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F-445D-B5F5-9FA23779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24256"/>
        <c:axId val="275584064"/>
      </c:lineChart>
      <c:catAx>
        <c:axId val="2338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75584064"/>
        <c:crosses val="autoZero"/>
        <c:auto val="1"/>
        <c:lblAlgn val="ctr"/>
        <c:lblOffset val="100"/>
        <c:noMultiLvlLbl val="0"/>
      </c:catAx>
      <c:valAx>
        <c:axId val="2755840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82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C8B-4EEB-91B0-5E2BFE5BB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B-4EEB-91B0-5E2BFE5B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24768"/>
        <c:axId val="27558636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8B-4EEB-91B0-5E2BFE5BB4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8B-4EEB-91B0-5E2BFE5B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24768"/>
        <c:axId val="275586368"/>
      </c:lineChart>
      <c:catAx>
        <c:axId val="23382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5586368"/>
        <c:crosses val="autoZero"/>
        <c:auto val="1"/>
        <c:lblAlgn val="ctr"/>
        <c:lblOffset val="100"/>
        <c:noMultiLvlLbl val="0"/>
      </c:catAx>
      <c:valAx>
        <c:axId val="275586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82476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6">
                  <c:v>BODY/LID</c:v>
                </c:pt>
                <c:pt idx="7">
                  <c:v>BODY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1">
                  <c:v>4665</c:v>
                </c:pt>
                <c:pt idx="2">
                  <c:v>2994</c:v>
                </c:pt>
                <c:pt idx="3">
                  <c:v>5865</c:v>
                </c:pt>
                <c:pt idx="4">
                  <c:v>1101</c:v>
                </c:pt>
                <c:pt idx="5">
                  <c:v>1220</c:v>
                </c:pt>
                <c:pt idx="6">
                  <c:v>668</c:v>
                </c:pt>
                <c:pt idx="7">
                  <c:v>1990</c:v>
                </c:pt>
                <c:pt idx="8">
                  <c:v>8682</c:v>
                </c:pt>
                <c:pt idx="11">
                  <c:v>5748</c:v>
                </c:pt>
                <c:pt idx="13">
                  <c:v>5636</c:v>
                </c:pt>
                <c:pt idx="14">
                  <c:v>3217</c:v>
                </c:pt>
                <c:pt idx="15">
                  <c:v>58872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A-4340-82E1-92CAB618A31C}"/>
            </c:ext>
          </c:extLst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6">
                  <c:v>BODY/LID</c:v>
                </c:pt>
                <c:pt idx="7">
                  <c:v>BODY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4670</c:v>
                </c:pt>
                <c:pt idx="2">
                  <c:v>3000</c:v>
                </c:pt>
                <c:pt idx="3">
                  <c:v>5870</c:v>
                </c:pt>
                <c:pt idx="4">
                  <c:v>1110</c:v>
                </c:pt>
                <c:pt idx="5">
                  <c:v>1220</c:v>
                </c:pt>
                <c:pt idx="6">
                  <c:v>668</c:v>
                </c:pt>
                <c:pt idx="7">
                  <c:v>1990</c:v>
                </c:pt>
                <c:pt idx="8">
                  <c:v>8690</c:v>
                </c:pt>
                <c:pt idx="9">
                  <c:v>300</c:v>
                </c:pt>
                <c:pt idx="10">
                  <c:v>910</c:v>
                </c:pt>
                <c:pt idx="11">
                  <c:v>5750</c:v>
                </c:pt>
                <c:pt idx="12">
                  <c:v>632</c:v>
                </c:pt>
                <c:pt idx="13">
                  <c:v>5640</c:v>
                </c:pt>
                <c:pt idx="14">
                  <c:v>3220</c:v>
                </c:pt>
                <c:pt idx="15">
                  <c:v>58880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A-4340-82E1-92CAB618A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30752"/>
        <c:axId val="280619840"/>
      </c:lineChart>
      <c:catAx>
        <c:axId val="2339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619840"/>
        <c:crosses val="autoZero"/>
        <c:auto val="1"/>
        <c:lblAlgn val="ctr"/>
        <c:lblOffset val="100"/>
        <c:noMultiLvlLbl val="0"/>
      </c:catAx>
      <c:valAx>
        <c:axId val="2806198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930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67%</c:v>
                </c:pt>
                <c:pt idx="3">
                  <c:v>100%</c:v>
                </c:pt>
                <c:pt idx="4">
                  <c:v>29%</c:v>
                </c:pt>
                <c:pt idx="5">
                  <c:v>29%</c:v>
                </c:pt>
                <c:pt idx="6">
                  <c:v>25%</c:v>
                </c:pt>
                <c:pt idx="7">
                  <c:v>25%</c:v>
                </c:pt>
                <c:pt idx="8">
                  <c:v>83%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75%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6">
                  <c:v>BODY/LID</c:v>
                </c:pt>
                <c:pt idx="7">
                  <c:v>BODY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0.99892933618843682</c:v>
                </c:pt>
                <c:pt idx="2">
                  <c:v>0.66533333333333333</c:v>
                </c:pt>
                <c:pt idx="3">
                  <c:v>0.99914821124361164</c:v>
                </c:pt>
                <c:pt idx="4">
                  <c:v>0.28930180180180182</c:v>
                </c:pt>
                <c:pt idx="5">
                  <c:v>0.29166666666666669</c:v>
                </c:pt>
                <c:pt idx="6">
                  <c:v>0.25</c:v>
                </c:pt>
                <c:pt idx="7">
                  <c:v>0.25</c:v>
                </c:pt>
                <c:pt idx="8">
                  <c:v>0.83256616800920602</c:v>
                </c:pt>
                <c:pt idx="9">
                  <c:v>0</c:v>
                </c:pt>
                <c:pt idx="10">
                  <c:v>0</c:v>
                </c:pt>
                <c:pt idx="11">
                  <c:v>0.99965217391304351</c:v>
                </c:pt>
                <c:pt idx="12">
                  <c:v>0</c:v>
                </c:pt>
                <c:pt idx="13">
                  <c:v>0.99929078014184403</c:v>
                </c:pt>
                <c:pt idx="14">
                  <c:v>0.7493012422360249</c:v>
                </c:pt>
                <c:pt idx="15">
                  <c:v>0.99986413043478262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F-4357-BF49-C373E0A6F1C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4F-4357-BF49-C373E0A6F1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6">
                  <c:v>BODY/LID</c:v>
                </c:pt>
                <c:pt idx="7">
                  <c:v>BODY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0.55500358959791662</c:v>
                </c:pt>
                <c:pt idx="1">
                  <c:v>0.55500358959791662</c:v>
                </c:pt>
                <c:pt idx="2">
                  <c:v>0.55500358959791662</c:v>
                </c:pt>
                <c:pt idx="3">
                  <c:v>0.55500358959791662</c:v>
                </c:pt>
                <c:pt idx="4">
                  <c:v>0.55500358959791662</c:v>
                </c:pt>
                <c:pt idx="5">
                  <c:v>0.55500358959791662</c:v>
                </c:pt>
                <c:pt idx="6">
                  <c:v>0.55500358959791662</c:v>
                </c:pt>
                <c:pt idx="7">
                  <c:v>0.55500358959791662</c:v>
                </c:pt>
                <c:pt idx="8">
                  <c:v>0.55500358959791662</c:v>
                </c:pt>
                <c:pt idx="9">
                  <c:v>0.55500358959791662</c:v>
                </c:pt>
                <c:pt idx="10">
                  <c:v>0.55500358959791662</c:v>
                </c:pt>
                <c:pt idx="11">
                  <c:v>0.55500358959791662</c:v>
                </c:pt>
                <c:pt idx="12">
                  <c:v>0.55500358959791662</c:v>
                </c:pt>
                <c:pt idx="13">
                  <c:v>0.55500358959791662</c:v>
                </c:pt>
                <c:pt idx="14">
                  <c:v>0.55500358959791662</c:v>
                </c:pt>
                <c:pt idx="15">
                  <c:v>0.55500358959791662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F-4357-BF49-C373E0A6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32288"/>
        <c:axId val="280621568"/>
      </c:lineChart>
      <c:catAx>
        <c:axId val="2339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80621568"/>
        <c:crosses val="autoZero"/>
        <c:auto val="1"/>
        <c:lblAlgn val="ctr"/>
        <c:lblOffset val="100"/>
        <c:noMultiLvlLbl val="0"/>
      </c:catAx>
      <c:valAx>
        <c:axId val="2806215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93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6">
                  <c:v>BODY/LID</c:v>
                </c:pt>
                <c:pt idx="7">
                  <c:v>BODY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1">
                  <c:v>4665</c:v>
                </c:pt>
                <c:pt idx="2">
                  <c:v>2994</c:v>
                </c:pt>
                <c:pt idx="3">
                  <c:v>5865</c:v>
                </c:pt>
                <c:pt idx="4">
                  <c:v>1101</c:v>
                </c:pt>
                <c:pt idx="5">
                  <c:v>1220</c:v>
                </c:pt>
                <c:pt idx="6">
                  <c:v>668</c:v>
                </c:pt>
                <c:pt idx="7">
                  <c:v>1990</c:v>
                </c:pt>
                <c:pt idx="8">
                  <c:v>8682</c:v>
                </c:pt>
                <c:pt idx="11">
                  <c:v>5748</c:v>
                </c:pt>
                <c:pt idx="13">
                  <c:v>5636</c:v>
                </c:pt>
                <c:pt idx="14">
                  <c:v>3217</c:v>
                </c:pt>
                <c:pt idx="15">
                  <c:v>58872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A-49FE-855B-0CD5E15B7C7B}"/>
            </c:ext>
          </c:extLst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6">
                  <c:v>BODY/LID</c:v>
                </c:pt>
                <c:pt idx="7">
                  <c:v>BODY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4670</c:v>
                </c:pt>
                <c:pt idx="2">
                  <c:v>3000</c:v>
                </c:pt>
                <c:pt idx="3">
                  <c:v>5870</c:v>
                </c:pt>
                <c:pt idx="4">
                  <c:v>1110</c:v>
                </c:pt>
                <c:pt idx="5">
                  <c:v>1220</c:v>
                </c:pt>
                <c:pt idx="6">
                  <c:v>668</c:v>
                </c:pt>
                <c:pt idx="7">
                  <c:v>1990</c:v>
                </c:pt>
                <c:pt idx="8">
                  <c:v>8690</c:v>
                </c:pt>
                <c:pt idx="9">
                  <c:v>300</c:v>
                </c:pt>
                <c:pt idx="10">
                  <c:v>910</c:v>
                </c:pt>
                <c:pt idx="11">
                  <c:v>5750</c:v>
                </c:pt>
                <c:pt idx="12">
                  <c:v>632</c:v>
                </c:pt>
                <c:pt idx="13">
                  <c:v>5640</c:v>
                </c:pt>
                <c:pt idx="14">
                  <c:v>3220</c:v>
                </c:pt>
                <c:pt idx="15">
                  <c:v>58880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A-49FE-855B-0CD5E15B7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32800"/>
        <c:axId val="280623872"/>
      </c:lineChart>
      <c:catAx>
        <c:axId val="2339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623872"/>
        <c:crosses val="autoZero"/>
        <c:auto val="1"/>
        <c:lblAlgn val="ctr"/>
        <c:lblOffset val="100"/>
        <c:noMultiLvlLbl val="0"/>
      </c:catAx>
      <c:valAx>
        <c:axId val="2806238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3932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67%</c:v>
                </c:pt>
                <c:pt idx="3">
                  <c:v>100%</c:v>
                </c:pt>
                <c:pt idx="4">
                  <c:v>29%</c:v>
                </c:pt>
                <c:pt idx="5">
                  <c:v>29%</c:v>
                </c:pt>
                <c:pt idx="6">
                  <c:v>25%</c:v>
                </c:pt>
                <c:pt idx="7">
                  <c:v>25%</c:v>
                </c:pt>
                <c:pt idx="8">
                  <c:v>83%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100%</c:v>
                </c:pt>
                <c:pt idx="14">
                  <c:v>75%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6">
                  <c:v>BODY/LID</c:v>
                </c:pt>
                <c:pt idx="7">
                  <c:v>BODY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0.99892933618843682</c:v>
                </c:pt>
                <c:pt idx="2">
                  <c:v>0.66533333333333333</c:v>
                </c:pt>
                <c:pt idx="3">
                  <c:v>0.99914821124361164</c:v>
                </c:pt>
                <c:pt idx="4">
                  <c:v>0.28930180180180182</c:v>
                </c:pt>
                <c:pt idx="5">
                  <c:v>0.29166666666666669</c:v>
                </c:pt>
                <c:pt idx="6">
                  <c:v>0.25</c:v>
                </c:pt>
                <c:pt idx="7">
                  <c:v>0.25</c:v>
                </c:pt>
                <c:pt idx="8">
                  <c:v>0.83256616800920602</c:v>
                </c:pt>
                <c:pt idx="9">
                  <c:v>0</c:v>
                </c:pt>
                <c:pt idx="10">
                  <c:v>0</c:v>
                </c:pt>
                <c:pt idx="11">
                  <c:v>0.99965217391304351</c:v>
                </c:pt>
                <c:pt idx="12">
                  <c:v>0</c:v>
                </c:pt>
                <c:pt idx="13">
                  <c:v>0.99929078014184403</c:v>
                </c:pt>
                <c:pt idx="14">
                  <c:v>0.7493012422360249</c:v>
                </c:pt>
                <c:pt idx="15">
                  <c:v>0.99986413043478262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5-4DAA-8607-BFB8A263089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35-4DAA-8607-BFB8A263089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6">
                  <c:v>BODY/LID</c:v>
                </c:pt>
                <c:pt idx="7">
                  <c:v>BODY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0.55500358959791662</c:v>
                </c:pt>
                <c:pt idx="1">
                  <c:v>0.55500358959791662</c:v>
                </c:pt>
                <c:pt idx="2">
                  <c:v>0.55500358959791662</c:v>
                </c:pt>
                <c:pt idx="3">
                  <c:v>0.55500358959791662</c:v>
                </c:pt>
                <c:pt idx="4">
                  <c:v>0.55500358959791662</c:v>
                </c:pt>
                <c:pt idx="5">
                  <c:v>0.55500358959791662</c:v>
                </c:pt>
                <c:pt idx="6">
                  <c:v>0.55500358959791662</c:v>
                </c:pt>
                <c:pt idx="7">
                  <c:v>0.55500358959791662</c:v>
                </c:pt>
                <c:pt idx="8">
                  <c:v>0.55500358959791662</c:v>
                </c:pt>
                <c:pt idx="9">
                  <c:v>0.55500358959791662</c:v>
                </c:pt>
                <c:pt idx="10">
                  <c:v>0.55500358959791662</c:v>
                </c:pt>
                <c:pt idx="11">
                  <c:v>0.55500358959791662</c:v>
                </c:pt>
                <c:pt idx="12">
                  <c:v>0.55500358959791662</c:v>
                </c:pt>
                <c:pt idx="13">
                  <c:v>0.55500358959791662</c:v>
                </c:pt>
                <c:pt idx="14">
                  <c:v>0.55500358959791662</c:v>
                </c:pt>
                <c:pt idx="15">
                  <c:v>0.55500358959791662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5-4DAA-8607-BFB8A263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34336"/>
        <c:axId val="289251904"/>
      </c:lineChart>
      <c:catAx>
        <c:axId val="2339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89251904"/>
        <c:crosses val="autoZero"/>
        <c:auto val="1"/>
        <c:lblAlgn val="ctr"/>
        <c:lblOffset val="100"/>
        <c:noMultiLvlLbl val="0"/>
      </c:catAx>
      <c:valAx>
        <c:axId val="2892519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93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C6B-494A-9619-5F8142BB3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B-494A-9619-5F8142BB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37248"/>
        <c:axId val="2892542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6B-494A-9619-5F8142BB39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6B-494A-9619-5F8142BB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37248"/>
        <c:axId val="289254208"/>
      </c:lineChart>
      <c:catAx>
        <c:axId val="2340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9254208"/>
        <c:crosses val="autoZero"/>
        <c:auto val="1"/>
        <c:lblAlgn val="ctr"/>
        <c:lblOffset val="100"/>
        <c:noMultiLvlLbl val="0"/>
      </c:catAx>
      <c:valAx>
        <c:axId val="289254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03724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SLIDER</c:v>
                </c:pt>
                <c:pt idx="4">
                  <c:v>4LEAD</c:v>
                </c:pt>
                <c:pt idx="5">
                  <c:v>260BASE</c:v>
                </c:pt>
                <c:pt idx="6">
                  <c:v>BODY/LID</c:v>
                </c:pt>
                <c:pt idx="7">
                  <c:v>PLUNGER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'21'!$L$6:$L$21</c:f>
              <c:numCache>
                <c:formatCode>_(* #,##0_);_(* \(#,##0\);_(* "-"_);_(@_)</c:formatCode>
                <c:ptCount val="16"/>
                <c:pt idx="1">
                  <c:v>4652</c:v>
                </c:pt>
                <c:pt idx="2">
                  <c:v>2808</c:v>
                </c:pt>
                <c:pt idx="3">
                  <c:v>3696</c:v>
                </c:pt>
                <c:pt idx="4">
                  <c:v>2754</c:v>
                </c:pt>
                <c:pt idx="6">
                  <c:v>2013</c:v>
                </c:pt>
                <c:pt idx="7">
                  <c:v>1096</c:v>
                </c:pt>
                <c:pt idx="8">
                  <c:v>1446</c:v>
                </c:pt>
                <c:pt idx="11">
                  <c:v>5742</c:v>
                </c:pt>
                <c:pt idx="13">
                  <c:v>3871</c:v>
                </c:pt>
                <c:pt idx="14">
                  <c:v>5101</c:v>
                </c:pt>
                <c:pt idx="15">
                  <c:v>64080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1-4C9E-A2C0-9BBDD02ADA51}"/>
            </c:ext>
          </c:extLst>
        </c:ser>
        <c:ser>
          <c:idx val="1"/>
          <c:order val="1"/>
          <c:tx>
            <c:v>계획</c:v>
          </c:tx>
          <c:cat>
            <c:strRef>
              <c:f>'21'!$D$6:$D$21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SLIDER</c:v>
                </c:pt>
                <c:pt idx="4">
                  <c:v>4LEAD</c:v>
                </c:pt>
                <c:pt idx="5">
                  <c:v>260BASE</c:v>
                </c:pt>
                <c:pt idx="6">
                  <c:v>BODY/LID</c:v>
                </c:pt>
                <c:pt idx="7">
                  <c:v>PLUNGER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'21'!$J$6:$J$21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4660</c:v>
                </c:pt>
                <c:pt idx="2">
                  <c:v>2810</c:v>
                </c:pt>
                <c:pt idx="3">
                  <c:v>3700</c:v>
                </c:pt>
                <c:pt idx="4">
                  <c:v>2760</c:v>
                </c:pt>
                <c:pt idx="5">
                  <c:v>1220</c:v>
                </c:pt>
                <c:pt idx="6">
                  <c:v>2020</c:v>
                </c:pt>
                <c:pt idx="7">
                  <c:v>1990</c:v>
                </c:pt>
                <c:pt idx="8">
                  <c:v>1450</c:v>
                </c:pt>
                <c:pt idx="9">
                  <c:v>300</c:v>
                </c:pt>
                <c:pt idx="10">
                  <c:v>910</c:v>
                </c:pt>
                <c:pt idx="11">
                  <c:v>5750</c:v>
                </c:pt>
                <c:pt idx="12">
                  <c:v>632</c:v>
                </c:pt>
                <c:pt idx="13">
                  <c:v>3880</c:v>
                </c:pt>
                <c:pt idx="14">
                  <c:v>5110</c:v>
                </c:pt>
                <c:pt idx="15">
                  <c:v>64080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1-4C9E-A2C0-9BBDD02AD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37120"/>
        <c:axId val="289257088"/>
      </c:lineChart>
      <c:catAx>
        <c:axId val="2344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9257088"/>
        <c:crosses val="autoZero"/>
        <c:auto val="1"/>
        <c:lblAlgn val="ctr"/>
        <c:lblOffset val="100"/>
        <c:noMultiLvlLbl val="0"/>
      </c:catAx>
      <c:valAx>
        <c:axId val="2892570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437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75%</c:v>
                </c:pt>
                <c:pt idx="3">
                  <c:v>79%</c:v>
                </c:pt>
                <c:pt idx="4">
                  <c:v>75%</c:v>
                </c:pt>
                <c:pt idx="5">
                  <c:v>0%</c:v>
                </c:pt>
                <c:pt idx="6">
                  <c:v>50%</c:v>
                </c:pt>
                <c:pt idx="7">
                  <c:v>23%</c:v>
                </c:pt>
                <c:pt idx="8">
                  <c:v>17%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79%</c:v>
                </c:pt>
                <c:pt idx="14">
                  <c:v>100%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SLIDER</c:v>
                </c:pt>
                <c:pt idx="4">
                  <c:v>4LEAD</c:v>
                </c:pt>
                <c:pt idx="5">
                  <c:v>260BASE</c:v>
                </c:pt>
                <c:pt idx="6">
                  <c:v>BODY/LID</c:v>
                </c:pt>
                <c:pt idx="7">
                  <c:v>PLUNGER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'21'!$AD$6:$AD$21</c:f>
              <c:numCache>
                <c:formatCode>0%</c:formatCode>
                <c:ptCount val="16"/>
                <c:pt idx="0">
                  <c:v>0</c:v>
                </c:pt>
                <c:pt idx="1">
                  <c:v>0.99828326180257509</c:v>
                </c:pt>
                <c:pt idx="2">
                  <c:v>0.74946619217081845</c:v>
                </c:pt>
                <c:pt idx="3">
                  <c:v>0.79081081081081084</c:v>
                </c:pt>
                <c:pt idx="4">
                  <c:v>0.74836956521739129</c:v>
                </c:pt>
                <c:pt idx="5">
                  <c:v>0</c:v>
                </c:pt>
                <c:pt idx="6">
                  <c:v>0.49826732673267327</c:v>
                </c:pt>
                <c:pt idx="7">
                  <c:v>0.22948073701842547</c:v>
                </c:pt>
                <c:pt idx="8">
                  <c:v>0.16620689655172413</c:v>
                </c:pt>
                <c:pt idx="9">
                  <c:v>0</c:v>
                </c:pt>
                <c:pt idx="10">
                  <c:v>0</c:v>
                </c:pt>
                <c:pt idx="11">
                  <c:v>0.99860869565217392</c:v>
                </c:pt>
                <c:pt idx="12">
                  <c:v>0</c:v>
                </c:pt>
                <c:pt idx="13">
                  <c:v>0.78983032646048112</c:v>
                </c:pt>
                <c:pt idx="14">
                  <c:v>0.99823874755381603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0-458A-8FA0-FAA1ED56565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E0-458A-8FA0-FAA1ED5656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SLIDER</c:v>
                </c:pt>
                <c:pt idx="4">
                  <c:v>4LEAD</c:v>
                </c:pt>
                <c:pt idx="5">
                  <c:v>260BASE</c:v>
                </c:pt>
                <c:pt idx="6">
                  <c:v>BODY/LID</c:v>
                </c:pt>
                <c:pt idx="7">
                  <c:v>PLUNGER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'21'!$AE$6:$AE$21</c:f>
              <c:numCache>
                <c:formatCode>0%</c:formatCode>
                <c:ptCount val="16"/>
                <c:pt idx="0">
                  <c:v>0.53117083733139259</c:v>
                </c:pt>
                <c:pt idx="1">
                  <c:v>0.53117083733139259</c:v>
                </c:pt>
                <c:pt idx="2">
                  <c:v>0.53117083733139259</c:v>
                </c:pt>
                <c:pt idx="3">
                  <c:v>0.53117083733139259</c:v>
                </c:pt>
                <c:pt idx="4">
                  <c:v>0.53117083733139259</c:v>
                </c:pt>
                <c:pt idx="5">
                  <c:v>0.53117083733139259</c:v>
                </c:pt>
                <c:pt idx="6">
                  <c:v>0.53117083733139259</c:v>
                </c:pt>
                <c:pt idx="7">
                  <c:v>0.53117083733139259</c:v>
                </c:pt>
                <c:pt idx="8">
                  <c:v>0.53117083733139259</c:v>
                </c:pt>
                <c:pt idx="9">
                  <c:v>0.53117083733139259</c:v>
                </c:pt>
                <c:pt idx="10">
                  <c:v>0.53117083733139259</c:v>
                </c:pt>
                <c:pt idx="11">
                  <c:v>0.53117083733139259</c:v>
                </c:pt>
                <c:pt idx="12">
                  <c:v>0.53117083733139259</c:v>
                </c:pt>
                <c:pt idx="13">
                  <c:v>0.53117083733139259</c:v>
                </c:pt>
                <c:pt idx="14">
                  <c:v>0.53117083733139259</c:v>
                </c:pt>
                <c:pt idx="15">
                  <c:v>0.53117083733139259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0-458A-8FA0-FAA1ED56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59648"/>
        <c:axId val="289258816"/>
      </c:lineChart>
      <c:catAx>
        <c:axId val="2344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89258816"/>
        <c:crosses val="autoZero"/>
        <c:auto val="1"/>
        <c:lblAlgn val="ctr"/>
        <c:lblOffset val="100"/>
        <c:noMultiLvlLbl val="0"/>
      </c:catAx>
      <c:valAx>
        <c:axId val="2892588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45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1">
                  <c:v>3420</c:v>
                </c:pt>
                <c:pt idx="3">
                  <c:v>5139</c:v>
                </c:pt>
                <c:pt idx="5">
                  <c:v>4494</c:v>
                </c:pt>
                <c:pt idx="6">
                  <c:v>4171</c:v>
                </c:pt>
                <c:pt idx="10">
                  <c:v>4986</c:v>
                </c:pt>
                <c:pt idx="12">
                  <c:v>1515</c:v>
                </c:pt>
                <c:pt idx="13">
                  <c:v>4604</c:v>
                </c:pt>
                <c:pt idx="14">
                  <c:v>51196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EC2-840F-589C4D0E83E4}"/>
            </c:ext>
          </c:extLst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3420</c:v>
                </c:pt>
                <c:pt idx="2">
                  <c:v>5250</c:v>
                </c:pt>
                <c:pt idx="3">
                  <c:v>5140</c:v>
                </c:pt>
                <c:pt idx="4">
                  <c:v>4400</c:v>
                </c:pt>
                <c:pt idx="5">
                  <c:v>4500</c:v>
                </c:pt>
                <c:pt idx="6">
                  <c:v>4180</c:v>
                </c:pt>
                <c:pt idx="7">
                  <c:v>2220</c:v>
                </c:pt>
                <c:pt idx="8">
                  <c:v>556</c:v>
                </c:pt>
                <c:pt idx="9">
                  <c:v>2730</c:v>
                </c:pt>
                <c:pt idx="10">
                  <c:v>4990</c:v>
                </c:pt>
                <c:pt idx="11">
                  <c:v>6520</c:v>
                </c:pt>
                <c:pt idx="12">
                  <c:v>1520</c:v>
                </c:pt>
                <c:pt idx="13">
                  <c:v>4610</c:v>
                </c:pt>
                <c:pt idx="14">
                  <c:v>51200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9-4EC2-840F-589C4D0E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46656"/>
        <c:axId val="226663744"/>
      </c:lineChart>
      <c:catAx>
        <c:axId val="2438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663744"/>
        <c:crosses val="autoZero"/>
        <c:auto val="1"/>
        <c:lblAlgn val="ctr"/>
        <c:lblOffset val="100"/>
        <c:noMultiLvlLbl val="0"/>
      </c:catAx>
      <c:valAx>
        <c:axId val="22666374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43846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SLIDER</c:v>
                </c:pt>
                <c:pt idx="4">
                  <c:v>4LEAD</c:v>
                </c:pt>
                <c:pt idx="5">
                  <c:v>260BASE</c:v>
                </c:pt>
                <c:pt idx="6">
                  <c:v>BODY/LID</c:v>
                </c:pt>
                <c:pt idx="7">
                  <c:v>PLUNGER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'21'!$L$6:$L$21</c:f>
              <c:numCache>
                <c:formatCode>_(* #,##0_);_(* \(#,##0\);_(* "-"_);_(@_)</c:formatCode>
                <c:ptCount val="16"/>
                <c:pt idx="1">
                  <c:v>4652</c:v>
                </c:pt>
                <c:pt idx="2">
                  <c:v>2808</c:v>
                </c:pt>
                <c:pt idx="3">
                  <c:v>3696</c:v>
                </c:pt>
                <c:pt idx="4">
                  <c:v>2754</c:v>
                </c:pt>
                <c:pt idx="6">
                  <c:v>2013</c:v>
                </c:pt>
                <c:pt idx="7">
                  <c:v>1096</c:v>
                </c:pt>
                <c:pt idx="8">
                  <c:v>1446</c:v>
                </c:pt>
                <c:pt idx="11">
                  <c:v>5742</c:v>
                </c:pt>
                <c:pt idx="13">
                  <c:v>3871</c:v>
                </c:pt>
                <c:pt idx="14">
                  <c:v>5101</c:v>
                </c:pt>
                <c:pt idx="15">
                  <c:v>64080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F-47BA-96CB-351CA9233FA5}"/>
            </c:ext>
          </c:extLst>
        </c:ser>
        <c:ser>
          <c:idx val="1"/>
          <c:order val="1"/>
          <c:tx>
            <c:v>계획</c:v>
          </c:tx>
          <c:cat>
            <c:strRef>
              <c:f>'21'!$D$6:$D$21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SLIDER</c:v>
                </c:pt>
                <c:pt idx="4">
                  <c:v>4LEAD</c:v>
                </c:pt>
                <c:pt idx="5">
                  <c:v>260BASE</c:v>
                </c:pt>
                <c:pt idx="6">
                  <c:v>BODY/LID</c:v>
                </c:pt>
                <c:pt idx="7">
                  <c:v>PLUNGER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'21'!$J$6:$J$21</c:f>
              <c:numCache>
                <c:formatCode>_(* #,##0_);_(* \(#,##0\);_(* "-"_);_(@_)</c:formatCode>
                <c:ptCount val="16"/>
                <c:pt idx="0">
                  <c:v>1970</c:v>
                </c:pt>
                <c:pt idx="1">
                  <c:v>4660</c:v>
                </c:pt>
                <c:pt idx="2">
                  <c:v>2810</c:v>
                </c:pt>
                <c:pt idx="3">
                  <c:v>3700</c:v>
                </c:pt>
                <c:pt idx="4">
                  <c:v>2760</c:v>
                </c:pt>
                <c:pt idx="5">
                  <c:v>1220</c:v>
                </c:pt>
                <c:pt idx="6">
                  <c:v>2020</c:v>
                </c:pt>
                <c:pt idx="7">
                  <c:v>1990</c:v>
                </c:pt>
                <c:pt idx="8">
                  <c:v>1450</c:v>
                </c:pt>
                <c:pt idx="9">
                  <c:v>300</c:v>
                </c:pt>
                <c:pt idx="10">
                  <c:v>910</c:v>
                </c:pt>
                <c:pt idx="11">
                  <c:v>5750</c:v>
                </c:pt>
                <c:pt idx="12">
                  <c:v>632</c:v>
                </c:pt>
                <c:pt idx="13">
                  <c:v>3880</c:v>
                </c:pt>
                <c:pt idx="14">
                  <c:v>5110</c:v>
                </c:pt>
                <c:pt idx="15">
                  <c:v>64080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F-47BA-96CB-351CA923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60160"/>
        <c:axId val="303793856"/>
      </c:lineChart>
      <c:catAx>
        <c:axId val="2344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793856"/>
        <c:crosses val="autoZero"/>
        <c:auto val="1"/>
        <c:lblAlgn val="ctr"/>
        <c:lblOffset val="100"/>
        <c:noMultiLvlLbl val="0"/>
      </c:catAx>
      <c:valAx>
        <c:axId val="30379385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446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'21'!$AD$6:$AD$21</c:f>
              <c:strCache>
                <c:ptCount val="16"/>
                <c:pt idx="0">
                  <c:v>0%</c:v>
                </c:pt>
                <c:pt idx="1">
                  <c:v>100%</c:v>
                </c:pt>
                <c:pt idx="2">
                  <c:v>75%</c:v>
                </c:pt>
                <c:pt idx="3">
                  <c:v>79%</c:v>
                </c:pt>
                <c:pt idx="4">
                  <c:v>75%</c:v>
                </c:pt>
                <c:pt idx="5">
                  <c:v>0%</c:v>
                </c:pt>
                <c:pt idx="6">
                  <c:v>50%</c:v>
                </c:pt>
                <c:pt idx="7">
                  <c:v>23%</c:v>
                </c:pt>
                <c:pt idx="8">
                  <c:v>17%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0%</c:v>
                </c:pt>
                <c:pt idx="13">
                  <c:v>79%</c:v>
                </c:pt>
                <c:pt idx="14">
                  <c:v>100%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SLIDER</c:v>
                </c:pt>
                <c:pt idx="4">
                  <c:v>4LEAD</c:v>
                </c:pt>
                <c:pt idx="5">
                  <c:v>260BASE</c:v>
                </c:pt>
                <c:pt idx="6">
                  <c:v>BODY/LID</c:v>
                </c:pt>
                <c:pt idx="7">
                  <c:v>PLUNGER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'21'!$AD$6:$AD$21</c:f>
              <c:numCache>
                <c:formatCode>0%</c:formatCode>
                <c:ptCount val="16"/>
                <c:pt idx="0">
                  <c:v>0</c:v>
                </c:pt>
                <c:pt idx="1">
                  <c:v>0.99828326180257509</c:v>
                </c:pt>
                <c:pt idx="2">
                  <c:v>0.74946619217081845</c:v>
                </c:pt>
                <c:pt idx="3">
                  <c:v>0.79081081081081084</c:v>
                </c:pt>
                <c:pt idx="4">
                  <c:v>0.74836956521739129</c:v>
                </c:pt>
                <c:pt idx="5">
                  <c:v>0</c:v>
                </c:pt>
                <c:pt idx="6">
                  <c:v>0.49826732673267327</c:v>
                </c:pt>
                <c:pt idx="7">
                  <c:v>0.22948073701842547</c:v>
                </c:pt>
                <c:pt idx="8">
                  <c:v>0.16620689655172413</c:v>
                </c:pt>
                <c:pt idx="9">
                  <c:v>0</c:v>
                </c:pt>
                <c:pt idx="10">
                  <c:v>0</c:v>
                </c:pt>
                <c:pt idx="11">
                  <c:v>0.99860869565217392</c:v>
                </c:pt>
                <c:pt idx="12">
                  <c:v>0</c:v>
                </c:pt>
                <c:pt idx="13">
                  <c:v>0.78983032646048112</c:v>
                </c:pt>
                <c:pt idx="14">
                  <c:v>0.99823874755381603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AEC-BDCE-98F77C75D84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3D-4AEC-BDCE-98F77C75D8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SLIDER</c:v>
                </c:pt>
                <c:pt idx="4">
                  <c:v>4LEAD</c:v>
                </c:pt>
                <c:pt idx="5">
                  <c:v>260BASE</c:v>
                </c:pt>
                <c:pt idx="6">
                  <c:v>BODY/LID</c:v>
                </c:pt>
                <c:pt idx="7">
                  <c:v>PLUNGER</c:v>
                </c:pt>
                <c:pt idx="8">
                  <c:v>COVER</c:v>
                </c:pt>
                <c:pt idx="9">
                  <c:v>BASE</c:v>
                </c:pt>
                <c:pt idx="10">
                  <c:v>ADAPTER</c:v>
                </c:pt>
                <c:pt idx="11">
                  <c:v>LEAD GUIDE</c:v>
                </c:pt>
                <c:pt idx="12">
                  <c:v>LEVER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'21'!$AE$6:$AE$21</c:f>
              <c:numCache>
                <c:formatCode>0%</c:formatCode>
                <c:ptCount val="16"/>
                <c:pt idx="0">
                  <c:v>0.53117083733139259</c:v>
                </c:pt>
                <c:pt idx="1">
                  <c:v>0.53117083733139259</c:v>
                </c:pt>
                <c:pt idx="2">
                  <c:v>0.53117083733139259</c:v>
                </c:pt>
                <c:pt idx="3">
                  <c:v>0.53117083733139259</c:v>
                </c:pt>
                <c:pt idx="4">
                  <c:v>0.53117083733139259</c:v>
                </c:pt>
                <c:pt idx="5">
                  <c:v>0.53117083733139259</c:v>
                </c:pt>
                <c:pt idx="6">
                  <c:v>0.53117083733139259</c:v>
                </c:pt>
                <c:pt idx="7">
                  <c:v>0.53117083733139259</c:v>
                </c:pt>
                <c:pt idx="8">
                  <c:v>0.53117083733139259</c:v>
                </c:pt>
                <c:pt idx="9">
                  <c:v>0.53117083733139259</c:v>
                </c:pt>
                <c:pt idx="10">
                  <c:v>0.53117083733139259</c:v>
                </c:pt>
                <c:pt idx="11">
                  <c:v>0.53117083733139259</c:v>
                </c:pt>
                <c:pt idx="12">
                  <c:v>0.53117083733139259</c:v>
                </c:pt>
                <c:pt idx="13">
                  <c:v>0.53117083733139259</c:v>
                </c:pt>
                <c:pt idx="14">
                  <c:v>0.53117083733139259</c:v>
                </c:pt>
                <c:pt idx="15">
                  <c:v>0.53117083733139259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D-4AEC-BDCE-98F77C75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61184"/>
        <c:axId val="303795584"/>
      </c:lineChart>
      <c:catAx>
        <c:axId val="2344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3795584"/>
        <c:crosses val="autoZero"/>
        <c:auto val="1"/>
        <c:lblAlgn val="ctr"/>
        <c:lblOffset val="100"/>
        <c:noMultiLvlLbl val="0"/>
      </c:catAx>
      <c:valAx>
        <c:axId val="3037955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446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7E3-4E3C-9E9E-387500F822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3-4E3C-9E9E-387500F8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461696"/>
        <c:axId val="30379788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E3-4E3C-9E9E-387500F822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3-4E3C-9E9E-387500F8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61696"/>
        <c:axId val="303797888"/>
      </c:lineChart>
      <c:catAx>
        <c:axId val="23446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3797888"/>
        <c:crosses val="autoZero"/>
        <c:auto val="1"/>
        <c:lblAlgn val="ctr"/>
        <c:lblOffset val="100"/>
        <c:noMultiLvlLbl val="0"/>
      </c:catAx>
      <c:valAx>
        <c:axId val="303797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446169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STOPPER</c:v>
                </c:pt>
                <c:pt idx="4">
                  <c:v>SLIDER</c:v>
                </c:pt>
                <c:pt idx="5">
                  <c:v>4LEAD</c:v>
                </c:pt>
                <c:pt idx="6">
                  <c:v>260BASE</c:v>
                </c:pt>
                <c:pt idx="7">
                  <c:v>PLUNGER</c:v>
                </c:pt>
                <c:pt idx="8">
                  <c:v>BODY</c:v>
                </c:pt>
                <c:pt idx="9">
                  <c:v>BODY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FLOAT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'22'!$L$6:$L$22</c:f>
              <c:numCache>
                <c:formatCode>_(* #,##0_);_(* \(#,##0\);_(* "-"_);_(@_)</c:formatCode>
                <c:ptCount val="17"/>
                <c:pt idx="1">
                  <c:v>4684</c:v>
                </c:pt>
                <c:pt idx="2">
                  <c:v>1017</c:v>
                </c:pt>
                <c:pt idx="3">
                  <c:v>2810</c:v>
                </c:pt>
                <c:pt idx="4">
                  <c:v>5667</c:v>
                </c:pt>
                <c:pt idx="5">
                  <c:v>5439</c:v>
                </c:pt>
                <c:pt idx="6">
                  <c:v>707</c:v>
                </c:pt>
                <c:pt idx="7">
                  <c:v>2563</c:v>
                </c:pt>
                <c:pt idx="8">
                  <c:v>2919</c:v>
                </c:pt>
                <c:pt idx="9">
                  <c:v>1142</c:v>
                </c:pt>
                <c:pt idx="12">
                  <c:v>2842</c:v>
                </c:pt>
                <c:pt idx="13">
                  <c:v>2110</c:v>
                </c:pt>
                <c:pt idx="14">
                  <c:v>5300</c:v>
                </c:pt>
                <c:pt idx="15">
                  <c:v>4876</c:v>
                </c:pt>
                <c:pt idx="16">
                  <c:v>33228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D-4191-AF77-6F7BDFA05F36}"/>
            </c:ext>
          </c:extLst>
        </c:ser>
        <c:ser>
          <c:idx val="1"/>
          <c:order val="1"/>
          <c:tx>
            <c:v>계획</c:v>
          </c:tx>
          <c:cat>
            <c:strRef>
              <c:f>'22'!$D$6:$D$22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STOPPER</c:v>
                </c:pt>
                <c:pt idx="4">
                  <c:v>SLIDER</c:v>
                </c:pt>
                <c:pt idx="5">
                  <c:v>4LEAD</c:v>
                </c:pt>
                <c:pt idx="6">
                  <c:v>260BASE</c:v>
                </c:pt>
                <c:pt idx="7">
                  <c:v>PLUNGER</c:v>
                </c:pt>
                <c:pt idx="8">
                  <c:v>BODY</c:v>
                </c:pt>
                <c:pt idx="9">
                  <c:v>BODY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FLOAT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'22'!$J$6:$J$22</c:f>
              <c:numCache>
                <c:formatCode>_(* #,##0_);_(* \(#,##0\);_(* "-"_);_(@_)</c:formatCode>
                <c:ptCount val="17"/>
                <c:pt idx="0">
                  <c:v>1970</c:v>
                </c:pt>
                <c:pt idx="1">
                  <c:v>4690</c:v>
                </c:pt>
                <c:pt idx="2">
                  <c:v>1020</c:v>
                </c:pt>
                <c:pt idx="3">
                  <c:v>2810</c:v>
                </c:pt>
                <c:pt idx="4">
                  <c:v>5670</c:v>
                </c:pt>
                <c:pt idx="5">
                  <c:v>5440</c:v>
                </c:pt>
                <c:pt idx="6">
                  <c:v>710</c:v>
                </c:pt>
                <c:pt idx="7">
                  <c:v>2570</c:v>
                </c:pt>
                <c:pt idx="8">
                  <c:v>2920</c:v>
                </c:pt>
                <c:pt idx="9">
                  <c:v>1450</c:v>
                </c:pt>
                <c:pt idx="10">
                  <c:v>300</c:v>
                </c:pt>
                <c:pt idx="11">
                  <c:v>910</c:v>
                </c:pt>
                <c:pt idx="12">
                  <c:v>2850</c:v>
                </c:pt>
                <c:pt idx="13">
                  <c:v>2110</c:v>
                </c:pt>
                <c:pt idx="14">
                  <c:v>5300</c:v>
                </c:pt>
                <c:pt idx="15">
                  <c:v>4880</c:v>
                </c:pt>
                <c:pt idx="16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D-4191-AF77-6F7BDFA0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26400"/>
        <c:axId val="313532416"/>
      </c:lineChart>
      <c:catAx>
        <c:axId val="2363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532416"/>
        <c:crosses val="autoZero"/>
        <c:auto val="1"/>
        <c:lblAlgn val="ctr"/>
        <c:lblOffset val="100"/>
        <c:noMultiLvlLbl val="0"/>
      </c:catAx>
      <c:valAx>
        <c:axId val="3135324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632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'22'!$AD$6:$AD$22</c:f>
              <c:strCache>
                <c:ptCount val="17"/>
                <c:pt idx="0">
                  <c:v>0%</c:v>
                </c:pt>
                <c:pt idx="1">
                  <c:v>100%</c:v>
                </c:pt>
                <c:pt idx="2">
                  <c:v>37%</c:v>
                </c:pt>
                <c:pt idx="3">
                  <c:v>58%</c:v>
                </c:pt>
                <c:pt idx="4">
                  <c:v>100%</c:v>
                </c:pt>
                <c:pt idx="5">
                  <c:v>100%</c:v>
                </c:pt>
                <c:pt idx="6">
                  <c:v>41%</c:v>
                </c:pt>
                <c:pt idx="7">
                  <c:v>50%</c:v>
                </c:pt>
                <c:pt idx="8">
                  <c:v>83%</c:v>
                </c:pt>
                <c:pt idx="9">
                  <c:v>20%</c:v>
                </c:pt>
                <c:pt idx="10">
                  <c:v>0%</c:v>
                </c:pt>
                <c:pt idx="11">
                  <c:v>0%</c:v>
                </c:pt>
                <c:pt idx="12">
                  <c:v>58%</c:v>
                </c:pt>
                <c:pt idx="13">
                  <c:v>50%</c:v>
                </c:pt>
                <c:pt idx="14">
                  <c:v>100%</c:v>
                </c:pt>
                <c:pt idx="15">
                  <c:v>100%</c:v>
                </c:pt>
                <c:pt idx="16">
                  <c:v>71%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STOPPER</c:v>
                </c:pt>
                <c:pt idx="4">
                  <c:v>SLIDER</c:v>
                </c:pt>
                <c:pt idx="5">
                  <c:v>4LEAD</c:v>
                </c:pt>
                <c:pt idx="6">
                  <c:v>260BASE</c:v>
                </c:pt>
                <c:pt idx="7">
                  <c:v>PLUNGER</c:v>
                </c:pt>
                <c:pt idx="8">
                  <c:v>BODY</c:v>
                </c:pt>
                <c:pt idx="9">
                  <c:v>BODY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FLOAT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'22'!$AD$6:$AD$22</c:f>
              <c:numCache>
                <c:formatCode>0%</c:formatCode>
                <c:ptCount val="17"/>
                <c:pt idx="0">
                  <c:v>0</c:v>
                </c:pt>
                <c:pt idx="1">
                  <c:v>0.99872068230277189</c:v>
                </c:pt>
                <c:pt idx="2">
                  <c:v>0.37389705882352942</c:v>
                </c:pt>
                <c:pt idx="3">
                  <c:v>0.58333333333333337</c:v>
                </c:pt>
                <c:pt idx="4">
                  <c:v>0.99947089947089951</c:v>
                </c:pt>
                <c:pt idx="5">
                  <c:v>0.99981617647058818</c:v>
                </c:pt>
                <c:pt idx="6">
                  <c:v>0.414906103286385</c:v>
                </c:pt>
                <c:pt idx="7">
                  <c:v>0.49863813229571985</c:v>
                </c:pt>
                <c:pt idx="8">
                  <c:v>0.83304794520547953</c:v>
                </c:pt>
                <c:pt idx="9">
                  <c:v>0.19689655172413792</c:v>
                </c:pt>
                <c:pt idx="10">
                  <c:v>0</c:v>
                </c:pt>
                <c:pt idx="11">
                  <c:v>0</c:v>
                </c:pt>
                <c:pt idx="12">
                  <c:v>0.58169590643274849</c:v>
                </c:pt>
                <c:pt idx="13">
                  <c:v>0.5</c:v>
                </c:pt>
                <c:pt idx="14">
                  <c:v>1</c:v>
                </c:pt>
                <c:pt idx="15">
                  <c:v>0.99918032786885247</c:v>
                </c:pt>
                <c:pt idx="16">
                  <c:v>0.70680180180180185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D-4345-A993-6883C47FE60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CD-4345-A993-6883C47FE60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STOPPER</c:v>
                </c:pt>
                <c:pt idx="4">
                  <c:v>SLIDER</c:v>
                </c:pt>
                <c:pt idx="5">
                  <c:v>4LEAD</c:v>
                </c:pt>
                <c:pt idx="6">
                  <c:v>260BASE</c:v>
                </c:pt>
                <c:pt idx="7">
                  <c:v>PLUNGER</c:v>
                </c:pt>
                <c:pt idx="8">
                  <c:v>BODY</c:v>
                </c:pt>
                <c:pt idx="9">
                  <c:v>BODY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FLOAT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'22'!$AE$6:$AE$22</c:f>
              <c:numCache>
                <c:formatCode>0%</c:formatCode>
                <c:ptCount val="17"/>
                <c:pt idx="0">
                  <c:v>0.64576032793441651</c:v>
                </c:pt>
                <c:pt idx="1">
                  <c:v>0.64576032793441651</c:v>
                </c:pt>
                <c:pt idx="2">
                  <c:v>0.64576032793441651</c:v>
                </c:pt>
                <c:pt idx="3">
                  <c:v>0.64576032793441651</c:v>
                </c:pt>
                <c:pt idx="4">
                  <c:v>0.64576032793441651</c:v>
                </c:pt>
                <c:pt idx="5">
                  <c:v>0.64576032793441651</c:v>
                </c:pt>
                <c:pt idx="6">
                  <c:v>0.64576032793441651</c:v>
                </c:pt>
                <c:pt idx="7">
                  <c:v>0.64576032793441651</c:v>
                </c:pt>
                <c:pt idx="8">
                  <c:v>0.64576032793441651</c:v>
                </c:pt>
                <c:pt idx="9">
                  <c:v>0.64576032793441651</c:v>
                </c:pt>
                <c:pt idx="10">
                  <c:v>0.64576032793441651</c:v>
                </c:pt>
                <c:pt idx="11">
                  <c:v>0.64576032793441651</c:v>
                </c:pt>
                <c:pt idx="12">
                  <c:v>0.64576032793441651</c:v>
                </c:pt>
                <c:pt idx="13">
                  <c:v>0.64576032793441651</c:v>
                </c:pt>
                <c:pt idx="14">
                  <c:v>0.64576032793441651</c:v>
                </c:pt>
                <c:pt idx="15">
                  <c:v>0.64576032793441651</c:v>
                </c:pt>
                <c:pt idx="16">
                  <c:v>0.64576032793441651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D-4345-A993-6883C47F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39712"/>
        <c:axId val="313534144"/>
      </c:lineChart>
      <c:catAx>
        <c:axId val="2363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13534144"/>
        <c:crosses val="autoZero"/>
        <c:auto val="1"/>
        <c:lblAlgn val="ctr"/>
        <c:lblOffset val="100"/>
        <c:noMultiLvlLbl val="0"/>
      </c:catAx>
      <c:valAx>
        <c:axId val="3135341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633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STOPPER</c:v>
                </c:pt>
                <c:pt idx="4">
                  <c:v>SLIDER</c:v>
                </c:pt>
                <c:pt idx="5">
                  <c:v>4LEAD</c:v>
                </c:pt>
                <c:pt idx="6">
                  <c:v>260BASE</c:v>
                </c:pt>
                <c:pt idx="7">
                  <c:v>PLUNGER</c:v>
                </c:pt>
                <c:pt idx="8">
                  <c:v>BODY</c:v>
                </c:pt>
                <c:pt idx="9">
                  <c:v>BODY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FLOAT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'22'!$L$6:$L$22</c:f>
              <c:numCache>
                <c:formatCode>_(* #,##0_);_(* \(#,##0\);_(* "-"_);_(@_)</c:formatCode>
                <c:ptCount val="17"/>
                <c:pt idx="1">
                  <c:v>4684</c:v>
                </c:pt>
                <c:pt idx="2">
                  <c:v>1017</c:v>
                </c:pt>
                <c:pt idx="3">
                  <c:v>2810</c:v>
                </c:pt>
                <c:pt idx="4">
                  <c:v>5667</c:v>
                </c:pt>
                <c:pt idx="5">
                  <c:v>5439</c:v>
                </c:pt>
                <c:pt idx="6">
                  <c:v>707</c:v>
                </c:pt>
                <c:pt idx="7">
                  <c:v>2563</c:v>
                </c:pt>
                <c:pt idx="8">
                  <c:v>2919</c:v>
                </c:pt>
                <c:pt idx="9">
                  <c:v>1142</c:v>
                </c:pt>
                <c:pt idx="12">
                  <c:v>2842</c:v>
                </c:pt>
                <c:pt idx="13">
                  <c:v>2110</c:v>
                </c:pt>
                <c:pt idx="14">
                  <c:v>5300</c:v>
                </c:pt>
                <c:pt idx="15">
                  <c:v>4876</c:v>
                </c:pt>
                <c:pt idx="16">
                  <c:v>33228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F-4FAE-B5AC-A3FEAEFCE356}"/>
            </c:ext>
          </c:extLst>
        </c:ser>
        <c:ser>
          <c:idx val="1"/>
          <c:order val="1"/>
          <c:tx>
            <c:v>계획</c:v>
          </c:tx>
          <c:cat>
            <c:strRef>
              <c:f>'22'!$D$6:$D$22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STOPPER</c:v>
                </c:pt>
                <c:pt idx="4">
                  <c:v>SLIDER</c:v>
                </c:pt>
                <c:pt idx="5">
                  <c:v>4LEAD</c:v>
                </c:pt>
                <c:pt idx="6">
                  <c:v>260BASE</c:v>
                </c:pt>
                <c:pt idx="7">
                  <c:v>PLUNGER</c:v>
                </c:pt>
                <c:pt idx="8">
                  <c:v>BODY</c:v>
                </c:pt>
                <c:pt idx="9">
                  <c:v>BODY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FLOAT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'22'!$J$6:$J$22</c:f>
              <c:numCache>
                <c:formatCode>_(* #,##0_);_(* \(#,##0\);_(* "-"_);_(@_)</c:formatCode>
                <c:ptCount val="17"/>
                <c:pt idx="0">
                  <c:v>1970</c:v>
                </c:pt>
                <c:pt idx="1">
                  <c:v>4690</c:v>
                </c:pt>
                <c:pt idx="2">
                  <c:v>1020</c:v>
                </c:pt>
                <c:pt idx="3">
                  <c:v>2810</c:v>
                </c:pt>
                <c:pt idx="4">
                  <c:v>5670</c:v>
                </c:pt>
                <c:pt idx="5">
                  <c:v>5440</c:v>
                </c:pt>
                <c:pt idx="6">
                  <c:v>710</c:v>
                </c:pt>
                <c:pt idx="7">
                  <c:v>2570</c:v>
                </c:pt>
                <c:pt idx="8">
                  <c:v>2920</c:v>
                </c:pt>
                <c:pt idx="9">
                  <c:v>1450</c:v>
                </c:pt>
                <c:pt idx="10">
                  <c:v>300</c:v>
                </c:pt>
                <c:pt idx="11">
                  <c:v>910</c:v>
                </c:pt>
                <c:pt idx="12">
                  <c:v>2850</c:v>
                </c:pt>
                <c:pt idx="13">
                  <c:v>2110</c:v>
                </c:pt>
                <c:pt idx="14">
                  <c:v>5300</c:v>
                </c:pt>
                <c:pt idx="15">
                  <c:v>4880</c:v>
                </c:pt>
                <c:pt idx="16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F-4FAE-B5AC-A3FEAEFC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40736"/>
        <c:axId val="313536448"/>
      </c:lineChart>
      <c:catAx>
        <c:axId val="2363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536448"/>
        <c:crosses val="autoZero"/>
        <c:auto val="1"/>
        <c:lblAlgn val="ctr"/>
        <c:lblOffset val="100"/>
        <c:noMultiLvlLbl val="0"/>
      </c:catAx>
      <c:valAx>
        <c:axId val="3135364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634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'22'!$AD$6:$AD$22</c:f>
              <c:strCache>
                <c:ptCount val="17"/>
                <c:pt idx="0">
                  <c:v>0%</c:v>
                </c:pt>
                <c:pt idx="1">
                  <c:v>100%</c:v>
                </c:pt>
                <c:pt idx="2">
                  <c:v>37%</c:v>
                </c:pt>
                <c:pt idx="3">
                  <c:v>58%</c:v>
                </c:pt>
                <c:pt idx="4">
                  <c:v>100%</c:v>
                </c:pt>
                <c:pt idx="5">
                  <c:v>100%</c:v>
                </c:pt>
                <c:pt idx="6">
                  <c:v>41%</c:v>
                </c:pt>
                <c:pt idx="7">
                  <c:v>50%</c:v>
                </c:pt>
                <c:pt idx="8">
                  <c:v>83%</c:v>
                </c:pt>
                <c:pt idx="9">
                  <c:v>20%</c:v>
                </c:pt>
                <c:pt idx="10">
                  <c:v>0%</c:v>
                </c:pt>
                <c:pt idx="11">
                  <c:v>0%</c:v>
                </c:pt>
                <c:pt idx="12">
                  <c:v>58%</c:v>
                </c:pt>
                <c:pt idx="13">
                  <c:v>50%</c:v>
                </c:pt>
                <c:pt idx="14">
                  <c:v>100%</c:v>
                </c:pt>
                <c:pt idx="15">
                  <c:v>100%</c:v>
                </c:pt>
                <c:pt idx="16">
                  <c:v>71%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STOPPER</c:v>
                </c:pt>
                <c:pt idx="4">
                  <c:v>SLIDER</c:v>
                </c:pt>
                <c:pt idx="5">
                  <c:v>4LEAD</c:v>
                </c:pt>
                <c:pt idx="6">
                  <c:v>260BASE</c:v>
                </c:pt>
                <c:pt idx="7">
                  <c:v>PLUNGER</c:v>
                </c:pt>
                <c:pt idx="8">
                  <c:v>BODY</c:v>
                </c:pt>
                <c:pt idx="9">
                  <c:v>BODY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FLOAT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'22'!$AD$6:$AD$22</c:f>
              <c:numCache>
                <c:formatCode>0%</c:formatCode>
                <c:ptCount val="17"/>
                <c:pt idx="0">
                  <c:v>0</c:v>
                </c:pt>
                <c:pt idx="1">
                  <c:v>0.99872068230277189</c:v>
                </c:pt>
                <c:pt idx="2">
                  <c:v>0.37389705882352942</c:v>
                </c:pt>
                <c:pt idx="3">
                  <c:v>0.58333333333333337</c:v>
                </c:pt>
                <c:pt idx="4">
                  <c:v>0.99947089947089951</c:v>
                </c:pt>
                <c:pt idx="5">
                  <c:v>0.99981617647058818</c:v>
                </c:pt>
                <c:pt idx="6">
                  <c:v>0.414906103286385</c:v>
                </c:pt>
                <c:pt idx="7">
                  <c:v>0.49863813229571985</c:v>
                </c:pt>
                <c:pt idx="8">
                  <c:v>0.83304794520547953</c:v>
                </c:pt>
                <c:pt idx="9">
                  <c:v>0.19689655172413792</c:v>
                </c:pt>
                <c:pt idx="10">
                  <c:v>0</c:v>
                </c:pt>
                <c:pt idx="11">
                  <c:v>0</c:v>
                </c:pt>
                <c:pt idx="12">
                  <c:v>0.58169590643274849</c:v>
                </c:pt>
                <c:pt idx="13">
                  <c:v>0.5</c:v>
                </c:pt>
                <c:pt idx="14">
                  <c:v>1</c:v>
                </c:pt>
                <c:pt idx="15">
                  <c:v>0.99918032786885247</c:v>
                </c:pt>
                <c:pt idx="16">
                  <c:v>0.70680180180180185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B-414C-AF6C-1CB1FEBAAF6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3B-414C-AF6C-1CB1FEBAAF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'22'!$D$6:$D$22</c:f>
              <c:strCache>
                <c:ptCount val="16"/>
                <c:pt idx="0">
                  <c:v>LOWER PLATE</c:v>
                </c:pt>
                <c:pt idx="1">
                  <c:v>COVER</c:v>
                </c:pt>
                <c:pt idx="2">
                  <c:v>BASE/BOTTOM</c:v>
                </c:pt>
                <c:pt idx="3">
                  <c:v>STOPPER</c:v>
                </c:pt>
                <c:pt idx="4">
                  <c:v>SLIDER</c:v>
                </c:pt>
                <c:pt idx="5">
                  <c:v>4LEAD</c:v>
                </c:pt>
                <c:pt idx="6">
                  <c:v>260BASE</c:v>
                </c:pt>
                <c:pt idx="7">
                  <c:v>PLUNGER</c:v>
                </c:pt>
                <c:pt idx="8">
                  <c:v>BODY</c:v>
                </c:pt>
                <c:pt idx="9">
                  <c:v>BODY</c:v>
                </c:pt>
                <c:pt idx="10">
                  <c:v>BASE</c:v>
                </c:pt>
                <c:pt idx="11">
                  <c:v>ADAPTER</c:v>
                </c:pt>
                <c:pt idx="12">
                  <c:v>BODY</c:v>
                </c:pt>
                <c:pt idx="13">
                  <c:v>FLOAT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'22'!$AE$6:$AE$22</c:f>
              <c:numCache>
                <c:formatCode>0%</c:formatCode>
                <c:ptCount val="17"/>
                <c:pt idx="0">
                  <c:v>0.64576032793441651</c:v>
                </c:pt>
                <c:pt idx="1">
                  <c:v>0.64576032793441651</c:v>
                </c:pt>
                <c:pt idx="2">
                  <c:v>0.64576032793441651</c:v>
                </c:pt>
                <c:pt idx="3">
                  <c:v>0.64576032793441651</c:v>
                </c:pt>
                <c:pt idx="4">
                  <c:v>0.64576032793441651</c:v>
                </c:pt>
                <c:pt idx="5">
                  <c:v>0.64576032793441651</c:v>
                </c:pt>
                <c:pt idx="6">
                  <c:v>0.64576032793441651</c:v>
                </c:pt>
                <c:pt idx="7">
                  <c:v>0.64576032793441651</c:v>
                </c:pt>
                <c:pt idx="8">
                  <c:v>0.64576032793441651</c:v>
                </c:pt>
                <c:pt idx="9">
                  <c:v>0.64576032793441651</c:v>
                </c:pt>
                <c:pt idx="10">
                  <c:v>0.64576032793441651</c:v>
                </c:pt>
                <c:pt idx="11">
                  <c:v>0.64576032793441651</c:v>
                </c:pt>
                <c:pt idx="12">
                  <c:v>0.64576032793441651</c:v>
                </c:pt>
                <c:pt idx="13">
                  <c:v>0.64576032793441651</c:v>
                </c:pt>
                <c:pt idx="14">
                  <c:v>0.64576032793441651</c:v>
                </c:pt>
                <c:pt idx="15">
                  <c:v>0.64576032793441651</c:v>
                </c:pt>
                <c:pt idx="16">
                  <c:v>0.64576032793441651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B-414C-AF6C-1CB1FEBA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41248"/>
        <c:axId val="313538176"/>
      </c:lineChart>
      <c:catAx>
        <c:axId val="23634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13538176"/>
        <c:crosses val="autoZero"/>
        <c:auto val="1"/>
        <c:lblAlgn val="ctr"/>
        <c:lblOffset val="100"/>
        <c:noMultiLvlLbl val="0"/>
      </c:catAx>
      <c:valAx>
        <c:axId val="3135381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634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FF2-4E1F-974C-5749CEDFC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2-4E1F-974C-5749CEDF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40224"/>
        <c:axId val="313843712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F2-4E1F-974C-5749CEDFC2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2-4E1F-974C-5749CEDF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40224"/>
        <c:axId val="313843712"/>
      </c:lineChart>
      <c:catAx>
        <c:axId val="23634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843712"/>
        <c:crosses val="autoZero"/>
        <c:auto val="1"/>
        <c:lblAlgn val="ctr"/>
        <c:lblOffset val="100"/>
        <c:noMultiLvlLbl val="0"/>
      </c:catAx>
      <c:valAx>
        <c:axId val="3138437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34022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BASE/UNDER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1">
                  <c:v>3840</c:v>
                </c:pt>
                <c:pt idx="2">
                  <c:v>4005</c:v>
                </c:pt>
                <c:pt idx="3">
                  <c:v>4656</c:v>
                </c:pt>
                <c:pt idx="5">
                  <c:v>1124</c:v>
                </c:pt>
                <c:pt idx="6">
                  <c:v>4095</c:v>
                </c:pt>
                <c:pt idx="7">
                  <c:v>3423</c:v>
                </c:pt>
                <c:pt idx="10">
                  <c:v>1804</c:v>
                </c:pt>
                <c:pt idx="12">
                  <c:v>5221</c:v>
                </c:pt>
                <c:pt idx="13">
                  <c:v>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8-4696-8033-31263C4E2E97}"/>
            </c:ext>
          </c:extLst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BASE/UNDER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3840</c:v>
                </c:pt>
                <c:pt idx="2">
                  <c:v>4010</c:v>
                </c:pt>
                <c:pt idx="3">
                  <c:v>4660</c:v>
                </c:pt>
                <c:pt idx="4">
                  <c:v>5440</c:v>
                </c:pt>
                <c:pt idx="5">
                  <c:v>1130</c:v>
                </c:pt>
                <c:pt idx="6">
                  <c:v>4100</c:v>
                </c:pt>
                <c:pt idx="7">
                  <c:v>3430</c:v>
                </c:pt>
                <c:pt idx="8">
                  <c:v>300</c:v>
                </c:pt>
                <c:pt idx="9">
                  <c:v>910</c:v>
                </c:pt>
                <c:pt idx="10">
                  <c:v>1810</c:v>
                </c:pt>
                <c:pt idx="11">
                  <c:v>2110</c:v>
                </c:pt>
                <c:pt idx="12">
                  <c:v>5300</c:v>
                </c:pt>
                <c:pt idx="13">
                  <c:v>4450</c:v>
                </c:pt>
                <c:pt idx="14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8-4696-8033-31263C4E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93344"/>
        <c:axId val="313846592"/>
      </c:lineChart>
      <c:catAx>
        <c:axId val="2367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846592"/>
        <c:crosses val="autoZero"/>
        <c:auto val="1"/>
        <c:lblAlgn val="ctr"/>
        <c:lblOffset val="100"/>
        <c:noMultiLvlLbl val="0"/>
      </c:catAx>
      <c:valAx>
        <c:axId val="3138465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679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5"/>
                <c:pt idx="0">
                  <c:v>0%</c:v>
                </c:pt>
                <c:pt idx="1">
                  <c:v>92%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25%</c:v>
                </c:pt>
                <c:pt idx="6">
                  <c:v>87%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58%</c:v>
                </c:pt>
                <c:pt idx="11">
                  <c:v>0%</c:v>
                </c:pt>
                <c:pt idx="12">
                  <c:v>99%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BASE/UNDER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</c:v>
                </c:pt>
                <c:pt idx="1">
                  <c:v>0.91666666666666663</c:v>
                </c:pt>
                <c:pt idx="2">
                  <c:v>0.99875311720698257</c:v>
                </c:pt>
                <c:pt idx="3">
                  <c:v>0.9991416309012876</c:v>
                </c:pt>
                <c:pt idx="4">
                  <c:v>0</c:v>
                </c:pt>
                <c:pt idx="5">
                  <c:v>0.24867256637168142</c:v>
                </c:pt>
                <c:pt idx="6">
                  <c:v>0.87393292682926826</c:v>
                </c:pt>
                <c:pt idx="7">
                  <c:v>0.79005102040816322</c:v>
                </c:pt>
                <c:pt idx="8">
                  <c:v>0</c:v>
                </c:pt>
                <c:pt idx="9">
                  <c:v>0</c:v>
                </c:pt>
                <c:pt idx="10">
                  <c:v>0.58139963167587483</c:v>
                </c:pt>
                <c:pt idx="11">
                  <c:v>0</c:v>
                </c:pt>
                <c:pt idx="12">
                  <c:v>0.98509433962264148</c:v>
                </c:pt>
                <c:pt idx="13">
                  <c:v>0.99820224719101125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2-46F7-9A80-2A7F27E7BB5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E2-46F7-9A80-2A7F27E7BB5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BASE/UNDER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0.49279427645823842</c:v>
                </c:pt>
                <c:pt idx="1">
                  <c:v>0.49279427645823842</c:v>
                </c:pt>
                <c:pt idx="2">
                  <c:v>0.49279427645823842</c:v>
                </c:pt>
                <c:pt idx="3">
                  <c:v>0.49279427645823842</c:v>
                </c:pt>
                <c:pt idx="4">
                  <c:v>0.49279427645823842</c:v>
                </c:pt>
                <c:pt idx="5">
                  <c:v>0.49279427645823842</c:v>
                </c:pt>
                <c:pt idx="6">
                  <c:v>0.49279427645823842</c:v>
                </c:pt>
                <c:pt idx="7">
                  <c:v>0.49279427645823842</c:v>
                </c:pt>
                <c:pt idx="8">
                  <c:v>0.49279427645823842</c:v>
                </c:pt>
                <c:pt idx="9">
                  <c:v>0.49279427645823842</c:v>
                </c:pt>
                <c:pt idx="10">
                  <c:v>0.49279427645823842</c:v>
                </c:pt>
                <c:pt idx="11">
                  <c:v>0.49279427645823842</c:v>
                </c:pt>
                <c:pt idx="12">
                  <c:v>0.49279427645823842</c:v>
                </c:pt>
                <c:pt idx="13">
                  <c:v>0.49279427645823842</c:v>
                </c:pt>
                <c:pt idx="14">
                  <c:v>0.49279427645823842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2-46F7-9A80-2A7F27E7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95392"/>
        <c:axId val="313848320"/>
      </c:lineChart>
      <c:catAx>
        <c:axId val="2367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13848320"/>
        <c:crosses val="autoZero"/>
        <c:auto val="1"/>
        <c:lblAlgn val="ctr"/>
        <c:lblOffset val="100"/>
        <c:noMultiLvlLbl val="0"/>
      </c:catAx>
      <c:valAx>
        <c:axId val="3138483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679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5"/>
                <c:pt idx="0">
                  <c:v>0%</c:v>
                </c:pt>
                <c:pt idx="1">
                  <c:v>88%</c:v>
                </c:pt>
                <c:pt idx="2">
                  <c:v>0%</c:v>
                </c:pt>
                <c:pt idx="3">
                  <c:v>100%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0%</c:v>
                </c:pt>
                <c:pt idx="12">
                  <c:v>37%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0.875</c:v>
                </c:pt>
                <c:pt idx="2">
                  <c:v>0</c:v>
                </c:pt>
                <c:pt idx="3">
                  <c:v>0.99980544747081712</c:v>
                </c:pt>
                <c:pt idx="4">
                  <c:v>0</c:v>
                </c:pt>
                <c:pt idx="5">
                  <c:v>0.9986666666666667</c:v>
                </c:pt>
                <c:pt idx="6">
                  <c:v>0.99784688995215309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0.99919839679358713</c:v>
                </c:pt>
                <c:pt idx="11">
                  <c:v>0</c:v>
                </c:pt>
                <c:pt idx="12">
                  <c:v>0.37376644736842107</c:v>
                </c:pt>
                <c:pt idx="13">
                  <c:v>0.99869848156182217</c:v>
                </c:pt>
                <c:pt idx="14">
                  <c:v>0.99992187499999996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6-4A54-B730-F3BF923F0EE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46-4A54-B730-F3BF923F0E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ACTUATOR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0.48286028032089784</c:v>
                </c:pt>
                <c:pt idx="1">
                  <c:v>0.48286028032089784</c:v>
                </c:pt>
                <c:pt idx="2">
                  <c:v>0.48286028032089784</c:v>
                </c:pt>
                <c:pt idx="3">
                  <c:v>0.48286028032089784</c:v>
                </c:pt>
                <c:pt idx="4">
                  <c:v>0.48286028032089784</c:v>
                </c:pt>
                <c:pt idx="5">
                  <c:v>0.48286028032089784</c:v>
                </c:pt>
                <c:pt idx="6">
                  <c:v>0.48286028032089784</c:v>
                </c:pt>
                <c:pt idx="7">
                  <c:v>0.48286028032089784</c:v>
                </c:pt>
                <c:pt idx="8">
                  <c:v>0.48286028032089784</c:v>
                </c:pt>
                <c:pt idx="9">
                  <c:v>0.48286028032089784</c:v>
                </c:pt>
                <c:pt idx="10">
                  <c:v>0.48286028032089784</c:v>
                </c:pt>
                <c:pt idx="11">
                  <c:v>0.48286028032089784</c:v>
                </c:pt>
                <c:pt idx="12">
                  <c:v>0.48286028032089784</c:v>
                </c:pt>
                <c:pt idx="13">
                  <c:v>0.48286028032089784</c:v>
                </c:pt>
                <c:pt idx="14">
                  <c:v>0.48286028032089784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6-4A54-B730-F3BF923F0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033792"/>
        <c:axId val="256949568"/>
      </c:lineChart>
      <c:catAx>
        <c:axId val="2720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56949568"/>
        <c:crosses val="autoZero"/>
        <c:auto val="1"/>
        <c:lblAlgn val="ctr"/>
        <c:lblOffset val="100"/>
        <c:noMultiLvlLbl val="0"/>
      </c:catAx>
      <c:valAx>
        <c:axId val="2569495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7203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BASE/UNDER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1">
                  <c:v>3840</c:v>
                </c:pt>
                <c:pt idx="2">
                  <c:v>4005</c:v>
                </c:pt>
                <c:pt idx="3">
                  <c:v>4656</c:v>
                </c:pt>
                <c:pt idx="5">
                  <c:v>1124</c:v>
                </c:pt>
                <c:pt idx="6">
                  <c:v>4095</c:v>
                </c:pt>
                <c:pt idx="7">
                  <c:v>3423</c:v>
                </c:pt>
                <c:pt idx="10">
                  <c:v>1804</c:v>
                </c:pt>
                <c:pt idx="12">
                  <c:v>5221</c:v>
                </c:pt>
                <c:pt idx="13">
                  <c:v>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A-424F-A0D8-B33D754BDE8E}"/>
            </c:ext>
          </c:extLst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BASE/UNDER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3840</c:v>
                </c:pt>
                <c:pt idx="2">
                  <c:v>4010</c:v>
                </c:pt>
                <c:pt idx="3">
                  <c:v>4660</c:v>
                </c:pt>
                <c:pt idx="4">
                  <c:v>5440</c:v>
                </c:pt>
                <c:pt idx="5">
                  <c:v>1130</c:v>
                </c:pt>
                <c:pt idx="6">
                  <c:v>4100</c:v>
                </c:pt>
                <c:pt idx="7">
                  <c:v>3430</c:v>
                </c:pt>
                <c:pt idx="8">
                  <c:v>300</c:v>
                </c:pt>
                <c:pt idx="9">
                  <c:v>910</c:v>
                </c:pt>
                <c:pt idx="10">
                  <c:v>1810</c:v>
                </c:pt>
                <c:pt idx="11">
                  <c:v>2110</c:v>
                </c:pt>
                <c:pt idx="12">
                  <c:v>5300</c:v>
                </c:pt>
                <c:pt idx="13">
                  <c:v>4450</c:v>
                </c:pt>
                <c:pt idx="14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A-424F-A0D8-B33D754B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95904"/>
        <c:axId val="313850624"/>
      </c:lineChart>
      <c:catAx>
        <c:axId val="2367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850624"/>
        <c:crosses val="autoZero"/>
        <c:auto val="1"/>
        <c:lblAlgn val="ctr"/>
        <c:lblOffset val="100"/>
        <c:noMultiLvlLbl val="0"/>
      </c:catAx>
      <c:valAx>
        <c:axId val="3138506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679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5"/>
                <c:pt idx="0">
                  <c:v>0%</c:v>
                </c:pt>
                <c:pt idx="1">
                  <c:v>92%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25%</c:v>
                </c:pt>
                <c:pt idx="6">
                  <c:v>87%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58%</c:v>
                </c:pt>
                <c:pt idx="11">
                  <c:v>0%</c:v>
                </c:pt>
                <c:pt idx="12">
                  <c:v>99%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BASE/UNDER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</c:v>
                </c:pt>
                <c:pt idx="1">
                  <c:v>0.91666666666666663</c:v>
                </c:pt>
                <c:pt idx="2">
                  <c:v>0.99875311720698257</c:v>
                </c:pt>
                <c:pt idx="3">
                  <c:v>0.9991416309012876</c:v>
                </c:pt>
                <c:pt idx="4">
                  <c:v>0</c:v>
                </c:pt>
                <c:pt idx="5">
                  <c:v>0.24867256637168142</c:v>
                </c:pt>
                <c:pt idx="6">
                  <c:v>0.87393292682926826</c:v>
                </c:pt>
                <c:pt idx="7">
                  <c:v>0.79005102040816322</c:v>
                </c:pt>
                <c:pt idx="8">
                  <c:v>0</c:v>
                </c:pt>
                <c:pt idx="9">
                  <c:v>0</c:v>
                </c:pt>
                <c:pt idx="10">
                  <c:v>0.58139963167587483</c:v>
                </c:pt>
                <c:pt idx="11">
                  <c:v>0</c:v>
                </c:pt>
                <c:pt idx="12">
                  <c:v>0.98509433962264148</c:v>
                </c:pt>
                <c:pt idx="13">
                  <c:v>0.99820224719101125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C-47F7-81A2-531B93D47FC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BC-47F7-81A2-531B93D47F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BASE/UNDER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0.49279427645823842</c:v>
                </c:pt>
                <c:pt idx="1">
                  <c:v>0.49279427645823842</c:v>
                </c:pt>
                <c:pt idx="2">
                  <c:v>0.49279427645823842</c:v>
                </c:pt>
                <c:pt idx="3">
                  <c:v>0.49279427645823842</c:v>
                </c:pt>
                <c:pt idx="4">
                  <c:v>0.49279427645823842</c:v>
                </c:pt>
                <c:pt idx="5">
                  <c:v>0.49279427645823842</c:v>
                </c:pt>
                <c:pt idx="6">
                  <c:v>0.49279427645823842</c:v>
                </c:pt>
                <c:pt idx="7">
                  <c:v>0.49279427645823842</c:v>
                </c:pt>
                <c:pt idx="8">
                  <c:v>0.49279427645823842</c:v>
                </c:pt>
                <c:pt idx="9">
                  <c:v>0.49279427645823842</c:v>
                </c:pt>
                <c:pt idx="10">
                  <c:v>0.49279427645823842</c:v>
                </c:pt>
                <c:pt idx="11">
                  <c:v>0.49279427645823842</c:v>
                </c:pt>
                <c:pt idx="12">
                  <c:v>0.49279427645823842</c:v>
                </c:pt>
                <c:pt idx="13">
                  <c:v>0.49279427645823842</c:v>
                </c:pt>
                <c:pt idx="14">
                  <c:v>0.49279427645823842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C-47F7-81A2-531B93D4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97440"/>
        <c:axId val="329433664"/>
      </c:lineChart>
      <c:catAx>
        <c:axId val="23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29433664"/>
        <c:crosses val="autoZero"/>
        <c:auto val="1"/>
        <c:lblAlgn val="ctr"/>
        <c:lblOffset val="100"/>
        <c:noMultiLvlLbl val="0"/>
      </c:catAx>
      <c:valAx>
        <c:axId val="3294336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679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736-4A69-BC7E-4D97428D7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6-4A69-BC7E-4D97428D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297664"/>
        <c:axId val="32943596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36-4A69-BC7E-4D97428D7E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6-4A69-BC7E-4D97428D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97664"/>
        <c:axId val="329435968"/>
      </c:lineChart>
      <c:catAx>
        <c:axId val="23729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435968"/>
        <c:crosses val="autoZero"/>
        <c:auto val="1"/>
        <c:lblAlgn val="ctr"/>
        <c:lblOffset val="100"/>
        <c:noMultiLvlLbl val="0"/>
      </c:catAx>
      <c:valAx>
        <c:axId val="329435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29766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PLUNGER 2/PUSHER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'24'!$L$6:$L$20</c:f>
              <c:numCache>
                <c:formatCode>_(* #,##0_);_(* \(#,##0\);_(* "-"_);_(@_)</c:formatCode>
                <c:ptCount val="15"/>
                <c:pt idx="1">
                  <c:v>2574</c:v>
                </c:pt>
                <c:pt idx="3">
                  <c:v>5005</c:v>
                </c:pt>
                <c:pt idx="6">
                  <c:v>4963</c:v>
                </c:pt>
                <c:pt idx="7">
                  <c:v>1191</c:v>
                </c:pt>
                <c:pt idx="10">
                  <c:v>2050</c:v>
                </c:pt>
                <c:pt idx="13">
                  <c:v>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B-4BB6-AEA8-1CCC0D06BB23}"/>
            </c:ext>
          </c:extLst>
        </c:ser>
        <c:ser>
          <c:idx val="1"/>
          <c:order val="1"/>
          <c:tx>
            <c:v>계획</c:v>
          </c:tx>
          <c:cat>
            <c:strRef>
              <c:f>'24'!$D$6:$D$20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PLUNGER 2/PUSHER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'24'!$J$6:$J$20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2580</c:v>
                </c:pt>
                <c:pt idx="2">
                  <c:v>4010</c:v>
                </c:pt>
                <c:pt idx="3">
                  <c:v>5010</c:v>
                </c:pt>
                <c:pt idx="4">
                  <c:v>5440</c:v>
                </c:pt>
                <c:pt idx="5">
                  <c:v>1130</c:v>
                </c:pt>
                <c:pt idx="6">
                  <c:v>4970</c:v>
                </c:pt>
                <c:pt idx="7">
                  <c:v>1191</c:v>
                </c:pt>
                <c:pt idx="8">
                  <c:v>300</c:v>
                </c:pt>
                <c:pt idx="9">
                  <c:v>910</c:v>
                </c:pt>
                <c:pt idx="10">
                  <c:v>2050</c:v>
                </c:pt>
                <c:pt idx="11">
                  <c:v>2110</c:v>
                </c:pt>
                <c:pt idx="12">
                  <c:v>5300</c:v>
                </c:pt>
                <c:pt idx="13">
                  <c:v>4910</c:v>
                </c:pt>
                <c:pt idx="14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B-4BB6-AEA8-1CCC0D06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62720"/>
        <c:axId val="329438848"/>
      </c:lineChart>
      <c:catAx>
        <c:axId val="2376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9438848"/>
        <c:crosses val="autoZero"/>
        <c:auto val="1"/>
        <c:lblAlgn val="ctr"/>
        <c:lblOffset val="100"/>
        <c:noMultiLvlLbl val="0"/>
      </c:catAx>
      <c:valAx>
        <c:axId val="3294388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7662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'24'!$AD$6:$AD$20</c:f>
              <c:strCache>
                <c:ptCount val="15"/>
                <c:pt idx="0">
                  <c:v>0%</c:v>
                </c:pt>
                <c:pt idx="1">
                  <c:v>67%</c:v>
                </c:pt>
                <c:pt idx="2">
                  <c:v>0%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38%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PLUNGER 2/PUSHER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'24'!$AD$6:$AD$20</c:f>
              <c:numCache>
                <c:formatCode>0%</c:formatCode>
                <c:ptCount val="15"/>
                <c:pt idx="0">
                  <c:v>0</c:v>
                </c:pt>
                <c:pt idx="1">
                  <c:v>0.66511627906976734</c:v>
                </c:pt>
                <c:pt idx="2">
                  <c:v>0</c:v>
                </c:pt>
                <c:pt idx="3">
                  <c:v>0.99900199600798401</c:v>
                </c:pt>
                <c:pt idx="4">
                  <c:v>0</c:v>
                </c:pt>
                <c:pt idx="5">
                  <c:v>0</c:v>
                </c:pt>
                <c:pt idx="6">
                  <c:v>0.99859154929577465</c:v>
                </c:pt>
                <c:pt idx="7">
                  <c:v>0.375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</c:v>
                </c:pt>
                <c:pt idx="12">
                  <c:v>0</c:v>
                </c:pt>
                <c:pt idx="13">
                  <c:v>0.99938900203665992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D-45CC-9BCD-16F907C1147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FD-45CC-9BCD-16F907C114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PLUNGER 2/PUSHER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'24'!$AE$6:$AE$20</c:f>
              <c:numCache>
                <c:formatCode>0%</c:formatCode>
                <c:ptCount val="15"/>
                <c:pt idx="0">
                  <c:v>0.29691769953845687</c:v>
                </c:pt>
                <c:pt idx="1">
                  <c:v>0.29691769953845687</c:v>
                </c:pt>
                <c:pt idx="2">
                  <c:v>0.29691769953845687</c:v>
                </c:pt>
                <c:pt idx="3">
                  <c:v>0.29691769953845687</c:v>
                </c:pt>
                <c:pt idx="4">
                  <c:v>0.29691769953845687</c:v>
                </c:pt>
                <c:pt idx="5">
                  <c:v>0.29691769953845687</c:v>
                </c:pt>
                <c:pt idx="6">
                  <c:v>0.29691769953845687</c:v>
                </c:pt>
                <c:pt idx="7">
                  <c:v>0.29691769953845687</c:v>
                </c:pt>
                <c:pt idx="8">
                  <c:v>0.29691769953845687</c:v>
                </c:pt>
                <c:pt idx="9">
                  <c:v>0.29691769953845687</c:v>
                </c:pt>
                <c:pt idx="10">
                  <c:v>0.29691769953845687</c:v>
                </c:pt>
                <c:pt idx="11">
                  <c:v>0.29691769953845687</c:v>
                </c:pt>
                <c:pt idx="12">
                  <c:v>0.29691769953845687</c:v>
                </c:pt>
                <c:pt idx="13">
                  <c:v>0.29691769953845687</c:v>
                </c:pt>
                <c:pt idx="14">
                  <c:v>0.29691769953845687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D-45CC-9BCD-16F907C1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63744"/>
        <c:axId val="329440576"/>
      </c:lineChart>
      <c:catAx>
        <c:axId val="2376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29440576"/>
        <c:crosses val="autoZero"/>
        <c:auto val="1"/>
        <c:lblAlgn val="ctr"/>
        <c:lblOffset val="100"/>
        <c:noMultiLvlLbl val="0"/>
      </c:catAx>
      <c:valAx>
        <c:axId val="3294405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766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PLUNGER 2/PUSHER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'24'!$L$6:$L$20</c:f>
              <c:numCache>
                <c:formatCode>_(* #,##0_);_(* \(#,##0\);_(* "-"_);_(@_)</c:formatCode>
                <c:ptCount val="15"/>
                <c:pt idx="1">
                  <c:v>2574</c:v>
                </c:pt>
                <c:pt idx="3">
                  <c:v>5005</c:v>
                </c:pt>
                <c:pt idx="6">
                  <c:v>4963</c:v>
                </c:pt>
                <c:pt idx="7">
                  <c:v>1191</c:v>
                </c:pt>
                <c:pt idx="10">
                  <c:v>2050</c:v>
                </c:pt>
                <c:pt idx="13">
                  <c:v>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E-4719-A93B-68D7AB5FBB3B}"/>
            </c:ext>
          </c:extLst>
        </c:ser>
        <c:ser>
          <c:idx val="1"/>
          <c:order val="1"/>
          <c:tx>
            <c:v>계획</c:v>
          </c:tx>
          <c:cat>
            <c:strRef>
              <c:f>'24'!$D$6:$D$20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PLUNGER 2/PUSHER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'24'!$J$6:$J$20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2580</c:v>
                </c:pt>
                <c:pt idx="2">
                  <c:v>4010</c:v>
                </c:pt>
                <c:pt idx="3">
                  <c:v>5010</c:v>
                </c:pt>
                <c:pt idx="4">
                  <c:v>5440</c:v>
                </c:pt>
                <c:pt idx="5">
                  <c:v>1130</c:v>
                </c:pt>
                <c:pt idx="6">
                  <c:v>4970</c:v>
                </c:pt>
                <c:pt idx="7">
                  <c:v>1191</c:v>
                </c:pt>
                <c:pt idx="8">
                  <c:v>300</c:v>
                </c:pt>
                <c:pt idx="9">
                  <c:v>910</c:v>
                </c:pt>
                <c:pt idx="10">
                  <c:v>2050</c:v>
                </c:pt>
                <c:pt idx="11">
                  <c:v>2110</c:v>
                </c:pt>
                <c:pt idx="12">
                  <c:v>5300</c:v>
                </c:pt>
                <c:pt idx="13">
                  <c:v>4910</c:v>
                </c:pt>
                <c:pt idx="14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E-4719-A93B-68D7AB5F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64256"/>
        <c:axId val="289793728"/>
      </c:lineChart>
      <c:catAx>
        <c:axId val="2376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9793728"/>
        <c:crosses val="autoZero"/>
        <c:auto val="1"/>
        <c:lblAlgn val="ctr"/>
        <c:lblOffset val="100"/>
        <c:noMultiLvlLbl val="0"/>
      </c:catAx>
      <c:valAx>
        <c:axId val="2897937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7664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'24'!$AD$6:$AD$20</c:f>
              <c:strCache>
                <c:ptCount val="15"/>
                <c:pt idx="0">
                  <c:v>0%</c:v>
                </c:pt>
                <c:pt idx="1">
                  <c:v>67%</c:v>
                </c:pt>
                <c:pt idx="2">
                  <c:v>0%</c:v>
                </c:pt>
                <c:pt idx="3">
                  <c:v>100%</c:v>
                </c:pt>
                <c:pt idx="4">
                  <c:v>0%</c:v>
                </c:pt>
                <c:pt idx="5">
                  <c:v>0%</c:v>
                </c:pt>
                <c:pt idx="6">
                  <c:v>100%</c:v>
                </c:pt>
                <c:pt idx="7">
                  <c:v>38%</c:v>
                </c:pt>
                <c:pt idx="8">
                  <c:v>0%</c:v>
                </c:pt>
                <c:pt idx="9">
                  <c:v>0%</c:v>
                </c:pt>
                <c:pt idx="10">
                  <c:v>42%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PLUNGER 2/PUSHER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'24'!$AD$6:$AD$20</c:f>
              <c:numCache>
                <c:formatCode>0%</c:formatCode>
                <c:ptCount val="15"/>
                <c:pt idx="0">
                  <c:v>0</c:v>
                </c:pt>
                <c:pt idx="1">
                  <c:v>0.66511627906976734</c:v>
                </c:pt>
                <c:pt idx="2">
                  <c:v>0</c:v>
                </c:pt>
                <c:pt idx="3">
                  <c:v>0.99900199600798401</c:v>
                </c:pt>
                <c:pt idx="4">
                  <c:v>0</c:v>
                </c:pt>
                <c:pt idx="5">
                  <c:v>0</c:v>
                </c:pt>
                <c:pt idx="6">
                  <c:v>0.99859154929577465</c:v>
                </c:pt>
                <c:pt idx="7">
                  <c:v>0.375</c:v>
                </c:pt>
                <c:pt idx="8">
                  <c:v>0</c:v>
                </c:pt>
                <c:pt idx="9">
                  <c:v>0</c:v>
                </c:pt>
                <c:pt idx="10">
                  <c:v>0.41666666666666669</c:v>
                </c:pt>
                <c:pt idx="11">
                  <c:v>0</c:v>
                </c:pt>
                <c:pt idx="12">
                  <c:v>0</c:v>
                </c:pt>
                <c:pt idx="13">
                  <c:v>0.99938900203665992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E-4D28-81D8-3C510CFE4EB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3E-4D28-81D8-3C510CFE4E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BODY/LID</c:v>
                </c:pt>
                <c:pt idx="6">
                  <c:v>BODY</c:v>
                </c:pt>
                <c:pt idx="7">
                  <c:v>BODY/LID</c:v>
                </c:pt>
                <c:pt idx="8">
                  <c:v>BASE</c:v>
                </c:pt>
                <c:pt idx="9">
                  <c:v>ADAPTER</c:v>
                </c:pt>
                <c:pt idx="10">
                  <c:v>PLUNGER 2/PUSHER</c:v>
                </c:pt>
                <c:pt idx="11">
                  <c:v>FLOAT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'24'!$AE$6:$AE$20</c:f>
              <c:numCache>
                <c:formatCode>0%</c:formatCode>
                <c:ptCount val="15"/>
                <c:pt idx="0">
                  <c:v>0.29691769953845687</c:v>
                </c:pt>
                <c:pt idx="1">
                  <c:v>0.29691769953845687</c:v>
                </c:pt>
                <c:pt idx="2">
                  <c:v>0.29691769953845687</c:v>
                </c:pt>
                <c:pt idx="3">
                  <c:v>0.29691769953845687</c:v>
                </c:pt>
                <c:pt idx="4">
                  <c:v>0.29691769953845687</c:v>
                </c:pt>
                <c:pt idx="5">
                  <c:v>0.29691769953845687</c:v>
                </c:pt>
                <c:pt idx="6">
                  <c:v>0.29691769953845687</c:v>
                </c:pt>
                <c:pt idx="7">
                  <c:v>0.29691769953845687</c:v>
                </c:pt>
                <c:pt idx="8">
                  <c:v>0.29691769953845687</c:v>
                </c:pt>
                <c:pt idx="9">
                  <c:v>0.29691769953845687</c:v>
                </c:pt>
                <c:pt idx="10">
                  <c:v>0.29691769953845687</c:v>
                </c:pt>
                <c:pt idx="11">
                  <c:v>0.29691769953845687</c:v>
                </c:pt>
                <c:pt idx="12">
                  <c:v>0.29691769953845687</c:v>
                </c:pt>
                <c:pt idx="13">
                  <c:v>0.29691769953845687</c:v>
                </c:pt>
                <c:pt idx="14">
                  <c:v>0.29691769953845687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E-4D28-81D8-3C510CFE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65792"/>
        <c:axId val="289795456"/>
      </c:lineChart>
      <c:catAx>
        <c:axId val="2376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289795456"/>
        <c:crosses val="autoZero"/>
        <c:auto val="1"/>
        <c:lblAlgn val="ctr"/>
        <c:lblOffset val="100"/>
        <c:noMultiLvlLbl val="0"/>
      </c:catAx>
      <c:valAx>
        <c:axId val="2897954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766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B89-4056-952A-703B1DBE54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0.4996384946665961</c:v>
                </c:pt>
                <c:pt idx="3">
                  <c:v>0.48286028032089784</c:v>
                </c:pt>
                <c:pt idx="4">
                  <c:v>0.44964149023012173</c:v>
                </c:pt>
                <c:pt idx="5">
                  <c:v>0.52431266056171799</c:v>
                </c:pt>
                <c:pt idx="6">
                  <c:v>0.59933300014853308</c:v>
                </c:pt>
                <c:pt idx="7">
                  <c:v>0.1275272405952719</c:v>
                </c:pt>
                <c:pt idx="10">
                  <c:v>0.43026079856354849</c:v>
                </c:pt>
                <c:pt idx="11">
                  <c:v>0.40522929135047792</c:v>
                </c:pt>
                <c:pt idx="12">
                  <c:v>0.48423301126952184</c:v>
                </c:pt>
                <c:pt idx="13">
                  <c:v>0.45479572399655638</c:v>
                </c:pt>
                <c:pt idx="14">
                  <c:v>0.46600682311108238</c:v>
                </c:pt>
                <c:pt idx="15">
                  <c:v>0.50975459785195865</c:v>
                </c:pt>
                <c:pt idx="17">
                  <c:v>0.56344125125260525</c:v>
                </c:pt>
                <c:pt idx="18">
                  <c:v>0.58556427613144713</c:v>
                </c:pt>
                <c:pt idx="19">
                  <c:v>0.55500358959791662</c:v>
                </c:pt>
                <c:pt idx="20">
                  <c:v>0.53117083733139259</c:v>
                </c:pt>
                <c:pt idx="21">
                  <c:v>0.64576032793441651</c:v>
                </c:pt>
                <c:pt idx="22">
                  <c:v>0.49279427645823842</c:v>
                </c:pt>
                <c:pt idx="23">
                  <c:v>0.29691769953845687</c:v>
                </c:pt>
                <c:pt idx="24">
                  <c:v>0.54671921433015469</c:v>
                </c:pt>
                <c:pt idx="25">
                  <c:v>0.46899656788204525</c:v>
                </c:pt>
                <c:pt idx="26">
                  <c:v>0.47171085092290393</c:v>
                </c:pt>
                <c:pt idx="27">
                  <c:v>0.57994977941653736</c:v>
                </c:pt>
                <c:pt idx="28">
                  <c:v>0.60200606017580316</c:v>
                </c:pt>
                <c:pt idx="29">
                  <c:v>0.55217538422411605</c:v>
                </c:pt>
                <c:pt idx="31">
                  <c:v>0.41086011759541058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9-4056-952A-703B1DBE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97088"/>
        <c:axId val="28979776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89-4056-952A-703B1DBE54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9-4056-952A-703B1DBE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97088"/>
        <c:axId val="289797760"/>
      </c:lineChart>
      <c:catAx>
        <c:axId val="23829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9797760"/>
        <c:crosses val="autoZero"/>
        <c:auto val="1"/>
        <c:lblAlgn val="ctr"/>
        <c:lblOffset val="100"/>
        <c:noMultiLvlLbl val="0"/>
      </c:catAx>
      <c:valAx>
        <c:axId val="289797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829708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BASE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TOP/BOTTOM</c:v>
                </c:pt>
                <c:pt idx="11">
                  <c:v>SLIDER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3">
                  <c:v>3240</c:v>
                </c:pt>
                <c:pt idx="5">
                  <c:v>6280</c:v>
                </c:pt>
                <c:pt idx="6">
                  <c:v>4957</c:v>
                </c:pt>
                <c:pt idx="7">
                  <c:v>772</c:v>
                </c:pt>
                <c:pt idx="10">
                  <c:v>2123</c:v>
                </c:pt>
                <c:pt idx="12">
                  <c:v>4882</c:v>
                </c:pt>
                <c:pt idx="13">
                  <c:v>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A-4612-A6C3-6C74F86BEC63}"/>
            </c:ext>
          </c:extLst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BASE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TOP/BOTTOM</c:v>
                </c:pt>
                <c:pt idx="11">
                  <c:v>SLIDER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1970</c:v>
                </c:pt>
                <c:pt idx="1">
                  <c:v>2580</c:v>
                </c:pt>
                <c:pt idx="2">
                  <c:v>4010</c:v>
                </c:pt>
                <c:pt idx="3">
                  <c:v>3240</c:v>
                </c:pt>
                <c:pt idx="4">
                  <c:v>5440</c:v>
                </c:pt>
                <c:pt idx="5">
                  <c:v>1130</c:v>
                </c:pt>
                <c:pt idx="6">
                  <c:v>4960</c:v>
                </c:pt>
                <c:pt idx="7">
                  <c:v>772</c:v>
                </c:pt>
                <c:pt idx="8">
                  <c:v>300</c:v>
                </c:pt>
                <c:pt idx="9">
                  <c:v>910</c:v>
                </c:pt>
                <c:pt idx="10">
                  <c:v>2130</c:v>
                </c:pt>
                <c:pt idx="11">
                  <c:v>2110</c:v>
                </c:pt>
                <c:pt idx="12">
                  <c:v>4890</c:v>
                </c:pt>
                <c:pt idx="13">
                  <c:v>4870</c:v>
                </c:pt>
                <c:pt idx="14">
                  <c:v>33300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A-4612-A6C3-6C74F86B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6208"/>
        <c:axId val="391307840"/>
      </c:lineChart>
      <c:catAx>
        <c:axId val="2386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307840"/>
        <c:crosses val="autoZero"/>
        <c:auto val="1"/>
        <c:lblAlgn val="ctr"/>
        <c:lblOffset val="100"/>
        <c:noMultiLvlLbl val="0"/>
      </c:catAx>
      <c:valAx>
        <c:axId val="3913078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23868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0%</c:v>
                </c:pt>
                <c:pt idx="5">
                  <c:v>371%</c:v>
                </c:pt>
                <c:pt idx="6">
                  <c:v>100%</c:v>
                </c:pt>
                <c:pt idx="7">
                  <c:v>29%</c:v>
                </c:pt>
                <c:pt idx="8">
                  <c:v>0%</c:v>
                </c:pt>
                <c:pt idx="9">
                  <c:v>0%</c:v>
                </c:pt>
                <c:pt idx="10">
                  <c:v>50%</c:v>
                </c:pt>
                <c:pt idx="11">
                  <c:v>0%</c:v>
                </c:pt>
                <c:pt idx="12">
                  <c:v>96%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BASE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TOP/BOTTOM</c:v>
                </c:pt>
                <c:pt idx="11">
                  <c:v>SLIDER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3.7050147492625367</c:v>
                </c:pt>
                <c:pt idx="6">
                  <c:v>0.99939516129032258</c:v>
                </c:pt>
                <c:pt idx="7">
                  <c:v>0.29166666666666669</c:v>
                </c:pt>
                <c:pt idx="8">
                  <c:v>0</c:v>
                </c:pt>
                <c:pt idx="9">
                  <c:v>0</c:v>
                </c:pt>
                <c:pt idx="10">
                  <c:v>0.49835680751173711</c:v>
                </c:pt>
                <c:pt idx="11">
                  <c:v>0</c:v>
                </c:pt>
                <c:pt idx="12">
                  <c:v>0.9567655078391275</c:v>
                </c:pt>
                <c:pt idx="13">
                  <c:v>0.99958932238193021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8-4C49-B2BA-F07542A237F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C8-4C49-B2BA-F07542A237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'25'!$D$6:$D$20</c:f>
              <c:strCache>
                <c:ptCount val="14"/>
                <c:pt idx="0">
                  <c:v>LOWER PLATE</c:v>
                </c:pt>
                <c:pt idx="1">
                  <c:v>COVER</c:v>
                </c:pt>
                <c:pt idx="2">
                  <c:v>STOPPER</c:v>
                </c:pt>
                <c:pt idx="3">
                  <c:v>SLIDER</c:v>
                </c:pt>
                <c:pt idx="4">
                  <c:v>4LEAD</c:v>
                </c:pt>
                <c:pt idx="5">
                  <c:v>BASE</c:v>
                </c:pt>
                <c:pt idx="6">
                  <c:v>BODY</c:v>
                </c:pt>
                <c:pt idx="7">
                  <c:v>BODY</c:v>
                </c:pt>
                <c:pt idx="8">
                  <c:v>BASE</c:v>
                </c:pt>
                <c:pt idx="9">
                  <c:v>ADAPTER</c:v>
                </c:pt>
                <c:pt idx="10">
                  <c:v>TOP/BOTTOM</c:v>
                </c:pt>
                <c:pt idx="11">
                  <c:v>SLIDER</c:v>
                </c:pt>
                <c:pt idx="12">
                  <c:v>LEAD GUIDE</c:v>
                </c:pt>
                <c:pt idx="13">
                  <c:v>BASE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0.54671921433015469</c:v>
                </c:pt>
                <c:pt idx="1">
                  <c:v>0.54671921433015469</c:v>
                </c:pt>
                <c:pt idx="2">
                  <c:v>0.54671921433015469</c:v>
                </c:pt>
                <c:pt idx="3">
                  <c:v>0.54671921433015469</c:v>
                </c:pt>
                <c:pt idx="4">
                  <c:v>0.54671921433015469</c:v>
                </c:pt>
                <c:pt idx="5">
                  <c:v>0.54671921433015469</c:v>
                </c:pt>
                <c:pt idx="6">
                  <c:v>0.54671921433015469</c:v>
                </c:pt>
                <c:pt idx="7">
                  <c:v>0.54671921433015469</c:v>
                </c:pt>
                <c:pt idx="8">
                  <c:v>0.54671921433015469</c:v>
                </c:pt>
                <c:pt idx="9">
                  <c:v>0.54671921433015469</c:v>
                </c:pt>
                <c:pt idx="10">
                  <c:v>0.54671921433015469</c:v>
                </c:pt>
                <c:pt idx="11">
                  <c:v>0.54671921433015469</c:v>
                </c:pt>
                <c:pt idx="12">
                  <c:v>0.54671921433015469</c:v>
                </c:pt>
                <c:pt idx="13">
                  <c:v>0.54671921433015469</c:v>
                </c:pt>
                <c:pt idx="14">
                  <c:v>0.54671921433015469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8-4C49-B2BA-F07542A2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29728"/>
        <c:axId val="391309568"/>
      </c:lineChart>
      <c:catAx>
        <c:axId val="2339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91309568"/>
        <c:crosses val="autoZero"/>
        <c:auto val="1"/>
        <c:lblAlgn val="ctr"/>
        <c:lblOffset val="100"/>
        <c:noMultiLvlLbl val="0"/>
      </c:catAx>
      <c:valAx>
        <c:axId val="3913095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392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7.xml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2.xml"/><Relationship Id="rId5" Type="http://schemas.openxmlformats.org/officeDocument/2006/relationships/chart" Target="../charts/chart111.xml"/><Relationship Id="rId4" Type="http://schemas.openxmlformats.org/officeDocument/2006/relationships/chart" Target="../charts/chart110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Relationship Id="rId6" Type="http://schemas.openxmlformats.org/officeDocument/2006/relationships/chart" Target="../charts/chart127.xml"/><Relationship Id="rId5" Type="http://schemas.openxmlformats.org/officeDocument/2006/relationships/chart" Target="../charts/chart126.xml"/><Relationship Id="rId4" Type="http://schemas.openxmlformats.org/officeDocument/2006/relationships/chart" Target="../charts/chart1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732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K15" sqref="AK15"/>
    </sheetView>
  </sheetViews>
  <sheetFormatPr defaultRowHeight="13.5"/>
  <cols>
    <col min="1" max="1" width="7.5" style="75" bestFit="1" customWidth="1"/>
    <col min="2" max="17" width="5.5" style="75" bestFit="1" customWidth="1"/>
    <col min="18" max="18" width="6" style="75" customWidth="1"/>
    <col min="19" max="33" width="5.5" style="75" bestFit="1" customWidth="1"/>
    <col min="34" max="16384" width="9" style="75"/>
  </cols>
  <sheetData>
    <row r="1" spans="1:33" ht="33.75" customHeight="1" thickBot="1">
      <c r="A1" s="403" t="s">
        <v>183</v>
      </c>
      <c r="B1" s="403"/>
      <c r="C1" s="403"/>
      <c r="D1" s="403"/>
      <c r="E1" s="403"/>
      <c r="F1" s="403"/>
      <c r="G1" s="403"/>
      <c r="H1" s="403"/>
    </row>
    <row r="2" spans="1:33" ht="21.75" customHeight="1" thickBot="1">
      <c r="A2" s="96" t="s">
        <v>61</v>
      </c>
      <c r="B2" s="98" t="s">
        <v>76</v>
      </c>
      <c r="C2" s="99" t="s">
        <v>77</v>
      </c>
      <c r="D2" s="99" t="s">
        <v>78</v>
      </c>
      <c r="E2" s="99" t="s">
        <v>79</v>
      </c>
      <c r="F2" s="99" t="s">
        <v>80</v>
      </c>
      <c r="G2" s="99" t="s">
        <v>81</v>
      </c>
      <c r="H2" s="99" t="s">
        <v>82</v>
      </c>
      <c r="I2" s="99" t="s">
        <v>83</v>
      </c>
      <c r="J2" s="99" t="s">
        <v>84</v>
      </c>
      <c r="K2" s="99" t="s">
        <v>85</v>
      </c>
      <c r="L2" s="99" t="s">
        <v>86</v>
      </c>
      <c r="M2" s="99" t="s">
        <v>87</v>
      </c>
      <c r="N2" s="99" t="s">
        <v>88</v>
      </c>
      <c r="O2" s="99" t="s">
        <v>89</v>
      </c>
      <c r="P2" s="99" t="s">
        <v>90</v>
      </c>
      <c r="Q2" s="99" t="s">
        <v>91</v>
      </c>
      <c r="R2" s="99" t="s">
        <v>92</v>
      </c>
      <c r="S2" s="99" t="s">
        <v>93</v>
      </c>
      <c r="T2" s="99" t="s">
        <v>94</v>
      </c>
      <c r="U2" s="99" t="s">
        <v>95</v>
      </c>
      <c r="V2" s="99" t="s">
        <v>96</v>
      </c>
      <c r="W2" s="99" t="s">
        <v>97</v>
      </c>
      <c r="X2" s="99" t="s">
        <v>98</v>
      </c>
      <c r="Y2" s="99" t="s">
        <v>99</v>
      </c>
      <c r="Z2" s="99" t="s">
        <v>100</v>
      </c>
      <c r="AA2" s="99" t="s">
        <v>101</v>
      </c>
      <c r="AB2" s="99" t="s">
        <v>102</v>
      </c>
      <c r="AC2" s="99" t="s">
        <v>103</v>
      </c>
      <c r="AD2" s="99" t="s">
        <v>104</v>
      </c>
      <c r="AE2" s="99" t="s">
        <v>105</v>
      </c>
      <c r="AF2" s="100" t="s">
        <v>106</v>
      </c>
      <c r="AG2" s="96" t="s">
        <v>108</v>
      </c>
    </row>
    <row r="3" spans="1:33" ht="21.75" customHeight="1">
      <c r="A3" s="116" t="s">
        <v>62</v>
      </c>
      <c r="B3" s="111">
        <f>'01'!AD6</f>
        <v>0</v>
      </c>
      <c r="C3" s="111"/>
      <c r="D3" s="104"/>
      <c r="E3" s="104">
        <f>'04'!AD6</f>
        <v>0</v>
      </c>
      <c r="F3" s="104">
        <f>'05'!AD6</f>
        <v>0</v>
      </c>
      <c r="G3" s="104">
        <f>'06'!AD6</f>
        <v>0</v>
      </c>
      <c r="H3" s="104">
        <f>'07'!AD6</f>
        <v>0</v>
      </c>
      <c r="I3" s="104">
        <f>'08'!AD6</f>
        <v>0</v>
      </c>
      <c r="J3" s="104"/>
      <c r="K3" s="104"/>
      <c r="L3" s="104">
        <f>'11'!AD6</f>
        <v>0</v>
      </c>
      <c r="M3" s="104">
        <f>'12'!AD6</f>
        <v>0</v>
      </c>
      <c r="N3" s="122">
        <f>'13'!AD6</f>
        <v>0</v>
      </c>
      <c r="O3" s="104">
        <f>'14'!AD6</f>
        <v>0</v>
      </c>
      <c r="P3" s="104">
        <f>'15'!AD6</f>
        <v>0</v>
      </c>
      <c r="Q3" s="104">
        <f>'16'!AD6</f>
        <v>0</v>
      </c>
      <c r="R3" s="104"/>
      <c r="S3" s="104">
        <f>'18'!AD6</f>
        <v>0</v>
      </c>
      <c r="T3" s="104">
        <f>'19'!AD6</f>
        <v>0</v>
      </c>
      <c r="U3" s="104">
        <f>'20'!AD6</f>
        <v>0</v>
      </c>
      <c r="V3" s="104">
        <f>'21'!AD6</f>
        <v>0</v>
      </c>
      <c r="W3" s="122">
        <f>'22'!AD6</f>
        <v>0</v>
      </c>
      <c r="X3" s="104">
        <f>'23'!AD6</f>
        <v>0</v>
      </c>
      <c r="Y3" s="104">
        <f>'24'!AD6</f>
        <v>0</v>
      </c>
      <c r="Z3" s="104">
        <f>'25'!AD6</f>
        <v>0</v>
      </c>
      <c r="AA3" s="104">
        <f>'26'!AD6</f>
        <v>0</v>
      </c>
      <c r="AB3" s="104">
        <f>'27'!AD6</f>
        <v>0</v>
      </c>
      <c r="AC3" s="104">
        <f>'28'!AD6</f>
        <v>0</v>
      </c>
      <c r="AD3" s="104">
        <f>'29'!AD6</f>
        <v>0</v>
      </c>
      <c r="AE3" s="104">
        <f>'30'!AD6</f>
        <v>0</v>
      </c>
      <c r="AF3" s="105"/>
      <c r="AG3" s="107">
        <f>SUM(B3:AF3)/30</f>
        <v>0</v>
      </c>
    </row>
    <row r="4" spans="1:33" ht="21.75" customHeight="1">
      <c r="A4" s="117" t="s">
        <v>63</v>
      </c>
      <c r="B4" s="112">
        <f>'01'!AD7</f>
        <v>0</v>
      </c>
      <c r="C4" s="112"/>
      <c r="D4" s="81"/>
      <c r="E4" s="81">
        <f>'04'!AD7</f>
        <v>0.875</v>
      </c>
      <c r="F4" s="81">
        <f>'05'!AD7</f>
        <v>0.25</v>
      </c>
      <c r="G4" s="81">
        <f>'06'!AD7</f>
        <v>0.83237547892720309</v>
      </c>
      <c r="H4" s="81">
        <f>'07'!AD7</f>
        <v>0.87318181818181817</v>
      </c>
      <c r="I4" s="81">
        <f>'08'!AD7</f>
        <v>0</v>
      </c>
      <c r="J4" s="81"/>
      <c r="K4" s="81"/>
      <c r="L4" s="81">
        <f>'11'!AD7</f>
        <v>0.58251557632398754</v>
      </c>
      <c r="M4" s="81">
        <f>'12'!AD7</f>
        <v>0.99849785407725322</v>
      </c>
      <c r="N4" s="81">
        <f>'13'!AD7</f>
        <v>0.99891774891774887</v>
      </c>
      <c r="O4" s="81">
        <f>'14'!AD7+'14'!AD8</f>
        <v>0.91405981416957016</v>
      </c>
      <c r="P4" s="81">
        <f>'15'!AD7</f>
        <v>1</v>
      </c>
      <c r="Q4" s="81">
        <f>'16'!AD7</f>
        <v>0.99939271255060724</v>
      </c>
      <c r="R4" s="81"/>
      <c r="S4" s="81">
        <f>'18'!AD7</f>
        <v>0.95736531986531992</v>
      </c>
      <c r="T4" s="81">
        <f>'19'!AD7</f>
        <v>0.99823399558498893</v>
      </c>
      <c r="U4" s="81">
        <f>'20'!AD7</f>
        <v>0.99892933618843682</v>
      </c>
      <c r="V4" s="81">
        <f>'21'!AD7</f>
        <v>0.99828326180257509</v>
      </c>
      <c r="W4" s="81">
        <f>'22'!AD7</f>
        <v>0.99872068230277189</v>
      </c>
      <c r="X4" s="81">
        <f>'23'!AD7</f>
        <v>0.91666666666666663</v>
      </c>
      <c r="Y4" s="81">
        <f>'24'!AD7</f>
        <v>0.66511627906976734</v>
      </c>
      <c r="Z4" s="81">
        <f>'25'!AD7</f>
        <v>0</v>
      </c>
      <c r="AA4" s="81">
        <f>'26'!AD7</f>
        <v>0</v>
      </c>
      <c r="AB4" s="81">
        <f>'27'!AD7</f>
        <v>0</v>
      </c>
      <c r="AC4" s="81">
        <f>'28'!AD7</f>
        <v>0</v>
      </c>
      <c r="AD4" s="81">
        <f>'29'!AD7</f>
        <v>0.3325551232166018</v>
      </c>
      <c r="AE4" s="81">
        <f>'30'!AD7</f>
        <v>0</v>
      </c>
      <c r="AF4" s="82"/>
      <c r="AG4" s="83">
        <f t="shared" ref="AG4:AG18" si="0">SUM(B4:AF4)/30</f>
        <v>0.50632705559484392</v>
      </c>
    </row>
    <row r="5" spans="1:33" ht="21.75" customHeight="1">
      <c r="A5" s="118" t="s">
        <v>64</v>
      </c>
      <c r="B5" s="113">
        <f>'01'!AD8</f>
        <v>0.99828571428571433</v>
      </c>
      <c r="C5" s="113"/>
      <c r="D5" s="84"/>
      <c r="E5" s="84">
        <f>'04'!AD8</f>
        <v>0</v>
      </c>
      <c r="F5" s="84">
        <f>'05'!AD8</f>
        <v>0.91666666666666663</v>
      </c>
      <c r="G5" s="84">
        <f>'06'!AD8</f>
        <v>0.99981167608286248</v>
      </c>
      <c r="H5" s="84">
        <f>'07'!AD8</f>
        <v>0.99844054580896691</v>
      </c>
      <c r="I5" s="84">
        <f>'08'!AD8</f>
        <v>0.29043079096045199</v>
      </c>
      <c r="J5" s="84"/>
      <c r="K5" s="84"/>
      <c r="L5" s="84">
        <f>'11'!AD8</f>
        <v>0.95749452954048142</v>
      </c>
      <c r="M5" s="84">
        <f>'12'!AD8</f>
        <v>0.99826254826254823</v>
      </c>
      <c r="N5" s="84">
        <f>'13'!AD8</f>
        <v>0.625</v>
      </c>
      <c r="O5" s="84">
        <f>'14'!AD9</f>
        <v>0.99911504424778763</v>
      </c>
      <c r="P5" s="84">
        <f>'15'!AD8</f>
        <v>0.83232016210739612</v>
      </c>
      <c r="Q5" s="84">
        <f>'16'!AD8</f>
        <v>0.87417257683215133</v>
      </c>
      <c r="R5" s="84"/>
      <c r="S5" s="84">
        <f>'18'!AD8</f>
        <v>0.99933184855233848</v>
      </c>
      <c r="T5" s="84">
        <f>'19'!AD8</f>
        <v>0.66542553191489362</v>
      </c>
      <c r="U5" s="84">
        <f>'20'!AD8</f>
        <v>0.66533333333333333</v>
      </c>
      <c r="V5" s="84">
        <f>'21'!AD8</f>
        <v>0.74946619217081845</v>
      </c>
      <c r="W5" s="123">
        <f>'22'!AD8+'22'!AD9</f>
        <v>0.95723039215686279</v>
      </c>
      <c r="X5" s="84">
        <f>'23'!AD8</f>
        <v>0.99875311720698257</v>
      </c>
      <c r="Y5" s="84">
        <f>'24'!AD8</f>
        <v>0</v>
      </c>
      <c r="Z5" s="84">
        <f>'25'!AD8</f>
        <v>0</v>
      </c>
      <c r="AA5" s="84">
        <f>'26'!AD8</f>
        <v>0</v>
      </c>
      <c r="AB5" s="84">
        <f>'27'!AD8</f>
        <v>0.24946808510638299</v>
      </c>
      <c r="AC5" s="84">
        <f>'28'!AD8</f>
        <v>0</v>
      </c>
      <c r="AD5" s="84">
        <f>'29'!AD8</f>
        <v>0</v>
      </c>
      <c r="AE5" s="84">
        <f>'30'!AD8</f>
        <v>0</v>
      </c>
      <c r="AF5" s="85"/>
      <c r="AG5" s="86">
        <f t="shared" si="0"/>
        <v>0.49250029184122129</v>
      </c>
    </row>
    <row r="6" spans="1:33" ht="21.75" customHeight="1">
      <c r="A6" s="119" t="s">
        <v>65</v>
      </c>
      <c r="B6" s="114">
        <f>'01'!AD9</f>
        <v>0.91666666666666663</v>
      </c>
      <c r="C6" s="114"/>
      <c r="D6" s="87"/>
      <c r="E6" s="87">
        <f>'04'!AD9</f>
        <v>0.99980544747081712</v>
      </c>
      <c r="F6" s="87">
        <f>'05'!AD9</f>
        <v>1</v>
      </c>
      <c r="G6" s="87">
        <f>'06'!AD9</f>
        <v>0</v>
      </c>
      <c r="H6" s="87">
        <f>'07'!AD9</f>
        <v>0.49938650306748467</v>
      </c>
      <c r="I6" s="87">
        <f>'08'!AD9</f>
        <v>0</v>
      </c>
      <c r="J6" s="87"/>
      <c r="K6" s="87"/>
      <c r="L6" s="87">
        <f>'11'!AD9</f>
        <v>0</v>
      </c>
      <c r="M6" s="87">
        <f>'12'!AD9</f>
        <v>0.45833333333333331</v>
      </c>
      <c r="N6" s="87">
        <f>'13'!AD9</f>
        <v>0.33247126436781604</v>
      </c>
      <c r="O6" s="87">
        <f>'14'!AD10</f>
        <v>0.4993927125506073</v>
      </c>
      <c r="P6" s="87">
        <f>'15'!AD9</f>
        <v>0.99812889812889816</v>
      </c>
      <c r="Q6" s="87">
        <f>'16'!AD9</f>
        <v>0.99946996466431093</v>
      </c>
      <c r="R6" s="87"/>
      <c r="S6" s="87">
        <f>'18'!AD9</f>
        <v>0.79166666666666663</v>
      </c>
      <c r="T6" s="87">
        <f>'19'!AD9</f>
        <v>0.99911816578483248</v>
      </c>
      <c r="U6" s="87">
        <f>'20'!AD9</f>
        <v>0.99914821124361164</v>
      </c>
      <c r="V6" s="87">
        <f>'21'!AD9</f>
        <v>0.79081081081081084</v>
      </c>
      <c r="W6" s="87">
        <f>'22'!AD10</f>
        <v>0.99947089947089951</v>
      </c>
      <c r="X6" s="87">
        <f>'23'!AD9</f>
        <v>0.9991416309012876</v>
      </c>
      <c r="Y6" s="87">
        <f>'24'!AD9</f>
        <v>0.99900199600798401</v>
      </c>
      <c r="Z6" s="87">
        <f>'25'!AD9</f>
        <v>0.75</v>
      </c>
      <c r="AA6" s="87">
        <f>'26'!AD9</f>
        <v>0.99964788732394361</v>
      </c>
      <c r="AB6" s="87">
        <f>'27'!AD9</f>
        <v>0.99893428063943157</v>
      </c>
      <c r="AC6" s="87">
        <f>'28'!AD9</f>
        <v>0.87328009828009834</v>
      </c>
      <c r="AD6" s="87">
        <f>'29'!AD9</f>
        <v>0.99893992932862186</v>
      </c>
      <c r="AE6" s="87">
        <f>'30'!AD9</f>
        <v>0.99893617021276593</v>
      </c>
      <c r="AF6" s="88"/>
      <c r="AG6" s="89">
        <f t="shared" si="0"/>
        <v>0.63005838456402963</v>
      </c>
    </row>
    <row r="7" spans="1:33" ht="21.75" customHeight="1">
      <c r="A7" s="119" t="s">
        <v>66</v>
      </c>
      <c r="B7" s="114">
        <f>'01'!AD10</f>
        <v>0</v>
      </c>
      <c r="C7" s="114"/>
      <c r="D7" s="87"/>
      <c r="E7" s="87">
        <f>'04'!AD10</f>
        <v>0</v>
      </c>
      <c r="F7" s="87">
        <f>'05'!AD10</f>
        <v>0.24726562499999999</v>
      </c>
      <c r="G7" s="87">
        <f>'06'!AD10</f>
        <v>0.45381455399061033</v>
      </c>
      <c r="H7" s="87">
        <f>'07'!AD10</f>
        <v>0.16666666666666666</v>
      </c>
      <c r="I7" s="87">
        <f>'08'!AD10</f>
        <v>0</v>
      </c>
      <c r="J7" s="87"/>
      <c r="K7" s="87"/>
      <c r="L7" s="87">
        <f>'11'!AD10</f>
        <v>0.95833333333333337</v>
      </c>
      <c r="M7" s="87">
        <f>'12'!AD10</f>
        <v>0.41666666666666669</v>
      </c>
      <c r="N7" s="87">
        <f>'13'!AD10</f>
        <v>0.29166666666666669</v>
      </c>
      <c r="O7" s="87">
        <f>'14'!AD11</f>
        <v>0.28937908496732029</v>
      </c>
      <c r="P7" s="87">
        <f>'15'!AD10</f>
        <v>0.125</v>
      </c>
      <c r="Q7" s="87">
        <f>'16'!AD10</f>
        <v>0</v>
      </c>
      <c r="R7" s="87"/>
      <c r="S7" s="87">
        <f>'18'!AD10</f>
        <v>0.8332261521972133</v>
      </c>
      <c r="T7" s="87">
        <f>'19'!AD10</f>
        <v>0.99997647335607576</v>
      </c>
      <c r="U7" s="87">
        <f>'20'!AD10+'20'!AD11</f>
        <v>0.5809684684684685</v>
      </c>
      <c r="V7" s="87">
        <f>'21'!AD10</f>
        <v>0.74836956521739129</v>
      </c>
      <c r="W7" s="87">
        <f>'22'!AD11</f>
        <v>0.99981617647058818</v>
      </c>
      <c r="X7" s="87">
        <f>'23'!AD10</f>
        <v>0</v>
      </c>
      <c r="Y7" s="87">
        <f>'24'!AD10</f>
        <v>0</v>
      </c>
      <c r="Z7" s="87">
        <f>'25'!AD10</f>
        <v>0</v>
      </c>
      <c r="AA7" s="87">
        <f>'26'!AD10</f>
        <v>0.20699786324786326</v>
      </c>
      <c r="AB7" s="87">
        <f>'27'!AD10</f>
        <v>0.83220211161387636</v>
      </c>
      <c r="AC7" s="87">
        <f>'28'!AD10</f>
        <v>0.99983713355048864</v>
      </c>
      <c r="AD7" s="87">
        <f>'29'!AD10</f>
        <v>0.99854368932038839</v>
      </c>
      <c r="AE7" s="87">
        <f>'30'!AD10</f>
        <v>0.41589026915113869</v>
      </c>
      <c r="AF7" s="88"/>
      <c r="AG7" s="89">
        <f t="shared" si="0"/>
        <v>0.35215401666282525</v>
      </c>
    </row>
    <row r="8" spans="1:33" ht="21.75" customHeight="1">
      <c r="A8" s="119" t="s">
        <v>67</v>
      </c>
      <c r="B8" s="114">
        <f>'01'!AD11</f>
        <v>0.99886621315192747</v>
      </c>
      <c r="C8" s="114"/>
      <c r="D8" s="87"/>
      <c r="E8" s="87">
        <f>'04'!AD11</f>
        <v>0.9986666666666667</v>
      </c>
      <c r="F8" s="87">
        <f>'05'!AD11</f>
        <v>0.5</v>
      </c>
      <c r="G8" s="87">
        <f>'06'!AD11</f>
        <v>0.99907834101382487</v>
      </c>
      <c r="H8" s="87">
        <f>'07'!AD11</f>
        <v>0.49978354978354977</v>
      </c>
      <c r="I8" s="87">
        <f>'08'!AD11</f>
        <v>0</v>
      </c>
      <c r="J8" s="87"/>
      <c r="K8" s="87"/>
      <c r="L8" s="87">
        <f>'11'!AD11</f>
        <v>0</v>
      </c>
      <c r="M8" s="87">
        <f>'12'!AD11</f>
        <v>0</v>
      </c>
      <c r="N8" s="87">
        <f>'13'!AD11</f>
        <v>0.93637580299785872</v>
      </c>
      <c r="O8" s="87">
        <f>'14'!AD12</f>
        <v>0.24714285714285714</v>
      </c>
      <c r="P8" s="87">
        <f>'15'!AD11</f>
        <v>0</v>
      </c>
      <c r="Q8" s="87">
        <f>'16'!AD11</f>
        <v>0</v>
      </c>
      <c r="R8" s="87"/>
      <c r="S8" s="87">
        <f>'18'!AD11</f>
        <v>0</v>
      </c>
      <c r="T8" s="87">
        <f>'19'!AD11</f>
        <v>0.33333333333333331</v>
      </c>
      <c r="U8" s="87">
        <f>'20'!AD12</f>
        <v>0.25</v>
      </c>
      <c r="V8" s="87">
        <f>'21'!AD11</f>
        <v>0</v>
      </c>
      <c r="W8" s="87">
        <f>'22'!AD12+'22'!AD13</f>
        <v>0.91354423558210485</v>
      </c>
      <c r="X8" s="87">
        <f>'23'!AD11</f>
        <v>0.24867256637168142</v>
      </c>
      <c r="Y8" s="87">
        <f>'24'!AD11</f>
        <v>0</v>
      </c>
      <c r="Z8" s="87">
        <f>'25'!AD11</f>
        <v>3.7050147492625367</v>
      </c>
      <c r="AA8" s="87">
        <f>'26'!AD11</f>
        <v>0.62444690265486724</v>
      </c>
      <c r="AB8" s="87">
        <f>'27'!AD11</f>
        <v>0.58259958071278828</v>
      </c>
      <c r="AC8" s="87">
        <f>'28'!AD11+'28'!AD12+'28'!AD13</f>
        <v>0.95572813515347221</v>
      </c>
      <c r="AD8" s="87">
        <f>'29'!AD11</f>
        <v>0.99963570127504553</v>
      </c>
      <c r="AE8" s="87">
        <f>'30'!AD11</f>
        <v>0.99909420289855078</v>
      </c>
      <c r="AF8" s="88"/>
      <c r="AG8" s="89">
        <f t="shared" si="0"/>
        <v>0.49306609460003548</v>
      </c>
    </row>
    <row r="9" spans="1:33" ht="21.75" customHeight="1">
      <c r="A9" s="119" t="s">
        <v>68</v>
      </c>
      <c r="B9" s="114">
        <f>'01'!AD12</f>
        <v>0.83168316831683176</v>
      </c>
      <c r="C9" s="114"/>
      <c r="D9" s="87"/>
      <c r="E9" s="87">
        <f>'04'!AD12</f>
        <v>0.99784688995215309</v>
      </c>
      <c r="F9" s="87">
        <f>'05'!AD12</f>
        <v>0</v>
      </c>
      <c r="G9" s="87">
        <f>'06'!AD12</f>
        <v>0.74895104895104891</v>
      </c>
      <c r="H9" s="87">
        <f>'07'!AD12</f>
        <v>0.83183632734530932</v>
      </c>
      <c r="I9" s="87">
        <f>'08'!AD12</f>
        <v>0.41555851063829791</v>
      </c>
      <c r="J9" s="87"/>
      <c r="K9" s="87"/>
      <c r="L9" s="87">
        <f>'11'!AD12</f>
        <v>0.7912050534499514</v>
      </c>
      <c r="M9" s="87">
        <f>'12'!AD12+'12'!AD13</f>
        <v>0.95701415160431558</v>
      </c>
      <c r="N9" s="87">
        <f>'13'!AD12</f>
        <v>0.91619778346121061</v>
      </c>
      <c r="O9" s="87">
        <f>'14'!AD13</f>
        <v>0.41666666666666669</v>
      </c>
      <c r="P9" s="87">
        <f>'15'!AD12</f>
        <v>0.87357336956521736</v>
      </c>
      <c r="Q9" s="87">
        <f>'16'!AD12</f>
        <v>0.99956896551724139</v>
      </c>
      <c r="R9" s="87"/>
      <c r="S9" s="87">
        <f>'18'!AD12</f>
        <v>0.99951219512195122</v>
      </c>
      <c r="T9" s="87">
        <f>'19'!AD12</f>
        <v>0.79095345345345347</v>
      </c>
      <c r="U9" s="87">
        <f>'20'!AD13</f>
        <v>0.25</v>
      </c>
      <c r="V9" s="87">
        <f>'21'!AD12+'21'!AD13</f>
        <v>0.72774806375109868</v>
      </c>
      <c r="W9" s="87">
        <f>'22'!AD14</f>
        <v>0.83304794520547953</v>
      </c>
      <c r="X9" s="87">
        <f>'23'!AD12</f>
        <v>0.87393292682926826</v>
      </c>
      <c r="Y9" s="87">
        <f>'24'!AD12</f>
        <v>0.99859154929577465</v>
      </c>
      <c r="Z9" s="87">
        <f>'25'!AD12</f>
        <v>0.99939516129032258</v>
      </c>
      <c r="AA9" s="87">
        <f>'26'!AD12</f>
        <v>0.95902255639097744</v>
      </c>
      <c r="AB9" s="87">
        <f>'27'!AD12</f>
        <v>0.70667155425219952</v>
      </c>
      <c r="AC9" s="87">
        <f>'28'!AD14</f>
        <v>1</v>
      </c>
      <c r="AD9" s="87">
        <f>'29'!AD12</f>
        <v>0.91645927601809951</v>
      </c>
      <c r="AE9" s="87">
        <f>'30'!AD12+'30'!AD13</f>
        <v>0.99981884057971016</v>
      </c>
      <c r="AF9" s="88"/>
      <c r="AG9" s="89">
        <f t="shared" si="0"/>
        <v>0.66117518192188596</v>
      </c>
    </row>
    <row r="10" spans="1:33" ht="21.75" customHeight="1">
      <c r="A10" s="119" t="s">
        <v>69</v>
      </c>
      <c r="B10" s="114">
        <f>'01'!AD13</f>
        <v>0</v>
      </c>
      <c r="C10" s="114"/>
      <c r="D10" s="87"/>
      <c r="E10" s="87">
        <f>'04'!AD13</f>
        <v>0</v>
      </c>
      <c r="F10" s="87">
        <f>'05'!AD13</f>
        <v>0</v>
      </c>
      <c r="G10" s="87">
        <f>'06'!AD13</f>
        <v>0</v>
      </c>
      <c r="H10" s="87">
        <f>'07'!AD13</f>
        <v>0.95810731132075477</v>
      </c>
      <c r="I10" s="87">
        <f>'08'!AD13</f>
        <v>0</v>
      </c>
      <c r="J10" s="87"/>
      <c r="K10" s="87"/>
      <c r="L10" s="87">
        <f>'11'!AD13</f>
        <v>0</v>
      </c>
      <c r="M10" s="87">
        <f>'12'!AD14</f>
        <v>0</v>
      </c>
      <c r="N10" s="87">
        <f>'13'!AD13</f>
        <v>0.58291291291291292</v>
      </c>
      <c r="O10" s="87">
        <f>'14'!AD14</f>
        <v>0</v>
      </c>
      <c r="P10" s="87">
        <f>'15'!AD13</f>
        <v>0.24887387387387389</v>
      </c>
      <c r="Q10" s="87">
        <f>'16'!AD13</f>
        <v>0</v>
      </c>
      <c r="R10" s="87"/>
      <c r="S10" s="87">
        <f>'18'!AD13</f>
        <v>0.33196347031963469</v>
      </c>
      <c r="T10" s="87">
        <f>'19'!AD13</f>
        <v>0</v>
      </c>
      <c r="U10" s="87">
        <f>'20'!AD14</f>
        <v>0.83256616800920602</v>
      </c>
      <c r="V10" s="87">
        <f>'21'!AD14</f>
        <v>0.16620689655172413</v>
      </c>
      <c r="W10" s="87">
        <f>'22'!AD15</f>
        <v>0.19689655172413792</v>
      </c>
      <c r="X10" s="87">
        <f>'23'!AD13</f>
        <v>0.79005102040816322</v>
      </c>
      <c r="Y10" s="87">
        <f>'24'!AD13</f>
        <v>0.375</v>
      </c>
      <c r="Z10" s="87">
        <f>'25'!AD13</f>
        <v>0.29166666666666669</v>
      </c>
      <c r="AA10" s="87">
        <f>'26'!AD13+'26'!AD14</f>
        <v>0.91390476548071997</v>
      </c>
      <c r="AB10" s="87">
        <f>'27'!AD13</f>
        <v>0.99983686786296899</v>
      </c>
      <c r="AC10" s="87">
        <f>'28'!AD15</f>
        <v>0.99934318555008206</v>
      </c>
      <c r="AD10" s="87">
        <f>'29'!AD13</f>
        <v>0.87361660079051384</v>
      </c>
      <c r="AE10" s="87">
        <f>'30'!AD14</f>
        <v>0.99869281045751634</v>
      </c>
      <c r="AF10" s="88"/>
      <c r="AG10" s="89">
        <f t="shared" si="0"/>
        <v>0.31865463673096256</v>
      </c>
    </row>
    <row r="11" spans="1:33" ht="21.75" customHeight="1">
      <c r="A11" s="118" t="s">
        <v>70</v>
      </c>
      <c r="B11" s="113">
        <f>'01'!AD14</f>
        <v>0</v>
      </c>
      <c r="C11" s="113"/>
      <c r="D11" s="84"/>
      <c r="E11" s="84">
        <f>'04'!AD14</f>
        <v>0</v>
      </c>
      <c r="F11" s="84">
        <f>'05'!AD14</f>
        <v>0</v>
      </c>
      <c r="G11" s="84">
        <f>'06'!AD14</f>
        <v>0</v>
      </c>
      <c r="H11" s="84">
        <f>'07'!AD14</f>
        <v>0</v>
      </c>
      <c r="I11" s="84">
        <f>'08'!AD14</f>
        <v>0</v>
      </c>
      <c r="J11" s="84"/>
      <c r="K11" s="84"/>
      <c r="L11" s="84">
        <f>'11'!AD14</f>
        <v>0</v>
      </c>
      <c r="M11" s="84">
        <f>'12'!AD15</f>
        <v>0</v>
      </c>
      <c r="N11" s="84">
        <f>'13'!AD14</f>
        <v>0</v>
      </c>
      <c r="O11" s="84">
        <f>'14'!AD15</f>
        <v>0</v>
      </c>
      <c r="P11" s="84">
        <f>'15'!AD14</f>
        <v>0</v>
      </c>
      <c r="Q11" s="84">
        <f>'16'!AD14</f>
        <v>0.29166666666666669</v>
      </c>
      <c r="R11" s="84"/>
      <c r="S11" s="84">
        <f>'18'!AD14</f>
        <v>0</v>
      </c>
      <c r="T11" s="84">
        <f>'19'!AD14</f>
        <v>0</v>
      </c>
      <c r="U11" s="84">
        <f>'20'!AD15</f>
        <v>0</v>
      </c>
      <c r="V11" s="84">
        <f>'21'!AD15</f>
        <v>0</v>
      </c>
      <c r="W11" s="84">
        <f>'22'!AD16</f>
        <v>0</v>
      </c>
      <c r="X11" s="84">
        <f>'23'!AD14</f>
        <v>0</v>
      </c>
      <c r="Y11" s="84">
        <f>'24'!AD14</f>
        <v>0</v>
      </c>
      <c r="Z11" s="84">
        <f>'25'!AD14</f>
        <v>0</v>
      </c>
      <c r="AA11" s="84">
        <f>'26'!AD15</f>
        <v>0</v>
      </c>
      <c r="AB11" s="84">
        <f>'27'!AD14</f>
        <v>0</v>
      </c>
      <c r="AC11" s="84">
        <f>'28'!AD16</f>
        <v>0.66607142857142854</v>
      </c>
      <c r="AD11" s="84">
        <f>'29'!AD14</f>
        <v>0</v>
      </c>
      <c r="AE11" s="84">
        <f>'30'!AD15</f>
        <v>0</v>
      </c>
      <c r="AF11" s="85"/>
      <c r="AG11" s="86">
        <f t="shared" si="0"/>
        <v>3.1924603174603175E-2</v>
      </c>
    </row>
    <row r="12" spans="1:33" ht="21.75" customHeight="1">
      <c r="A12" s="118" t="s">
        <v>71</v>
      </c>
      <c r="B12" s="113">
        <f>'01'!AD15</f>
        <v>0</v>
      </c>
      <c r="C12" s="113"/>
      <c r="D12" s="84"/>
      <c r="E12" s="84">
        <f>'04'!AD15</f>
        <v>0</v>
      </c>
      <c r="F12" s="84">
        <f>'05'!AD15</f>
        <v>0</v>
      </c>
      <c r="G12" s="84">
        <f>'06'!AD15</f>
        <v>0</v>
      </c>
      <c r="H12" s="84">
        <f>'07'!AD15</f>
        <v>0.33076923076923076</v>
      </c>
      <c r="I12" s="84">
        <f>'08'!AD15</f>
        <v>0</v>
      </c>
      <c r="J12" s="84"/>
      <c r="K12" s="84"/>
      <c r="L12" s="84">
        <f>'11'!AD15</f>
        <v>0</v>
      </c>
      <c r="M12" s="84">
        <f>'12'!AD16</f>
        <v>0</v>
      </c>
      <c r="N12" s="84">
        <f>'13'!AD15</f>
        <v>0</v>
      </c>
      <c r="O12" s="84">
        <f>'14'!AD16</f>
        <v>0</v>
      </c>
      <c r="P12" s="84">
        <f>'15'!AD15</f>
        <v>0</v>
      </c>
      <c r="Q12" s="84">
        <f>'16'!AD15</f>
        <v>0</v>
      </c>
      <c r="R12" s="84"/>
      <c r="S12" s="84">
        <f>'18'!AD15</f>
        <v>0</v>
      </c>
      <c r="T12" s="84">
        <f>'19'!AD15</f>
        <v>0</v>
      </c>
      <c r="U12" s="84">
        <f>'20'!AD16</f>
        <v>0</v>
      </c>
      <c r="V12" s="84">
        <f>'21'!AD16</f>
        <v>0</v>
      </c>
      <c r="W12" s="84">
        <f>'22'!AD17</f>
        <v>0</v>
      </c>
      <c r="X12" s="84">
        <f>'23'!AD15</f>
        <v>0</v>
      </c>
      <c r="Y12" s="84">
        <f>'24'!AD15</f>
        <v>0</v>
      </c>
      <c r="Z12" s="84">
        <f>'25'!AD15</f>
        <v>0</v>
      </c>
      <c r="AA12" s="84">
        <f>'26'!AD16</f>
        <v>0</v>
      </c>
      <c r="AB12" s="84">
        <f>'27'!AD15</f>
        <v>0</v>
      </c>
      <c r="AC12" s="84">
        <f>'28'!AD17</f>
        <v>0.2078059071729958</v>
      </c>
      <c r="AD12" s="84">
        <f>'29'!AD15</f>
        <v>0.41514227642276424</v>
      </c>
      <c r="AE12" s="84">
        <f>'30'!AD16</f>
        <v>0</v>
      </c>
      <c r="AF12" s="85"/>
      <c r="AG12" s="86">
        <f t="shared" si="0"/>
        <v>3.1790580478833028E-2</v>
      </c>
    </row>
    <row r="13" spans="1:33" ht="21.75" customHeight="1">
      <c r="A13" s="118" t="s">
        <v>72</v>
      </c>
      <c r="B13" s="113">
        <f>'01'!AD16</f>
        <v>0.87459112149532714</v>
      </c>
      <c r="C13" s="113"/>
      <c r="D13" s="84"/>
      <c r="E13" s="84">
        <f>'04'!AD16</f>
        <v>0.99919839679358713</v>
      </c>
      <c r="F13" s="84">
        <f>'05'!AD16</f>
        <v>0.99943820224719104</v>
      </c>
      <c r="G13" s="84">
        <f>'06'!AD16</f>
        <v>0.83183183183183185</v>
      </c>
      <c r="H13" s="84">
        <f>'07'!AD16</f>
        <v>0.83290118121578804</v>
      </c>
      <c r="I13" s="84">
        <f>'08'!AD16</f>
        <v>0.20829732065687123</v>
      </c>
      <c r="J13" s="84"/>
      <c r="K13" s="84"/>
      <c r="L13" s="84">
        <f>'11'!AD16</f>
        <v>1</v>
      </c>
      <c r="M13" s="84">
        <f>'12'!AD17</f>
        <v>0.66666666666666663</v>
      </c>
      <c r="N13" s="84">
        <f>'13'!AD16</f>
        <v>0.91523437499999993</v>
      </c>
      <c r="O13" s="84">
        <f>'14'!AD17+'14'!AD18</f>
        <v>0.87331065658999263</v>
      </c>
      <c r="P13" s="84">
        <f>'15'!AD16</f>
        <v>0.99892280071813289</v>
      </c>
      <c r="Q13" s="84">
        <f>'16'!AD16</f>
        <v>0.9987628865979381</v>
      </c>
      <c r="R13" s="84"/>
      <c r="S13" s="84">
        <f>'18'!AD16+'18'!AD17</f>
        <v>0.58210536910821609</v>
      </c>
      <c r="T13" s="84">
        <f>'19'!AD16</f>
        <v>0.99913644214162345</v>
      </c>
      <c r="U13" s="84">
        <f>'20'!AD17</f>
        <v>0.99965217391304351</v>
      </c>
      <c r="V13" s="84">
        <f>'21'!AD17</f>
        <v>0.99860869565217392</v>
      </c>
      <c r="W13" s="84">
        <f>'22'!AD18</f>
        <v>0.58169590643274849</v>
      </c>
      <c r="X13" s="84">
        <f>'23'!AD16</f>
        <v>0.58139963167587483</v>
      </c>
      <c r="Y13" s="84">
        <f>'24'!AD16</f>
        <v>0.41666666666666669</v>
      </c>
      <c r="Z13" s="84">
        <f>'25'!AD16</f>
        <v>0.49835680751173711</v>
      </c>
      <c r="AA13" s="84">
        <f>'26'!AD17</f>
        <v>0.49905660377358491</v>
      </c>
      <c r="AB13" s="84">
        <f>'27'!AD16</f>
        <v>0.95811453576864536</v>
      </c>
      <c r="AC13" s="84">
        <f>'28'!AD18</f>
        <v>0.99814049586776854</v>
      </c>
      <c r="AD13" s="84">
        <f>'29'!AD16</f>
        <v>0.99816700610997966</v>
      </c>
      <c r="AE13" s="84">
        <f>'30'!AD17</f>
        <v>0.99836400817995907</v>
      </c>
      <c r="AF13" s="85"/>
      <c r="AG13" s="86">
        <f t="shared" si="0"/>
        <v>0.67695399275384482</v>
      </c>
    </row>
    <row r="14" spans="1:33" ht="21.75" customHeight="1">
      <c r="A14" s="118" t="s">
        <v>73</v>
      </c>
      <c r="B14" s="113">
        <f>'01'!AD17</f>
        <v>0</v>
      </c>
      <c r="C14" s="113"/>
      <c r="D14" s="84"/>
      <c r="E14" s="84">
        <f>'04'!AD17</f>
        <v>0</v>
      </c>
      <c r="F14" s="84">
        <f>'05'!AD17</f>
        <v>0</v>
      </c>
      <c r="G14" s="84">
        <f>'06'!AD17</f>
        <v>0</v>
      </c>
      <c r="H14" s="84">
        <f>'07'!AD17</f>
        <v>0</v>
      </c>
      <c r="I14" s="84">
        <f>'08'!AD17</f>
        <v>0</v>
      </c>
      <c r="J14" s="84"/>
      <c r="K14" s="84"/>
      <c r="L14" s="84">
        <f>'11'!AD17</f>
        <v>0.20833333333333334</v>
      </c>
      <c r="M14" s="84">
        <f>'12'!AD18</f>
        <v>0</v>
      </c>
      <c r="N14" s="84">
        <f>'13'!AD17</f>
        <v>0</v>
      </c>
      <c r="O14" s="84">
        <f>'14'!AD19</f>
        <v>0</v>
      </c>
      <c r="P14" s="84">
        <f>'15'!AD17</f>
        <v>0</v>
      </c>
      <c r="Q14" s="84">
        <f>'16'!AD17</f>
        <v>0</v>
      </c>
      <c r="R14" s="84"/>
      <c r="S14" s="84">
        <f>'18'!AD18</f>
        <v>0</v>
      </c>
      <c r="T14" s="84">
        <f>'19'!AD17</f>
        <v>0</v>
      </c>
      <c r="U14" s="84">
        <f>'20'!AD18</f>
        <v>0</v>
      </c>
      <c r="V14" s="84">
        <f>'21'!AD18</f>
        <v>0</v>
      </c>
      <c r="W14" s="84">
        <f>'22'!AD19</f>
        <v>0.5</v>
      </c>
      <c r="X14" s="84">
        <f>'23'!AD17</f>
        <v>0</v>
      </c>
      <c r="Y14" s="84">
        <f>'24'!AD17</f>
        <v>0</v>
      </c>
      <c r="Z14" s="84">
        <f>'25'!AD17</f>
        <v>0</v>
      </c>
      <c r="AA14" s="84">
        <f>'26'!AD18</f>
        <v>0.91646974579305396</v>
      </c>
      <c r="AB14" s="84">
        <f>'27'!AD17</f>
        <v>0.25</v>
      </c>
      <c r="AC14" s="84">
        <f>'28'!AD19</f>
        <v>0</v>
      </c>
      <c r="AD14" s="84">
        <f>'29'!AD17</f>
        <v>0.54166666666666663</v>
      </c>
      <c r="AE14" s="84">
        <f>'30'!AD18</f>
        <v>0.99891640866873066</v>
      </c>
      <c r="AF14" s="85"/>
      <c r="AG14" s="86">
        <f t="shared" si="0"/>
        <v>0.11384620514872615</v>
      </c>
    </row>
    <row r="15" spans="1:33" ht="21.75" customHeight="1">
      <c r="A15" s="119" t="s">
        <v>74</v>
      </c>
      <c r="B15" s="114">
        <f>'01'!AD18</f>
        <v>0.99948453608247423</v>
      </c>
      <c r="C15" s="114"/>
      <c r="D15" s="87"/>
      <c r="E15" s="87">
        <f>'04'!AD18</f>
        <v>0.37376644736842107</v>
      </c>
      <c r="F15" s="87">
        <f>'05'!AD18</f>
        <v>0.9997971602434077</v>
      </c>
      <c r="G15" s="87">
        <f>'06'!AD18</f>
        <v>0.99944547134935302</v>
      </c>
      <c r="H15" s="87">
        <f>'07'!AD18</f>
        <v>0.99981412639405209</v>
      </c>
      <c r="I15" s="87">
        <f>'08'!AD18</f>
        <v>0.41648629148629152</v>
      </c>
      <c r="J15" s="87"/>
      <c r="K15" s="87"/>
      <c r="L15" s="87">
        <f>'11'!AD18</f>
        <v>0</v>
      </c>
      <c r="M15" s="87">
        <f>'12'!AD19</f>
        <v>0</v>
      </c>
      <c r="N15" s="87">
        <f>'13'!AD18</f>
        <v>0</v>
      </c>
      <c r="O15" s="87">
        <f>'14'!AD20</f>
        <v>0.58333333333333337</v>
      </c>
      <c r="P15" s="87">
        <f>'15'!AD18+'15'!AD19</f>
        <v>0.91470600650035871</v>
      </c>
      <c r="Q15" s="87">
        <f>'16'!AD18</f>
        <v>0.7338506711409396</v>
      </c>
      <c r="R15" s="87"/>
      <c r="S15" s="87">
        <f>'18'!AD19</f>
        <v>0.95708604483007964</v>
      </c>
      <c r="T15" s="87">
        <f>'19'!AD18</f>
        <v>0.99849056603773589</v>
      </c>
      <c r="U15" s="87">
        <f>'20'!AD19</f>
        <v>0.99929078014184403</v>
      </c>
      <c r="V15" s="87">
        <f>'21'!AD19</f>
        <v>0.78983032646048112</v>
      </c>
      <c r="W15" s="87">
        <f>'22'!AD20</f>
        <v>1</v>
      </c>
      <c r="X15" s="87">
        <f>'23'!AD18</f>
        <v>0.98509433962264148</v>
      </c>
      <c r="Y15" s="87">
        <f>'24'!AD18</f>
        <v>0</v>
      </c>
      <c r="Z15" s="87">
        <f>'25'!AD18</f>
        <v>0.9567655078391275</v>
      </c>
      <c r="AA15" s="87">
        <f>'26'!AD19</f>
        <v>0.91645927601809951</v>
      </c>
      <c r="AB15" s="87">
        <f>'27'!AD18</f>
        <v>0.95812986553432422</v>
      </c>
      <c r="AC15" s="87">
        <f>'28'!AD20</f>
        <v>0.99904030710172742</v>
      </c>
      <c r="AD15" s="87">
        <f>'29'!AD18</f>
        <v>0.95678451178451185</v>
      </c>
      <c r="AE15" s="87">
        <f>'30'!AD19</f>
        <v>0.87414004914004906</v>
      </c>
      <c r="AF15" s="88"/>
      <c r="AG15" s="89">
        <f t="shared" si="0"/>
        <v>0.61372652061364186</v>
      </c>
    </row>
    <row r="16" spans="1:33" ht="21.75" customHeight="1">
      <c r="A16" s="119" t="s">
        <v>75</v>
      </c>
      <c r="B16" s="114">
        <f>'01'!AD19</f>
        <v>0.875</v>
      </c>
      <c r="C16" s="114"/>
      <c r="D16" s="87"/>
      <c r="E16" s="87">
        <f>'04'!AD19</f>
        <v>0.99869848156182217</v>
      </c>
      <c r="F16" s="87">
        <f>'05'!AD19</f>
        <v>0.95657312925170068</v>
      </c>
      <c r="G16" s="87">
        <f>'06'!AD19</f>
        <v>0.99941520467836253</v>
      </c>
      <c r="H16" s="87">
        <f>'07'!AD19</f>
        <v>0.99921875000000004</v>
      </c>
      <c r="I16" s="87">
        <f>'08'!AD19</f>
        <v>0.16553030303030303</v>
      </c>
      <c r="J16" s="87"/>
      <c r="K16" s="87"/>
      <c r="L16" s="87">
        <f>'11'!AD19</f>
        <v>0.99936034115138594</v>
      </c>
      <c r="M16" s="87">
        <f>'12'!AD20</f>
        <v>0.58313287514318446</v>
      </c>
      <c r="N16" s="87">
        <f>'13'!AD19</f>
        <v>0.66471861471861471</v>
      </c>
      <c r="O16" s="87">
        <f>'14'!AD21</f>
        <v>0.99960552268244574</v>
      </c>
      <c r="P16" s="87">
        <f>'15'!AD20</f>
        <v>0.99857723577235769</v>
      </c>
      <c r="Q16" s="87">
        <f>'16'!AD19</f>
        <v>0.79110119047619043</v>
      </c>
      <c r="R16" s="87"/>
      <c r="S16" s="87">
        <f>'18'!AD20</f>
        <v>0.99936170212765962</v>
      </c>
      <c r="T16" s="87">
        <f>'19'!AD19</f>
        <v>0.99883040935672518</v>
      </c>
      <c r="U16" s="87">
        <f>'20'!AD20</f>
        <v>0.7493012422360249</v>
      </c>
      <c r="V16" s="87">
        <f>'21'!AD20</f>
        <v>0.99823874755381603</v>
      </c>
      <c r="W16" s="87">
        <f>'22'!AD21</f>
        <v>0.99918032786885247</v>
      </c>
      <c r="X16" s="87">
        <f>'23'!AD19</f>
        <v>0.99820224719101125</v>
      </c>
      <c r="Y16" s="87">
        <f>'24'!AD19</f>
        <v>0.99938900203665992</v>
      </c>
      <c r="Z16" s="87">
        <f>'25'!AD19</f>
        <v>0.99958932238193021</v>
      </c>
      <c r="AA16" s="87">
        <f>'26'!AD20</f>
        <v>0.9989429175475687</v>
      </c>
      <c r="AB16" s="87">
        <f>'27'!AD19</f>
        <v>0.53970588235294115</v>
      </c>
      <c r="AC16" s="87">
        <f>'28'!AD21</f>
        <v>1</v>
      </c>
      <c r="AD16" s="87">
        <f>'29'!AD19</f>
        <v>0.99858012170385391</v>
      </c>
      <c r="AE16" s="87">
        <f>'30'!AD20</f>
        <v>0.99877800407331974</v>
      </c>
      <c r="AF16" s="88"/>
      <c r="AG16" s="89">
        <f t="shared" si="0"/>
        <v>0.74363438582989094</v>
      </c>
    </row>
    <row r="17" spans="1:33" ht="21.75" customHeight="1" thickBot="1">
      <c r="A17" s="120" t="s">
        <v>113</v>
      </c>
      <c r="B17" s="115">
        <f>'01'!AD20</f>
        <v>1</v>
      </c>
      <c r="C17" s="115"/>
      <c r="D17" s="90"/>
      <c r="E17" s="90">
        <f>'04'!AD20</f>
        <v>0.99992187499999996</v>
      </c>
      <c r="F17" s="90">
        <f>'05'!AD20</f>
        <v>0.87488157004286027</v>
      </c>
      <c r="G17" s="90">
        <f>'06'!AD20</f>
        <v>0.99996630160067401</v>
      </c>
      <c r="H17" s="90">
        <f>'07'!AD20</f>
        <v>0.99988899167437562</v>
      </c>
      <c r="I17" s="90">
        <f>'08'!AD20</f>
        <v>0.41660539215686276</v>
      </c>
      <c r="J17" s="90"/>
      <c r="K17" s="90"/>
      <c r="L17" s="90">
        <f>'11'!AD20</f>
        <v>0.95666981132075479</v>
      </c>
      <c r="M17" s="90">
        <f>'12'!AD21</f>
        <v>0.99986527450319973</v>
      </c>
      <c r="N17" s="90">
        <f>'13'!AD20</f>
        <v>1</v>
      </c>
      <c r="O17" s="90">
        <f>'14'!AD22</f>
        <v>0.99993016759776532</v>
      </c>
      <c r="P17" s="90">
        <f>'15'!AD21</f>
        <v>0</v>
      </c>
      <c r="Q17" s="90">
        <f>'16'!AD20</f>
        <v>0.95833333333333337</v>
      </c>
      <c r="R17" s="90"/>
      <c r="S17" s="90">
        <f>'18'!AD21</f>
        <v>1</v>
      </c>
      <c r="T17" s="90">
        <f>'19'!AD20</f>
        <v>0.99996577100804385</v>
      </c>
      <c r="U17" s="90">
        <f>'20'!AD21</f>
        <v>0.99986413043478262</v>
      </c>
      <c r="V17" s="90">
        <f>'21'!AD21</f>
        <v>1</v>
      </c>
      <c r="W17" s="90">
        <f>'22'!AD22</f>
        <v>0.70680180180180185</v>
      </c>
      <c r="X17" s="90">
        <f>'23'!AD20</f>
        <v>0</v>
      </c>
      <c r="Y17" s="90">
        <f>'24'!AD20</f>
        <v>0</v>
      </c>
      <c r="Z17" s="90">
        <f>'25'!AD20</f>
        <v>0</v>
      </c>
      <c r="AA17" s="90">
        <f>'26'!AD21</f>
        <v>0</v>
      </c>
      <c r="AB17" s="90">
        <f>'27'!AD20</f>
        <v>0</v>
      </c>
      <c r="AC17" s="90">
        <f>'28'!AD22</f>
        <v>0</v>
      </c>
      <c r="AD17" s="90">
        <f>'29'!AD20</f>
        <v>0</v>
      </c>
      <c r="AE17" s="90">
        <f>'30'!AD21</f>
        <v>0</v>
      </c>
      <c r="AF17" s="91"/>
      <c r="AG17" s="92">
        <f t="shared" si="0"/>
        <v>0.4970898140158152</v>
      </c>
    </row>
    <row r="18" spans="1:33" s="93" customFormat="1" ht="21.75" customHeight="1">
      <c r="A18" s="97" t="s">
        <v>107</v>
      </c>
      <c r="B18" s="101">
        <f>'01'!AD21</f>
        <v>0.4996384946665961</v>
      </c>
      <c r="C18" s="101"/>
      <c r="D18" s="102"/>
      <c r="E18" s="102">
        <f>'04'!AD21</f>
        <v>0.48286028032089784</v>
      </c>
      <c r="F18" s="102">
        <f>'05'!AD21</f>
        <v>0.44964149023012173</v>
      </c>
      <c r="G18" s="102">
        <f>'06'!AD21</f>
        <v>0.52431266056171799</v>
      </c>
      <c r="H18" s="102">
        <f>'07'!AD21</f>
        <v>0.59933300014853308</v>
      </c>
      <c r="I18" s="102">
        <f>'08'!AD21</f>
        <v>0.1275272405952719</v>
      </c>
      <c r="J18" s="102"/>
      <c r="K18" s="102"/>
      <c r="L18" s="102">
        <f>'11'!AD21</f>
        <v>0.43026079856354849</v>
      </c>
      <c r="M18" s="102">
        <f>'12'!AD22</f>
        <v>0.40522929135047792</v>
      </c>
      <c r="N18" s="102">
        <f>'13'!AD21</f>
        <v>0.48423301126952184</v>
      </c>
      <c r="O18" s="102">
        <f>'14'!AD23</f>
        <v>0.45479572399655638</v>
      </c>
      <c r="P18" s="102">
        <f>'15'!AD22</f>
        <v>0.46600682311108238</v>
      </c>
      <c r="Q18" s="102">
        <f>'16'!AD21</f>
        <v>0.50975459785195865</v>
      </c>
      <c r="R18" s="102"/>
      <c r="S18" s="102">
        <f>'18'!AD22</f>
        <v>0.56344125125260525</v>
      </c>
      <c r="T18" s="102">
        <f>'19'!AD21</f>
        <v>0.58556427613144713</v>
      </c>
      <c r="U18" s="102">
        <f>'20'!AD22</f>
        <v>0.55500358959791662</v>
      </c>
      <c r="V18" s="102">
        <f>'21'!AD22</f>
        <v>0.53117083733139259</v>
      </c>
      <c r="W18" s="102">
        <f>'22'!AD23</f>
        <v>0.64576032793441651</v>
      </c>
      <c r="X18" s="102">
        <f>'23'!AD21</f>
        <v>0.49279427645823842</v>
      </c>
      <c r="Y18" s="102">
        <f>'24'!AD21</f>
        <v>0.29691769953845687</v>
      </c>
      <c r="Z18" s="102">
        <f>'25'!AD21</f>
        <v>0.54671921433015469</v>
      </c>
      <c r="AA18" s="102">
        <f>'26'!AD22</f>
        <v>0.46899656788204525</v>
      </c>
      <c r="AB18" s="102">
        <f>'27'!AD21</f>
        <v>0.47171085092290393</v>
      </c>
      <c r="AC18" s="102">
        <f>'28'!AD23</f>
        <v>0.57994977941653736</v>
      </c>
      <c r="AD18" s="102">
        <f>'29'!AD21</f>
        <v>0.60200606017580316</v>
      </c>
      <c r="AE18" s="102">
        <f>'30'!AD22</f>
        <v>0.55217538422411605</v>
      </c>
      <c r="AF18" s="103"/>
      <c r="AG18" s="106">
        <f t="shared" si="0"/>
        <v>0.41086011759541058</v>
      </c>
    </row>
    <row r="19" spans="1:33" ht="21.75" customHeight="1" thickBot="1">
      <c r="A19" s="76" t="s">
        <v>111</v>
      </c>
      <c r="B19" s="77">
        <v>0.7</v>
      </c>
      <c r="C19" s="78">
        <v>0.7</v>
      </c>
      <c r="D19" s="78">
        <v>0.7</v>
      </c>
      <c r="E19" s="78">
        <v>0.7</v>
      </c>
      <c r="F19" s="78">
        <v>0.7</v>
      </c>
      <c r="G19" s="78">
        <v>0.7</v>
      </c>
      <c r="H19" s="78">
        <v>0.7</v>
      </c>
      <c r="I19" s="78">
        <v>0.7</v>
      </c>
      <c r="J19" s="78">
        <v>0.7</v>
      </c>
      <c r="K19" s="78">
        <v>0.7</v>
      </c>
      <c r="L19" s="78">
        <v>0.7</v>
      </c>
      <c r="M19" s="78">
        <v>0.7</v>
      </c>
      <c r="N19" s="78">
        <v>0.7</v>
      </c>
      <c r="O19" s="78">
        <v>0.7</v>
      </c>
      <c r="P19" s="78">
        <v>0.7</v>
      </c>
      <c r="Q19" s="78">
        <v>0.7</v>
      </c>
      <c r="R19" s="78">
        <v>0.7</v>
      </c>
      <c r="S19" s="78">
        <v>0.7</v>
      </c>
      <c r="T19" s="78">
        <v>0.7</v>
      </c>
      <c r="U19" s="78">
        <v>0.7</v>
      </c>
      <c r="V19" s="78">
        <v>0.7</v>
      </c>
      <c r="W19" s="78">
        <v>0.7</v>
      </c>
      <c r="X19" s="78">
        <v>0.7</v>
      </c>
      <c r="Y19" s="78">
        <v>0.7</v>
      </c>
      <c r="Z19" s="78">
        <v>0.7</v>
      </c>
      <c r="AA19" s="78">
        <v>0.7</v>
      </c>
      <c r="AB19" s="78">
        <v>0.7</v>
      </c>
      <c r="AC19" s="78">
        <v>0.7</v>
      </c>
      <c r="AD19" s="78">
        <v>0.7</v>
      </c>
      <c r="AE19" s="78">
        <v>0.7</v>
      </c>
      <c r="AF19" s="79">
        <v>0.7</v>
      </c>
      <c r="AG19" s="80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J86"/>
  <sheetViews>
    <sheetView topLeftCell="A37" zoomScale="72" zoomScaleNormal="72" zoomScaleSheetLayoutView="70" workbookViewId="0">
      <selection activeCell="F79" sqref="F79:J7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484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223" t="s">
        <v>17</v>
      </c>
      <c r="L5" s="223" t="s">
        <v>18</v>
      </c>
      <c r="M5" s="223" t="s">
        <v>19</v>
      </c>
      <c r="N5" s="22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11" si="7">$AD$21</f>
        <v>0.48423301126952184</v>
      </c>
      <c r="AF6" s="94">
        <f t="shared" ref="AF6:AF20" si="8">A6</f>
        <v>1</v>
      </c>
    </row>
    <row r="7" spans="1:36" ht="27" customHeight="1">
      <c r="A7" s="108">
        <v>2</v>
      </c>
      <c r="B7" s="11" t="s">
        <v>404</v>
      </c>
      <c r="C7" s="37" t="s">
        <v>119</v>
      </c>
      <c r="D7" s="55" t="s">
        <v>151</v>
      </c>
      <c r="E7" s="57" t="s">
        <v>171</v>
      </c>
      <c r="F7" s="33" t="s">
        <v>133</v>
      </c>
      <c r="G7" s="12">
        <v>1</v>
      </c>
      <c r="H7" s="13">
        <v>25</v>
      </c>
      <c r="I7" s="34">
        <v>20000</v>
      </c>
      <c r="J7" s="5">
        <v>4620</v>
      </c>
      <c r="K7" s="15">
        <f>L7+2137+4653</f>
        <v>11405</v>
      </c>
      <c r="L7" s="15">
        <f>2458+2157</f>
        <v>4615</v>
      </c>
      <c r="M7" s="16">
        <f t="shared" si="0"/>
        <v>4615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0.99891774891774887</v>
      </c>
      <c r="AC7" s="9">
        <f t="shared" si="5"/>
        <v>1</v>
      </c>
      <c r="AD7" s="10">
        <f t="shared" si="6"/>
        <v>0.99891774891774887</v>
      </c>
      <c r="AE7" s="39">
        <f t="shared" si="7"/>
        <v>0.48423301126952184</v>
      </c>
      <c r="AF7" s="94">
        <f t="shared" si="8"/>
        <v>2</v>
      </c>
    </row>
    <row r="8" spans="1:36" ht="27" customHeight="1">
      <c r="A8" s="109">
        <v>3</v>
      </c>
      <c r="B8" s="11" t="s">
        <v>404</v>
      </c>
      <c r="C8" s="11" t="s">
        <v>119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30000</v>
      </c>
      <c r="J8" s="14">
        <v>2860</v>
      </c>
      <c r="K8" s="15">
        <f>8000+L8+4566+5171</f>
        <v>20597</v>
      </c>
      <c r="L8" s="15">
        <f>2860</f>
        <v>2860</v>
      </c>
      <c r="M8" s="16">
        <f t="shared" si="0"/>
        <v>2860</v>
      </c>
      <c r="N8" s="16">
        <v>0</v>
      </c>
      <c r="O8" s="62">
        <f t="shared" si="1"/>
        <v>0</v>
      </c>
      <c r="P8" s="42">
        <f t="shared" si="2"/>
        <v>15</v>
      </c>
      <c r="Q8" s="43">
        <f t="shared" si="3"/>
        <v>9</v>
      </c>
      <c r="R8" s="7"/>
      <c r="S8" s="6">
        <v>9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0.625</v>
      </c>
      <c r="AD8" s="10">
        <f t="shared" si="6"/>
        <v>0.625</v>
      </c>
      <c r="AE8" s="39">
        <f t="shared" si="7"/>
        <v>0.48423301126952184</v>
      </c>
      <c r="AF8" s="94">
        <f>A8</f>
        <v>3</v>
      </c>
    </row>
    <row r="9" spans="1:36" ht="27" customHeight="1">
      <c r="A9" s="110">
        <v>4</v>
      </c>
      <c r="B9" s="11" t="s">
        <v>439</v>
      </c>
      <c r="C9" s="11" t="s">
        <v>326</v>
      </c>
      <c r="D9" s="55" t="s">
        <v>437</v>
      </c>
      <c r="E9" s="56" t="s">
        <v>438</v>
      </c>
      <c r="F9" s="12" t="s">
        <v>440</v>
      </c>
      <c r="G9" s="36">
        <v>1</v>
      </c>
      <c r="H9" s="38">
        <v>25</v>
      </c>
      <c r="I9" s="34">
        <v>650</v>
      </c>
      <c r="J9" s="5">
        <v>1160</v>
      </c>
      <c r="K9" s="15">
        <f>L9+4324</f>
        <v>5481</v>
      </c>
      <c r="L9" s="15">
        <v>1157</v>
      </c>
      <c r="M9" s="16">
        <f t="shared" si="0"/>
        <v>1157</v>
      </c>
      <c r="N9" s="16">
        <v>0</v>
      </c>
      <c r="O9" s="62">
        <f t="shared" si="1"/>
        <v>0</v>
      </c>
      <c r="P9" s="42">
        <f t="shared" si="2"/>
        <v>8</v>
      </c>
      <c r="Q9" s="43">
        <f t="shared" si="3"/>
        <v>16</v>
      </c>
      <c r="R9" s="7"/>
      <c r="S9" s="6"/>
      <c r="T9" s="17"/>
      <c r="U9" s="17"/>
      <c r="V9" s="18">
        <v>16</v>
      </c>
      <c r="W9" s="19"/>
      <c r="X9" s="17"/>
      <c r="Y9" s="20"/>
      <c r="Z9" s="20"/>
      <c r="AA9" s="21"/>
      <c r="AB9" s="8">
        <f t="shared" si="4"/>
        <v>0.99741379310344824</v>
      </c>
      <c r="AC9" s="9">
        <f t="shared" si="5"/>
        <v>0.33333333333333331</v>
      </c>
      <c r="AD9" s="10">
        <f t="shared" si="6"/>
        <v>0.33247126436781604</v>
      </c>
      <c r="AE9" s="39">
        <f t="shared" si="7"/>
        <v>0.48423301126952184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251</v>
      </c>
      <c r="D10" s="55" t="s">
        <v>291</v>
      </c>
      <c r="E10" s="57" t="s">
        <v>331</v>
      </c>
      <c r="F10" s="12" t="s">
        <v>254</v>
      </c>
      <c r="G10" s="12">
        <v>1</v>
      </c>
      <c r="H10" s="13">
        <v>25</v>
      </c>
      <c r="I10" s="34">
        <v>2000</v>
      </c>
      <c r="J10" s="14">
        <v>421</v>
      </c>
      <c r="K10" s="15">
        <f>L10+703+47+812</f>
        <v>1983</v>
      </c>
      <c r="L10" s="15">
        <v>421</v>
      </c>
      <c r="M10" s="16">
        <f t="shared" si="0"/>
        <v>421</v>
      </c>
      <c r="N10" s="16">
        <v>0</v>
      </c>
      <c r="O10" s="62">
        <f t="shared" si="1"/>
        <v>0</v>
      </c>
      <c r="P10" s="42">
        <f t="shared" si="2"/>
        <v>7</v>
      </c>
      <c r="Q10" s="43">
        <f t="shared" si="3"/>
        <v>17</v>
      </c>
      <c r="R10" s="7"/>
      <c r="S10" s="6">
        <v>3</v>
      </c>
      <c r="T10" s="17"/>
      <c r="U10" s="17"/>
      <c r="V10" s="18">
        <v>14</v>
      </c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0.29166666666666669</v>
      </c>
      <c r="AD10" s="10">
        <f t="shared" si="6"/>
        <v>0.29166666666666669</v>
      </c>
      <c r="AE10" s="39">
        <f t="shared" si="7"/>
        <v>0.48423301126952184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118</v>
      </c>
      <c r="D11" s="55" t="s">
        <v>485</v>
      </c>
      <c r="E11" s="56" t="s">
        <v>486</v>
      </c>
      <c r="F11" s="12">
        <v>8301</v>
      </c>
      <c r="G11" s="12">
        <v>1</v>
      </c>
      <c r="H11" s="13">
        <v>25</v>
      </c>
      <c r="I11" s="34">
        <v>5000</v>
      </c>
      <c r="J11" s="14">
        <v>4670</v>
      </c>
      <c r="K11" s="15">
        <f>L11</f>
        <v>4563</v>
      </c>
      <c r="L11" s="15">
        <f>2750+1813</f>
        <v>4563</v>
      </c>
      <c r="M11" s="16">
        <f t="shared" si="0"/>
        <v>4563</v>
      </c>
      <c r="N11" s="16">
        <v>0</v>
      </c>
      <c r="O11" s="62">
        <f t="shared" si="1"/>
        <v>0</v>
      </c>
      <c r="P11" s="42">
        <f t="shared" si="2"/>
        <v>23</v>
      </c>
      <c r="Q11" s="43">
        <f t="shared" si="3"/>
        <v>1</v>
      </c>
      <c r="R11" s="7"/>
      <c r="S11" s="6"/>
      <c r="T11" s="17">
        <v>1</v>
      </c>
      <c r="U11" s="17"/>
      <c r="V11" s="18"/>
      <c r="W11" s="19"/>
      <c r="X11" s="17"/>
      <c r="Y11" s="20"/>
      <c r="Z11" s="20"/>
      <c r="AA11" s="21"/>
      <c r="AB11" s="8">
        <f t="shared" si="4"/>
        <v>0.97708779443254823</v>
      </c>
      <c r="AC11" s="9">
        <f t="shared" si="5"/>
        <v>0.95833333333333337</v>
      </c>
      <c r="AD11" s="10">
        <f t="shared" si="6"/>
        <v>0.93637580299785872</v>
      </c>
      <c r="AE11" s="39">
        <f t="shared" si="7"/>
        <v>0.48423301126952184</v>
      </c>
      <c r="AF11" s="94">
        <f t="shared" si="8"/>
        <v>6</v>
      </c>
    </row>
    <row r="12" spans="1:36" ht="27" customHeight="1">
      <c r="A12" s="110">
        <v>7</v>
      </c>
      <c r="B12" s="11" t="s">
        <v>441</v>
      </c>
      <c r="C12" s="11" t="s">
        <v>293</v>
      </c>
      <c r="D12" s="55" t="s">
        <v>294</v>
      </c>
      <c r="E12" s="57" t="s">
        <v>295</v>
      </c>
      <c r="F12" s="12" t="s">
        <v>296</v>
      </c>
      <c r="G12" s="12">
        <v>1</v>
      </c>
      <c r="H12" s="13">
        <v>25</v>
      </c>
      <c r="I12" s="7">
        <v>10000</v>
      </c>
      <c r="J12" s="14">
        <v>3910</v>
      </c>
      <c r="K12" s="15">
        <f>L12+3048</f>
        <v>6956</v>
      </c>
      <c r="L12" s="15">
        <f>2310+1598</f>
        <v>3908</v>
      </c>
      <c r="M12" s="16">
        <f t="shared" si="0"/>
        <v>3908</v>
      </c>
      <c r="N12" s="16">
        <v>0</v>
      </c>
      <c r="O12" s="62">
        <f t="shared" si="1"/>
        <v>0</v>
      </c>
      <c r="P12" s="42">
        <f t="shared" si="2"/>
        <v>22</v>
      </c>
      <c r="Q12" s="43">
        <f t="shared" si="3"/>
        <v>2</v>
      </c>
      <c r="R12" s="7"/>
      <c r="S12" s="6">
        <v>2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0.99948849104859339</v>
      </c>
      <c r="AC12" s="9">
        <f t="shared" si="5"/>
        <v>0.91666666666666663</v>
      </c>
      <c r="AD12" s="10">
        <f t="shared" si="6"/>
        <v>0.91619778346121061</v>
      </c>
      <c r="AE12" s="39">
        <f t="shared" ref="AE12" si="9">$AD$20</f>
        <v>1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487</v>
      </c>
      <c r="D13" s="55" t="s">
        <v>488</v>
      </c>
      <c r="E13" s="57" t="s">
        <v>489</v>
      </c>
      <c r="F13" s="12" t="s">
        <v>490</v>
      </c>
      <c r="G13" s="12">
        <v>1</v>
      </c>
      <c r="H13" s="13">
        <v>25</v>
      </c>
      <c r="I13" s="7">
        <v>5000</v>
      </c>
      <c r="J13" s="14">
        <v>5550</v>
      </c>
      <c r="K13" s="15">
        <f>L13</f>
        <v>5546</v>
      </c>
      <c r="L13" s="15">
        <f>433*2+2340*2</f>
        <v>5546</v>
      </c>
      <c r="M13" s="16">
        <f t="shared" si="0"/>
        <v>5546</v>
      </c>
      <c r="N13" s="16">
        <v>0</v>
      </c>
      <c r="O13" s="62">
        <f t="shared" si="1"/>
        <v>0</v>
      </c>
      <c r="P13" s="42">
        <f t="shared" si="2"/>
        <v>14</v>
      </c>
      <c r="Q13" s="43">
        <f t="shared" si="3"/>
        <v>10</v>
      </c>
      <c r="R13" s="7"/>
      <c r="S13" s="6"/>
      <c r="T13" s="17"/>
      <c r="U13" s="17"/>
      <c r="V13" s="18"/>
      <c r="W13" s="19">
        <v>10</v>
      </c>
      <c r="X13" s="17"/>
      <c r="Y13" s="20"/>
      <c r="Z13" s="20"/>
      <c r="AA13" s="21"/>
      <c r="AB13" s="8">
        <f t="shared" si="4"/>
        <v>0.99927927927927929</v>
      </c>
      <c r="AC13" s="9">
        <f t="shared" si="5"/>
        <v>0.58333333333333337</v>
      </c>
      <c r="AD13" s="10">
        <f t="shared" si="6"/>
        <v>0.58291291291291292</v>
      </c>
      <c r="AE13" s="39">
        <f t="shared" ref="AE13:AE20" si="10">$AD$21</f>
        <v>0.48423301126952184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159</v>
      </c>
      <c r="F14" s="33" t="s">
        <v>160</v>
      </c>
      <c r="G14" s="36">
        <v>1</v>
      </c>
      <c r="H14" s="38">
        <v>40</v>
      </c>
      <c r="I14" s="7">
        <v>200</v>
      </c>
      <c r="J14" s="5">
        <v>556</v>
      </c>
      <c r="K14" s="15">
        <f>L14+106+556</f>
        <v>662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10"/>
        <v>0.48423301126952184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334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L15+903</f>
        <v>903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10"/>
        <v>0.48423301126952184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491</v>
      </c>
      <c r="D16" s="55" t="s">
        <v>492</v>
      </c>
      <c r="E16" s="56" t="s">
        <v>493</v>
      </c>
      <c r="F16" s="12">
        <v>7301</v>
      </c>
      <c r="G16" s="36">
        <v>1</v>
      </c>
      <c r="H16" s="38">
        <v>25</v>
      </c>
      <c r="I16" s="7">
        <v>4000</v>
      </c>
      <c r="J16" s="14">
        <v>3840</v>
      </c>
      <c r="K16" s="15">
        <f>L16</f>
        <v>3834</v>
      </c>
      <c r="L16" s="15">
        <f>2299+1535</f>
        <v>3834</v>
      </c>
      <c r="M16" s="16">
        <f t="shared" si="0"/>
        <v>3834</v>
      </c>
      <c r="N16" s="16">
        <v>0</v>
      </c>
      <c r="O16" s="62">
        <f t="shared" si="1"/>
        <v>0</v>
      </c>
      <c r="P16" s="42">
        <f t="shared" si="2"/>
        <v>22</v>
      </c>
      <c r="Q16" s="43">
        <f t="shared" si="3"/>
        <v>2</v>
      </c>
      <c r="R16" s="7"/>
      <c r="S16" s="6"/>
      <c r="T16" s="17">
        <v>2</v>
      </c>
      <c r="U16" s="17"/>
      <c r="V16" s="18"/>
      <c r="W16" s="19"/>
      <c r="X16" s="17"/>
      <c r="Y16" s="20"/>
      <c r="Z16" s="20"/>
      <c r="AA16" s="21"/>
      <c r="AB16" s="8">
        <f t="shared" si="4"/>
        <v>0.99843749999999998</v>
      </c>
      <c r="AC16" s="9">
        <f t="shared" si="5"/>
        <v>0.91666666666666663</v>
      </c>
      <c r="AD16" s="10">
        <f t="shared" si="6"/>
        <v>0.91523437499999993</v>
      </c>
      <c r="AE16" s="39">
        <f t="shared" si="10"/>
        <v>0.48423301126952184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410</v>
      </c>
      <c r="D17" s="55" t="s">
        <v>411</v>
      </c>
      <c r="E17" s="56" t="s">
        <v>412</v>
      </c>
      <c r="F17" s="12">
        <v>8301</v>
      </c>
      <c r="G17" s="12">
        <v>1</v>
      </c>
      <c r="H17" s="13">
        <v>25</v>
      </c>
      <c r="I17" s="34">
        <v>500</v>
      </c>
      <c r="J17" s="5">
        <v>632</v>
      </c>
      <c r="K17" s="15">
        <f>L17+632</f>
        <v>632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10"/>
        <v>0.48423301126952184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118</v>
      </c>
      <c r="D18" s="55" t="s">
        <v>216</v>
      </c>
      <c r="E18" s="57" t="s">
        <v>217</v>
      </c>
      <c r="F18" s="33" t="s">
        <v>218</v>
      </c>
      <c r="G18" s="12">
        <v>1</v>
      </c>
      <c r="H18" s="13">
        <v>25</v>
      </c>
      <c r="I18" s="34">
        <v>17000</v>
      </c>
      <c r="J18" s="5">
        <v>2310</v>
      </c>
      <c r="K18" s="15">
        <f>L18+1515+4929+5407+5379+2309</f>
        <v>19539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/>
      <c r="X18" s="17"/>
      <c r="Y18" s="20"/>
      <c r="Z18" s="20"/>
      <c r="AA18" s="21">
        <v>24</v>
      </c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10"/>
        <v>0.48423301126952184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255</v>
      </c>
      <c r="D19" s="55" t="s">
        <v>58</v>
      </c>
      <c r="E19" s="57" t="s">
        <v>134</v>
      </c>
      <c r="F19" s="33" t="s">
        <v>136</v>
      </c>
      <c r="G19" s="36">
        <v>1</v>
      </c>
      <c r="H19" s="38">
        <v>25</v>
      </c>
      <c r="I19" s="7">
        <v>30000</v>
      </c>
      <c r="J19" s="5">
        <v>3080</v>
      </c>
      <c r="K19" s="15">
        <f>L19+4891+5116+437+4687+2909</f>
        <v>21111</v>
      </c>
      <c r="L19" s="15">
        <f>2705+366</f>
        <v>3071</v>
      </c>
      <c r="M19" s="16">
        <f t="shared" si="0"/>
        <v>3071</v>
      </c>
      <c r="N19" s="16">
        <v>0</v>
      </c>
      <c r="O19" s="62">
        <f t="shared" si="1"/>
        <v>0</v>
      </c>
      <c r="P19" s="42">
        <f t="shared" si="2"/>
        <v>16</v>
      </c>
      <c r="Q19" s="43">
        <f t="shared" si="3"/>
        <v>8</v>
      </c>
      <c r="R19" s="7"/>
      <c r="S19" s="6">
        <v>8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0.99707792207792212</v>
      </c>
      <c r="AC19" s="9">
        <f t="shared" si="5"/>
        <v>0.66666666666666663</v>
      </c>
      <c r="AD19" s="10">
        <f t="shared" si="6"/>
        <v>0.66471861471861471</v>
      </c>
      <c r="AE19" s="39">
        <f t="shared" si="10"/>
        <v>0.48423301126952184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157</v>
      </c>
      <c r="F20" s="12" t="s">
        <v>117</v>
      </c>
      <c r="G20" s="12">
        <v>4</v>
      </c>
      <c r="H20" s="38">
        <v>20</v>
      </c>
      <c r="I20" s="7">
        <v>200000</v>
      </c>
      <c r="J20" s="14">
        <v>59200</v>
      </c>
      <c r="K20" s="15">
        <f>L20+40792+68628+25624+56572+59804+61268+59600+51196+44324+59348+54044+27196+52908+59372</f>
        <v>779876</v>
      </c>
      <c r="L20" s="15">
        <f>7827*4+6973*4</f>
        <v>59200</v>
      </c>
      <c r="M20" s="16">
        <f t="shared" si="0"/>
        <v>59200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1</v>
      </c>
      <c r="AD20" s="10">
        <f t="shared" si="6"/>
        <v>1</v>
      </c>
      <c r="AE20" s="39">
        <f t="shared" si="10"/>
        <v>0.48423301126952184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11">SUM(I6:I20)</f>
        <v>326000</v>
      </c>
      <c r="J21" s="22">
        <f t="shared" si="11"/>
        <v>95689</v>
      </c>
      <c r="K21" s="23">
        <f t="shared" si="11"/>
        <v>885050</v>
      </c>
      <c r="L21" s="24">
        <f t="shared" si="11"/>
        <v>89175</v>
      </c>
      <c r="M21" s="23">
        <f t="shared" si="11"/>
        <v>89175</v>
      </c>
      <c r="N21" s="24">
        <f t="shared" si="11"/>
        <v>0</v>
      </c>
      <c r="O21" s="44">
        <f t="shared" si="1"/>
        <v>0</v>
      </c>
      <c r="P21" s="45">
        <f t="shared" ref="P21:AA21" si="12">SUM(P6:P20)</f>
        <v>175</v>
      </c>
      <c r="Q21" s="46">
        <f t="shared" si="12"/>
        <v>185</v>
      </c>
      <c r="R21" s="26">
        <f t="shared" si="12"/>
        <v>24</v>
      </c>
      <c r="S21" s="27">
        <f t="shared" si="12"/>
        <v>22</v>
      </c>
      <c r="T21" s="27">
        <f t="shared" si="12"/>
        <v>3</v>
      </c>
      <c r="U21" s="27">
        <f t="shared" si="12"/>
        <v>0</v>
      </c>
      <c r="V21" s="28">
        <f t="shared" si="12"/>
        <v>30</v>
      </c>
      <c r="W21" s="29">
        <f t="shared" si="12"/>
        <v>82</v>
      </c>
      <c r="X21" s="30">
        <f t="shared" si="12"/>
        <v>0</v>
      </c>
      <c r="Y21" s="30">
        <f t="shared" si="12"/>
        <v>0</v>
      </c>
      <c r="Z21" s="30">
        <f t="shared" si="12"/>
        <v>0</v>
      </c>
      <c r="AA21" s="30">
        <f t="shared" si="12"/>
        <v>24</v>
      </c>
      <c r="AB21" s="31">
        <f>SUM(AB6:AB20)/15</f>
        <v>0.66451350192396919</v>
      </c>
      <c r="AC21" s="4">
        <f>SUM(AC6:AC20)/15</f>
        <v>0.4861111111111111</v>
      </c>
      <c r="AD21" s="4">
        <f>SUM(AD6:AD20)/15</f>
        <v>0.48423301126952184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494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504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224" t="s">
        <v>47</v>
      </c>
      <c r="D50" s="224" t="s">
        <v>48</v>
      </c>
      <c r="E50" s="224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224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443</v>
      </c>
      <c r="B51" s="446"/>
      <c r="C51" s="225" t="s">
        <v>444</v>
      </c>
      <c r="D51" s="226" t="s">
        <v>445</v>
      </c>
      <c r="E51" s="225" t="s">
        <v>446</v>
      </c>
      <c r="F51" s="447" t="s">
        <v>447</v>
      </c>
      <c r="G51" s="447"/>
      <c r="H51" s="447"/>
      <c r="I51" s="447"/>
      <c r="J51" s="447"/>
      <c r="K51" s="447"/>
      <c r="L51" s="447"/>
      <c r="M51" s="448"/>
      <c r="N51" s="227" t="s">
        <v>505</v>
      </c>
      <c r="O51" s="74" t="s">
        <v>506</v>
      </c>
      <c r="P51" s="449" t="s">
        <v>507</v>
      </c>
      <c r="Q51" s="450"/>
      <c r="R51" s="451" t="s">
        <v>508</v>
      </c>
      <c r="S51" s="451"/>
      <c r="T51" s="451"/>
      <c r="U51" s="451"/>
      <c r="V51" s="447" t="s">
        <v>509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420</v>
      </c>
      <c r="B52" s="446"/>
      <c r="C52" s="225" t="s">
        <v>421</v>
      </c>
      <c r="D52" s="226" t="s">
        <v>448</v>
      </c>
      <c r="E52" s="225" t="s">
        <v>449</v>
      </c>
      <c r="F52" s="447" t="s">
        <v>450</v>
      </c>
      <c r="G52" s="447"/>
      <c r="H52" s="447"/>
      <c r="I52" s="447"/>
      <c r="J52" s="447"/>
      <c r="K52" s="447"/>
      <c r="L52" s="447"/>
      <c r="M52" s="448"/>
      <c r="N52" s="227" t="s">
        <v>510</v>
      </c>
      <c r="O52" s="74" t="s">
        <v>502</v>
      </c>
      <c r="P52" s="449" t="s">
        <v>511</v>
      </c>
      <c r="Q52" s="450"/>
      <c r="R52" s="451" t="s">
        <v>512</v>
      </c>
      <c r="S52" s="451"/>
      <c r="T52" s="451"/>
      <c r="U52" s="451"/>
      <c r="V52" s="447" t="s">
        <v>513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451</v>
      </c>
      <c r="B53" s="446"/>
      <c r="C53" s="225" t="s">
        <v>452</v>
      </c>
      <c r="D53" s="226" t="s">
        <v>453</v>
      </c>
      <c r="E53" s="225" t="s">
        <v>454</v>
      </c>
      <c r="F53" s="447" t="s">
        <v>495</v>
      </c>
      <c r="G53" s="447"/>
      <c r="H53" s="447"/>
      <c r="I53" s="447"/>
      <c r="J53" s="447"/>
      <c r="K53" s="447"/>
      <c r="L53" s="447"/>
      <c r="M53" s="448"/>
      <c r="N53" s="227"/>
      <c r="O53" s="74"/>
      <c r="P53" s="449"/>
      <c r="Q53" s="450"/>
      <c r="R53" s="451"/>
      <c r="S53" s="451"/>
      <c r="T53" s="451"/>
      <c r="U53" s="451"/>
      <c r="V53" s="447"/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469</v>
      </c>
      <c r="B54" s="446"/>
      <c r="C54" s="225" t="s">
        <v>496</v>
      </c>
      <c r="D54" s="226" t="s">
        <v>497</v>
      </c>
      <c r="E54" s="225" t="s">
        <v>498</v>
      </c>
      <c r="F54" s="447" t="s">
        <v>499</v>
      </c>
      <c r="G54" s="447"/>
      <c r="H54" s="447"/>
      <c r="I54" s="447"/>
      <c r="J54" s="447"/>
      <c r="K54" s="447"/>
      <c r="L54" s="447"/>
      <c r="M54" s="448"/>
      <c r="N54" s="227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52" t="s">
        <v>491</v>
      </c>
      <c r="B55" s="451"/>
      <c r="C55" s="226" t="s">
        <v>500</v>
      </c>
      <c r="D55" s="226" t="s">
        <v>485</v>
      </c>
      <c r="E55" s="225" t="s">
        <v>486</v>
      </c>
      <c r="F55" s="447" t="s">
        <v>501</v>
      </c>
      <c r="G55" s="447"/>
      <c r="H55" s="447"/>
      <c r="I55" s="447"/>
      <c r="J55" s="447"/>
      <c r="K55" s="447"/>
      <c r="L55" s="447"/>
      <c r="M55" s="448"/>
      <c r="N55" s="227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 t="s">
        <v>491</v>
      </c>
      <c r="B56" s="446"/>
      <c r="C56" s="225" t="s">
        <v>502</v>
      </c>
      <c r="D56" s="226" t="s">
        <v>492</v>
      </c>
      <c r="E56" s="225" t="s">
        <v>493</v>
      </c>
      <c r="F56" s="447" t="s">
        <v>501</v>
      </c>
      <c r="G56" s="447"/>
      <c r="H56" s="447"/>
      <c r="I56" s="447"/>
      <c r="J56" s="447"/>
      <c r="K56" s="447"/>
      <c r="L56" s="447"/>
      <c r="M56" s="448"/>
      <c r="N56" s="227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 t="s">
        <v>487</v>
      </c>
      <c r="B57" s="446"/>
      <c r="C57" s="225" t="s">
        <v>503</v>
      </c>
      <c r="D57" s="226" t="s">
        <v>488</v>
      </c>
      <c r="E57" s="225" t="s">
        <v>489</v>
      </c>
      <c r="F57" s="447" t="s">
        <v>501</v>
      </c>
      <c r="G57" s="447"/>
      <c r="H57" s="447"/>
      <c r="I57" s="447"/>
      <c r="J57" s="447"/>
      <c r="K57" s="447"/>
      <c r="L57" s="447"/>
      <c r="M57" s="448"/>
      <c r="N57" s="227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225"/>
      <c r="D58" s="226"/>
      <c r="E58" s="225"/>
      <c r="F58" s="447"/>
      <c r="G58" s="447"/>
      <c r="H58" s="447"/>
      <c r="I58" s="447"/>
      <c r="J58" s="447"/>
      <c r="K58" s="447"/>
      <c r="L58" s="447"/>
      <c r="M58" s="448"/>
      <c r="N58" s="227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226"/>
      <c r="D59" s="226"/>
      <c r="E59" s="226"/>
      <c r="F59" s="447"/>
      <c r="G59" s="447"/>
      <c r="H59" s="447"/>
      <c r="I59" s="447"/>
      <c r="J59" s="447"/>
      <c r="K59" s="447"/>
      <c r="L59" s="447"/>
      <c r="M59" s="448"/>
      <c r="N59" s="227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229"/>
      <c r="D60" s="229"/>
      <c r="E60" s="229"/>
      <c r="F60" s="455"/>
      <c r="G60" s="455"/>
      <c r="H60" s="455"/>
      <c r="I60" s="455"/>
      <c r="J60" s="455"/>
      <c r="K60" s="455"/>
      <c r="L60" s="455"/>
      <c r="M60" s="456"/>
      <c r="N60" s="228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514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230" t="s">
        <v>2</v>
      </c>
      <c r="D62" s="230" t="s">
        <v>38</v>
      </c>
      <c r="E62" s="230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230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397</v>
      </c>
      <c r="D63" s="233"/>
      <c r="E63" s="231" t="s">
        <v>398</v>
      </c>
      <c r="F63" s="466" t="s">
        <v>399</v>
      </c>
      <c r="G63" s="467"/>
      <c r="H63" s="467"/>
      <c r="I63" s="467"/>
      <c r="J63" s="467"/>
      <c r="K63" s="467" t="s">
        <v>400</v>
      </c>
      <c r="L63" s="467"/>
      <c r="M63" s="54" t="s">
        <v>389</v>
      </c>
      <c r="N63" s="467">
        <v>4</v>
      </c>
      <c r="O63" s="467"/>
      <c r="P63" s="468">
        <v>1000</v>
      </c>
      <c r="Q63" s="468"/>
      <c r="R63" s="447" t="s">
        <v>433</v>
      </c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 t="s">
        <v>469</v>
      </c>
      <c r="D64" s="233"/>
      <c r="E64" s="231" t="s">
        <v>477</v>
      </c>
      <c r="F64" s="466" t="s">
        <v>478</v>
      </c>
      <c r="G64" s="467"/>
      <c r="H64" s="467"/>
      <c r="I64" s="467"/>
      <c r="J64" s="467"/>
      <c r="K64" s="467" t="s">
        <v>475</v>
      </c>
      <c r="L64" s="467"/>
      <c r="M64" s="54" t="s">
        <v>472</v>
      </c>
      <c r="N64" s="467">
        <v>13</v>
      </c>
      <c r="O64" s="467"/>
      <c r="P64" s="468">
        <v>100</v>
      </c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 t="s">
        <v>469</v>
      </c>
      <c r="D65" s="233"/>
      <c r="E65" s="231" t="s">
        <v>480</v>
      </c>
      <c r="F65" s="466" t="s">
        <v>481</v>
      </c>
      <c r="G65" s="467"/>
      <c r="H65" s="467"/>
      <c r="I65" s="467"/>
      <c r="J65" s="467"/>
      <c r="K65" s="467" t="s">
        <v>475</v>
      </c>
      <c r="L65" s="467"/>
      <c r="M65" s="54" t="s">
        <v>472</v>
      </c>
      <c r="N65" s="467">
        <v>8</v>
      </c>
      <c r="O65" s="467"/>
      <c r="P65" s="468">
        <v>50</v>
      </c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 t="s">
        <v>119</v>
      </c>
      <c r="D66" s="233"/>
      <c r="E66" s="231" t="s">
        <v>361</v>
      </c>
      <c r="F66" s="466" t="s">
        <v>362</v>
      </c>
      <c r="G66" s="467"/>
      <c r="H66" s="467"/>
      <c r="I66" s="467"/>
      <c r="J66" s="467"/>
      <c r="K66" s="467" t="s">
        <v>148</v>
      </c>
      <c r="L66" s="467"/>
      <c r="M66" s="54" t="s">
        <v>364</v>
      </c>
      <c r="N66" s="467">
        <v>12</v>
      </c>
      <c r="O66" s="467"/>
      <c r="P66" s="468">
        <v>50</v>
      </c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233"/>
      <c r="E67" s="231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233"/>
      <c r="E68" s="231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233"/>
      <c r="E69" s="231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233"/>
      <c r="E70" s="231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515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232" t="s">
        <v>2</v>
      </c>
      <c r="D72" s="232" t="s">
        <v>38</v>
      </c>
      <c r="E72" s="232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234" t="s">
        <v>118</v>
      </c>
      <c r="D73" s="234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233" t="s">
        <v>118</v>
      </c>
      <c r="D74" s="233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3">A74+1</f>
        <v>3</v>
      </c>
      <c r="B75" s="478"/>
      <c r="C75" s="233" t="s">
        <v>144</v>
      </c>
      <c r="D75" s="233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3"/>
        <v>4</v>
      </c>
      <c r="B76" s="478"/>
      <c r="C76" s="233" t="s">
        <v>119</v>
      </c>
      <c r="D76" s="233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3"/>
        <v>5</v>
      </c>
      <c r="B77" s="478"/>
      <c r="C77" s="233"/>
      <c r="D77" s="233"/>
      <c r="E77" s="35"/>
      <c r="F77" s="478"/>
      <c r="G77" s="478"/>
      <c r="H77" s="478"/>
      <c r="I77" s="478"/>
      <c r="J77" s="478"/>
      <c r="K77" s="479"/>
      <c r="L77" s="480"/>
      <c r="M77" s="480"/>
      <c r="N77" s="480"/>
      <c r="O77" s="480"/>
      <c r="P77" s="480"/>
      <c r="Q77" s="480"/>
      <c r="R77" s="480"/>
      <c r="S77" s="481"/>
      <c r="T77" s="482"/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3"/>
        <v>6</v>
      </c>
      <c r="B78" s="478"/>
      <c r="C78" s="233"/>
      <c r="D78" s="233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3"/>
        <v>7</v>
      </c>
      <c r="B79" s="478"/>
      <c r="C79" s="233"/>
      <c r="D79" s="233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3"/>
        <v>8</v>
      </c>
      <c r="B80" s="478"/>
      <c r="C80" s="233"/>
      <c r="D80" s="233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3"/>
        <v>9</v>
      </c>
      <c r="B81" s="478"/>
      <c r="C81" s="233"/>
      <c r="D81" s="233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516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88"/>
  <sheetViews>
    <sheetView topLeftCell="A40" zoomScale="72" zoomScaleNormal="72" zoomScaleSheetLayoutView="70" workbookViewId="0">
      <selection activeCell="A65" sqref="A65:XFD6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04" t="s">
        <v>517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2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246" t="s">
        <v>17</v>
      </c>
      <c r="L5" s="246" t="s">
        <v>18</v>
      </c>
      <c r="M5" s="246" t="s">
        <v>19</v>
      </c>
      <c r="N5" s="24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2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 t="shared" ref="AE6:AE12" si="7">$AD$23</f>
        <v>0.45479572399655638</v>
      </c>
      <c r="AF6" s="94">
        <f t="shared" ref="AF6:AF22" si="8">A6</f>
        <v>1</v>
      </c>
    </row>
    <row r="7" spans="1:32" ht="27" customHeight="1">
      <c r="A7" s="108">
        <v>2</v>
      </c>
      <c r="B7" s="11" t="s">
        <v>404</v>
      </c>
      <c r="C7" s="37" t="s">
        <v>119</v>
      </c>
      <c r="D7" s="55" t="s">
        <v>151</v>
      </c>
      <c r="E7" s="57" t="s">
        <v>171</v>
      </c>
      <c r="F7" s="33" t="s">
        <v>133</v>
      </c>
      <c r="G7" s="12">
        <v>1</v>
      </c>
      <c r="H7" s="13">
        <v>25</v>
      </c>
      <c r="I7" s="34">
        <v>20000</v>
      </c>
      <c r="J7" s="5">
        <v>1750</v>
      </c>
      <c r="K7" s="15">
        <f>L7+2137+4653+4615</f>
        <v>13149</v>
      </c>
      <c r="L7" s="15">
        <v>1744</v>
      </c>
      <c r="M7" s="16">
        <f t="shared" si="0"/>
        <v>1744</v>
      </c>
      <c r="N7" s="16">
        <v>0</v>
      </c>
      <c r="O7" s="62">
        <f t="shared" si="1"/>
        <v>0</v>
      </c>
      <c r="P7" s="42">
        <f t="shared" si="2"/>
        <v>9</v>
      </c>
      <c r="Q7" s="43">
        <f t="shared" si="3"/>
        <v>15</v>
      </c>
      <c r="R7" s="7"/>
      <c r="S7" s="6"/>
      <c r="T7" s="17"/>
      <c r="U7" s="17"/>
      <c r="V7" s="18"/>
      <c r="W7" s="19">
        <v>15</v>
      </c>
      <c r="X7" s="17"/>
      <c r="Y7" s="20"/>
      <c r="Z7" s="20"/>
      <c r="AA7" s="21"/>
      <c r="AB7" s="8">
        <f t="shared" si="4"/>
        <v>0.99657142857142855</v>
      </c>
      <c r="AC7" s="9">
        <f t="shared" si="5"/>
        <v>0.375</v>
      </c>
      <c r="AD7" s="10">
        <f t="shared" si="6"/>
        <v>0.37371428571428572</v>
      </c>
      <c r="AE7" s="39">
        <f t="shared" si="7"/>
        <v>0.45479572399655638</v>
      </c>
      <c r="AF7" s="94">
        <f t="shared" si="8"/>
        <v>2</v>
      </c>
    </row>
    <row r="8" spans="1:32" ht="27" customHeight="1">
      <c r="A8" s="108">
        <v>2</v>
      </c>
      <c r="B8" s="11" t="s">
        <v>518</v>
      </c>
      <c r="C8" s="37" t="s">
        <v>119</v>
      </c>
      <c r="D8" s="55" t="s">
        <v>151</v>
      </c>
      <c r="E8" s="57" t="s">
        <v>519</v>
      </c>
      <c r="F8" s="33" t="s">
        <v>133</v>
      </c>
      <c r="G8" s="12">
        <v>1</v>
      </c>
      <c r="H8" s="13">
        <v>25</v>
      </c>
      <c r="I8" s="34">
        <v>30000</v>
      </c>
      <c r="J8" s="5">
        <v>2050</v>
      </c>
      <c r="K8" s="15">
        <f>L8</f>
        <v>2045</v>
      </c>
      <c r="L8" s="15">
        <v>2045</v>
      </c>
      <c r="M8" s="16">
        <f t="shared" ref="M8" si="9">L8-N8</f>
        <v>2045</v>
      </c>
      <c r="N8" s="16">
        <v>0</v>
      </c>
      <c r="O8" s="62">
        <f t="shared" ref="O8" si="10">IF(L8=0,"0",N8/L8)</f>
        <v>0</v>
      </c>
      <c r="P8" s="42">
        <f t="shared" ref="P8" si="11">IF(L8=0,"0",(24-Q8))</f>
        <v>13</v>
      </c>
      <c r="Q8" s="43">
        <f t="shared" ref="Q8" si="12">SUM(R8:AA8)</f>
        <v>11</v>
      </c>
      <c r="R8" s="7"/>
      <c r="S8" s="6"/>
      <c r="T8" s="17">
        <v>11</v>
      </c>
      <c r="U8" s="17"/>
      <c r="V8" s="18"/>
      <c r="W8" s="19"/>
      <c r="X8" s="17"/>
      <c r="Y8" s="20"/>
      <c r="Z8" s="20"/>
      <c r="AA8" s="21"/>
      <c r="AB8" s="8">
        <f t="shared" ref="AB8" si="13">IF(J8=0,"0",(L8/J8))</f>
        <v>0.9975609756097561</v>
      </c>
      <c r="AC8" s="9">
        <f t="shared" ref="AC8" si="14">IF(P8=0,"0",(P8/24))</f>
        <v>0.54166666666666663</v>
      </c>
      <c r="AD8" s="10">
        <f t="shared" ref="AD8" si="15">AC8*AB8*(1-O8)</f>
        <v>0.5403455284552845</v>
      </c>
      <c r="AE8" s="39">
        <f t="shared" si="7"/>
        <v>0.45479572399655638</v>
      </c>
      <c r="AF8" s="94">
        <f t="shared" ref="AF8" si="16">A8</f>
        <v>2</v>
      </c>
    </row>
    <row r="9" spans="1:32" ht="27" customHeight="1">
      <c r="A9" s="109">
        <v>3</v>
      </c>
      <c r="B9" s="11" t="s">
        <v>518</v>
      </c>
      <c r="C9" s="11" t="s">
        <v>119</v>
      </c>
      <c r="D9" s="55" t="s">
        <v>165</v>
      </c>
      <c r="E9" s="56" t="s">
        <v>166</v>
      </c>
      <c r="F9" s="12" t="s">
        <v>167</v>
      </c>
      <c r="G9" s="36">
        <v>1</v>
      </c>
      <c r="H9" s="38">
        <v>25</v>
      </c>
      <c r="I9" s="7">
        <v>30000</v>
      </c>
      <c r="J9" s="14">
        <v>4520</v>
      </c>
      <c r="K9" s="15">
        <f>8000+L9+4566+5171+2860</f>
        <v>25113</v>
      </c>
      <c r="L9" s="15">
        <f>2176+2340</f>
        <v>4516</v>
      </c>
      <c r="M9" s="16">
        <f t="shared" si="0"/>
        <v>4516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0.99911504424778763</v>
      </c>
      <c r="AC9" s="9">
        <f t="shared" si="5"/>
        <v>1</v>
      </c>
      <c r="AD9" s="10">
        <f t="shared" si="6"/>
        <v>0.99911504424778763</v>
      </c>
      <c r="AE9" s="39">
        <f t="shared" si="7"/>
        <v>0.45479572399655638</v>
      </c>
      <c r="AF9" s="94">
        <f>A9</f>
        <v>3</v>
      </c>
    </row>
    <row r="10" spans="1:32" ht="27" customHeight="1">
      <c r="A10" s="110">
        <v>4</v>
      </c>
      <c r="B10" s="11" t="s">
        <v>518</v>
      </c>
      <c r="C10" s="11" t="s">
        <v>119</v>
      </c>
      <c r="D10" s="55" t="s">
        <v>520</v>
      </c>
      <c r="E10" s="56" t="s">
        <v>521</v>
      </c>
      <c r="F10" s="12" t="s">
        <v>522</v>
      </c>
      <c r="G10" s="36">
        <v>1</v>
      </c>
      <c r="H10" s="38">
        <v>25</v>
      </c>
      <c r="I10" s="34">
        <v>30000</v>
      </c>
      <c r="J10" s="5">
        <v>2470</v>
      </c>
      <c r="K10" s="15">
        <f>L10</f>
        <v>2467</v>
      </c>
      <c r="L10" s="15">
        <v>2467</v>
      </c>
      <c r="M10" s="16">
        <f t="shared" si="0"/>
        <v>2467</v>
      </c>
      <c r="N10" s="16">
        <v>0</v>
      </c>
      <c r="O10" s="62">
        <f t="shared" si="1"/>
        <v>0</v>
      </c>
      <c r="P10" s="42">
        <f t="shared" si="2"/>
        <v>12</v>
      </c>
      <c r="Q10" s="43">
        <f t="shared" si="3"/>
        <v>12</v>
      </c>
      <c r="R10" s="7"/>
      <c r="S10" s="6">
        <v>12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0.9987854251012146</v>
      </c>
      <c r="AC10" s="9">
        <f t="shared" si="5"/>
        <v>0.5</v>
      </c>
      <c r="AD10" s="10">
        <f t="shared" si="6"/>
        <v>0.4993927125506073</v>
      </c>
      <c r="AE10" s="39">
        <f t="shared" si="7"/>
        <v>0.45479572399655638</v>
      </c>
      <c r="AF10" s="94">
        <f t="shared" si="8"/>
        <v>4</v>
      </c>
    </row>
    <row r="11" spans="1:32" ht="27" customHeight="1">
      <c r="A11" s="110">
        <v>5</v>
      </c>
      <c r="B11" s="11" t="s">
        <v>59</v>
      </c>
      <c r="C11" s="11" t="s">
        <v>251</v>
      </c>
      <c r="D11" s="55" t="s">
        <v>291</v>
      </c>
      <c r="E11" s="57" t="s">
        <v>331</v>
      </c>
      <c r="F11" s="12" t="s">
        <v>254</v>
      </c>
      <c r="G11" s="12">
        <v>1</v>
      </c>
      <c r="H11" s="13">
        <v>25</v>
      </c>
      <c r="I11" s="34">
        <v>2000</v>
      </c>
      <c r="J11" s="14">
        <v>510</v>
      </c>
      <c r="K11" s="15">
        <f>L11+703+47+812+421</f>
        <v>2489</v>
      </c>
      <c r="L11" s="15">
        <v>506</v>
      </c>
      <c r="M11" s="16">
        <f t="shared" si="0"/>
        <v>506</v>
      </c>
      <c r="N11" s="16">
        <v>0</v>
      </c>
      <c r="O11" s="62">
        <f t="shared" si="1"/>
        <v>0</v>
      </c>
      <c r="P11" s="42">
        <f t="shared" si="2"/>
        <v>7</v>
      </c>
      <c r="Q11" s="43">
        <f t="shared" si="3"/>
        <v>17</v>
      </c>
      <c r="R11" s="7"/>
      <c r="S11" s="6">
        <v>3</v>
      </c>
      <c r="T11" s="17"/>
      <c r="U11" s="17"/>
      <c r="V11" s="18">
        <v>14</v>
      </c>
      <c r="W11" s="19"/>
      <c r="X11" s="17"/>
      <c r="Y11" s="20"/>
      <c r="Z11" s="20"/>
      <c r="AA11" s="21"/>
      <c r="AB11" s="8">
        <f t="shared" si="4"/>
        <v>0.99215686274509807</v>
      </c>
      <c r="AC11" s="9">
        <f t="shared" si="5"/>
        <v>0.29166666666666669</v>
      </c>
      <c r="AD11" s="10">
        <f t="shared" si="6"/>
        <v>0.28937908496732029</v>
      </c>
      <c r="AE11" s="39">
        <f t="shared" si="7"/>
        <v>0.45479572399655638</v>
      </c>
      <c r="AF11" s="94">
        <f t="shared" si="8"/>
        <v>5</v>
      </c>
    </row>
    <row r="12" spans="1:32" ht="27" customHeight="1">
      <c r="A12" s="110">
        <v>6</v>
      </c>
      <c r="B12" s="11" t="s">
        <v>59</v>
      </c>
      <c r="C12" s="11" t="s">
        <v>118</v>
      </c>
      <c r="D12" s="55" t="s">
        <v>485</v>
      </c>
      <c r="E12" s="56" t="s">
        <v>486</v>
      </c>
      <c r="F12" s="12">
        <v>8301</v>
      </c>
      <c r="G12" s="12">
        <v>1</v>
      </c>
      <c r="H12" s="13">
        <v>25</v>
      </c>
      <c r="I12" s="34">
        <v>5000</v>
      </c>
      <c r="J12" s="14">
        <v>700</v>
      </c>
      <c r="K12" s="15">
        <f>L12+4563</f>
        <v>5255</v>
      </c>
      <c r="L12" s="15">
        <v>692</v>
      </c>
      <c r="M12" s="16">
        <f t="shared" si="0"/>
        <v>692</v>
      </c>
      <c r="N12" s="16">
        <v>0</v>
      </c>
      <c r="O12" s="62">
        <f t="shared" si="1"/>
        <v>0</v>
      </c>
      <c r="P12" s="42">
        <f t="shared" si="2"/>
        <v>6</v>
      </c>
      <c r="Q12" s="43">
        <f t="shared" si="3"/>
        <v>18</v>
      </c>
      <c r="R12" s="7"/>
      <c r="S12" s="6"/>
      <c r="T12" s="17"/>
      <c r="U12" s="17"/>
      <c r="V12" s="18"/>
      <c r="W12" s="19">
        <v>18</v>
      </c>
      <c r="X12" s="17"/>
      <c r="Y12" s="20"/>
      <c r="Z12" s="20"/>
      <c r="AA12" s="21"/>
      <c r="AB12" s="8">
        <f t="shared" si="4"/>
        <v>0.98857142857142855</v>
      </c>
      <c r="AC12" s="9">
        <f t="shared" si="5"/>
        <v>0.25</v>
      </c>
      <c r="AD12" s="10">
        <f t="shared" si="6"/>
        <v>0.24714285714285714</v>
      </c>
      <c r="AE12" s="39">
        <f t="shared" si="7"/>
        <v>0.45479572399655638</v>
      </c>
      <c r="AF12" s="94">
        <f t="shared" si="8"/>
        <v>6</v>
      </c>
    </row>
    <row r="13" spans="1:32" ht="27" customHeight="1">
      <c r="A13" s="110">
        <v>7</v>
      </c>
      <c r="B13" s="11" t="s">
        <v>59</v>
      </c>
      <c r="C13" s="11" t="s">
        <v>293</v>
      </c>
      <c r="D13" s="55" t="s">
        <v>294</v>
      </c>
      <c r="E13" s="57" t="s">
        <v>295</v>
      </c>
      <c r="F13" s="12" t="s">
        <v>296</v>
      </c>
      <c r="G13" s="12">
        <v>1</v>
      </c>
      <c r="H13" s="13">
        <v>25</v>
      </c>
      <c r="I13" s="7">
        <v>20000</v>
      </c>
      <c r="J13" s="14">
        <v>1500</v>
      </c>
      <c r="K13" s="15">
        <f>L13+3048+3908</f>
        <v>8456</v>
      </c>
      <c r="L13" s="15">
        <v>1500</v>
      </c>
      <c r="M13" s="16">
        <f t="shared" si="0"/>
        <v>1500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>
        <v>14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0.41666666666666669</v>
      </c>
      <c r="AD13" s="10">
        <f t="shared" si="6"/>
        <v>0.41666666666666669</v>
      </c>
      <c r="AE13" s="39">
        <f t="shared" ref="AE13:AE14" si="17">$AD$23</f>
        <v>0.45479572399655638</v>
      </c>
      <c r="AF13" s="94">
        <f t="shared" si="8"/>
        <v>7</v>
      </c>
    </row>
    <row r="14" spans="1:32" ht="27" customHeight="1">
      <c r="A14" s="110">
        <v>8</v>
      </c>
      <c r="B14" s="11" t="s">
        <v>59</v>
      </c>
      <c r="C14" s="11" t="s">
        <v>487</v>
      </c>
      <c r="D14" s="55" t="s">
        <v>488</v>
      </c>
      <c r="E14" s="57" t="s">
        <v>489</v>
      </c>
      <c r="F14" s="12" t="s">
        <v>490</v>
      </c>
      <c r="G14" s="12">
        <v>1</v>
      </c>
      <c r="H14" s="13">
        <v>25</v>
      </c>
      <c r="I14" s="7">
        <v>5000</v>
      </c>
      <c r="J14" s="14">
        <v>5550</v>
      </c>
      <c r="K14" s="15">
        <f>L14+5546</f>
        <v>5546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17"/>
        <v>0.45479572399655638</v>
      </c>
      <c r="AF14" s="94">
        <f t="shared" si="8"/>
        <v>8</v>
      </c>
    </row>
    <row r="15" spans="1:32" ht="27" customHeight="1">
      <c r="A15" s="109">
        <v>9</v>
      </c>
      <c r="B15" s="11" t="s">
        <v>59</v>
      </c>
      <c r="C15" s="37" t="s">
        <v>118</v>
      </c>
      <c r="D15" s="55" t="s">
        <v>58</v>
      </c>
      <c r="E15" s="57" t="s">
        <v>159</v>
      </c>
      <c r="F15" s="33" t="s">
        <v>160</v>
      </c>
      <c r="G15" s="36">
        <v>1</v>
      </c>
      <c r="H15" s="38">
        <v>40</v>
      </c>
      <c r="I15" s="7">
        <v>200</v>
      </c>
      <c r="J15" s="5">
        <v>556</v>
      </c>
      <c r="K15" s="15">
        <f>L15+106+556</f>
        <v>662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ref="AE15:AE22" si="18">$AD$23</f>
        <v>0.45479572399655638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11" t="s">
        <v>141</v>
      </c>
      <c r="D16" s="55" t="s">
        <v>137</v>
      </c>
      <c r="E16" s="57" t="s">
        <v>334</v>
      </c>
      <c r="F16" s="12" t="s">
        <v>143</v>
      </c>
      <c r="G16" s="12">
        <v>1</v>
      </c>
      <c r="H16" s="13">
        <v>25</v>
      </c>
      <c r="I16" s="34">
        <v>650</v>
      </c>
      <c r="J16" s="14">
        <v>910</v>
      </c>
      <c r="K16" s="15">
        <f>L16+903</f>
        <v>903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18"/>
        <v>0.45479572399655638</v>
      </c>
      <c r="AF16" s="94">
        <f t="shared" si="8"/>
        <v>10</v>
      </c>
    </row>
    <row r="17" spans="1:36" ht="27.75" customHeight="1">
      <c r="A17" s="109">
        <v>11</v>
      </c>
      <c r="B17" s="11" t="s">
        <v>59</v>
      </c>
      <c r="C17" s="11" t="s">
        <v>491</v>
      </c>
      <c r="D17" s="55" t="s">
        <v>492</v>
      </c>
      <c r="E17" s="56" t="s">
        <v>493</v>
      </c>
      <c r="F17" s="12">
        <v>7301</v>
      </c>
      <c r="G17" s="36">
        <v>1</v>
      </c>
      <c r="H17" s="38">
        <v>25</v>
      </c>
      <c r="I17" s="7">
        <v>4000</v>
      </c>
      <c r="J17" s="14">
        <v>1310</v>
      </c>
      <c r="K17" s="15">
        <f>L17+3834</f>
        <v>5141</v>
      </c>
      <c r="L17" s="15">
        <v>1307</v>
      </c>
      <c r="M17" s="16">
        <f t="shared" si="0"/>
        <v>1307</v>
      </c>
      <c r="N17" s="16">
        <v>0</v>
      </c>
      <c r="O17" s="62">
        <f t="shared" si="1"/>
        <v>0</v>
      </c>
      <c r="P17" s="42">
        <f t="shared" si="2"/>
        <v>9</v>
      </c>
      <c r="Q17" s="43">
        <f t="shared" si="3"/>
        <v>15</v>
      </c>
      <c r="R17" s="7"/>
      <c r="S17" s="6"/>
      <c r="T17" s="17"/>
      <c r="U17" s="17"/>
      <c r="V17" s="18"/>
      <c r="W17" s="19">
        <v>15</v>
      </c>
      <c r="X17" s="17"/>
      <c r="Y17" s="20"/>
      <c r="Z17" s="20"/>
      <c r="AA17" s="21"/>
      <c r="AB17" s="8">
        <f t="shared" si="4"/>
        <v>0.99770992366412214</v>
      </c>
      <c r="AC17" s="9">
        <f t="shared" si="5"/>
        <v>0.375</v>
      </c>
      <c r="AD17" s="10">
        <f t="shared" si="6"/>
        <v>0.37414122137404582</v>
      </c>
      <c r="AE17" s="39">
        <f t="shared" si="18"/>
        <v>0.45479572399655638</v>
      </c>
      <c r="AF17" s="94">
        <f>A17</f>
        <v>11</v>
      </c>
      <c r="AJ17" s="15"/>
    </row>
    <row r="18" spans="1:36" ht="27.75" customHeight="1">
      <c r="A18" s="109">
        <v>11</v>
      </c>
      <c r="B18" s="11" t="s">
        <v>59</v>
      </c>
      <c r="C18" s="11" t="s">
        <v>119</v>
      </c>
      <c r="D18" s="55" t="s">
        <v>126</v>
      </c>
      <c r="E18" s="56" t="s">
        <v>523</v>
      </c>
      <c r="F18" s="12">
        <v>7301</v>
      </c>
      <c r="G18" s="36">
        <v>1</v>
      </c>
      <c r="H18" s="38">
        <v>25</v>
      </c>
      <c r="I18" s="7">
        <v>30000</v>
      </c>
      <c r="J18" s="14">
        <v>3010</v>
      </c>
      <c r="K18" s="15">
        <f>L18</f>
        <v>3005</v>
      </c>
      <c r="L18" s="15">
        <v>3005</v>
      </c>
      <c r="M18" s="16">
        <f t="shared" ref="M18" si="19">L18-N18</f>
        <v>3005</v>
      </c>
      <c r="N18" s="16">
        <v>0</v>
      </c>
      <c r="O18" s="62">
        <f t="shared" ref="O18" si="20">IF(L18=0,"0",N18/L18)</f>
        <v>0</v>
      </c>
      <c r="P18" s="42">
        <f t="shared" ref="P18" si="21">IF(L18=0,"0",(24-Q18))</f>
        <v>12</v>
      </c>
      <c r="Q18" s="43">
        <f t="shared" ref="Q18" si="22">SUM(R18:AA18)</f>
        <v>12</v>
      </c>
      <c r="R18" s="7"/>
      <c r="S18" s="6"/>
      <c r="T18" s="17">
        <v>12</v>
      </c>
      <c r="U18" s="17"/>
      <c r="V18" s="18"/>
      <c r="W18" s="19"/>
      <c r="X18" s="17"/>
      <c r="Y18" s="20"/>
      <c r="Z18" s="20"/>
      <c r="AA18" s="21"/>
      <c r="AB18" s="8">
        <f t="shared" ref="AB18" si="23">IF(J18=0,"0",(L18/J18))</f>
        <v>0.99833887043189373</v>
      </c>
      <c r="AC18" s="9">
        <f t="shared" ref="AC18" si="24">IF(P18=0,"0",(P18/24))</f>
        <v>0.5</v>
      </c>
      <c r="AD18" s="10">
        <f t="shared" ref="AD18" si="25">AC18*AB18*(1-O18)</f>
        <v>0.49916943521594687</v>
      </c>
      <c r="AE18" s="39">
        <f t="shared" si="18"/>
        <v>0.45479572399655638</v>
      </c>
      <c r="AF18" s="94">
        <f>A18</f>
        <v>11</v>
      </c>
      <c r="AJ18" s="15"/>
    </row>
    <row r="19" spans="1:36" ht="27" customHeight="1">
      <c r="A19" s="109">
        <v>12</v>
      </c>
      <c r="B19" s="11" t="s">
        <v>59</v>
      </c>
      <c r="C19" s="37" t="s">
        <v>410</v>
      </c>
      <c r="D19" s="55" t="s">
        <v>411</v>
      </c>
      <c r="E19" s="56" t="s">
        <v>412</v>
      </c>
      <c r="F19" s="12">
        <v>8301</v>
      </c>
      <c r="G19" s="12">
        <v>1</v>
      </c>
      <c r="H19" s="13">
        <v>25</v>
      </c>
      <c r="I19" s="34">
        <v>500</v>
      </c>
      <c r="J19" s="5">
        <v>632</v>
      </c>
      <c r="K19" s="15">
        <f>L19+632</f>
        <v>632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18"/>
        <v>0.45479572399655638</v>
      </c>
      <c r="AF19" s="94">
        <f t="shared" si="8"/>
        <v>12</v>
      </c>
    </row>
    <row r="20" spans="1:36" ht="27" customHeight="1">
      <c r="A20" s="110">
        <v>13</v>
      </c>
      <c r="B20" s="11" t="s">
        <v>59</v>
      </c>
      <c r="C20" s="37" t="s">
        <v>524</v>
      </c>
      <c r="D20" s="55" t="s">
        <v>525</v>
      </c>
      <c r="E20" s="57" t="s">
        <v>526</v>
      </c>
      <c r="F20" s="33" t="s">
        <v>527</v>
      </c>
      <c r="G20" s="12" t="s">
        <v>528</v>
      </c>
      <c r="H20" s="13">
        <v>25</v>
      </c>
      <c r="I20" s="34">
        <v>1000</v>
      </c>
      <c r="J20" s="5">
        <v>1142</v>
      </c>
      <c r="K20" s="15">
        <f>L20</f>
        <v>1142</v>
      </c>
      <c r="L20" s="15">
        <f>783+359</f>
        <v>1142</v>
      </c>
      <c r="M20" s="16">
        <f t="shared" si="0"/>
        <v>1142</v>
      </c>
      <c r="N20" s="16">
        <v>0</v>
      </c>
      <c r="O20" s="62">
        <f t="shared" si="1"/>
        <v>0</v>
      </c>
      <c r="P20" s="42">
        <f t="shared" si="2"/>
        <v>14</v>
      </c>
      <c r="Q20" s="43">
        <f t="shared" si="3"/>
        <v>10</v>
      </c>
      <c r="R20" s="7"/>
      <c r="S20" s="6"/>
      <c r="T20" s="17"/>
      <c r="U20" s="17"/>
      <c r="V20" s="18"/>
      <c r="W20" s="19">
        <v>10</v>
      </c>
      <c r="X20" s="17"/>
      <c r="Y20" s="20"/>
      <c r="Z20" s="20"/>
      <c r="AA20" s="21"/>
      <c r="AB20" s="8">
        <f t="shared" si="4"/>
        <v>1</v>
      </c>
      <c r="AC20" s="9">
        <f t="shared" si="5"/>
        <v>0.58333333333333337</v>
      </c>
      <c r="AD20" s="10">
        <f t="shared" si="6"/>
        <v>0.58333333333333337</v>
      </c>
      <c r="AE20" s="39">
        <f t="shared" si="18"/>
        <v>0.45479572399655638</v>
      </c>
      <c r="AF20" s="94">
        <f t="shared" si="8"/>
        <v>13</v>
      </c>
    </row>
    <row r="21" spans="1:36" ht="27" customHeight="1">
      <c r="A21" s="110">
        <v>14</v>
      </c>
      <c r="B21" s="11" t="s">
        <v>59</v>
      </c>
      <c r="C21" s="37" t="s">
        <v>255</v>
      </c>
      <c r="D21" s="55" t="s">
        <v>58</v>
      </c>
      <c r="E21" s="57" t="s">
        <v>134</v>
      </c>
      <c r="F21" s="33" t="s">
        <v>136</v>
      </c>
      <c r="G21" s="36">
        <v>1</v>
      </c>
      <c r="H21" s="38">
        <v>25</v>
      </c>
      <c r="I21" s="7">
        <v>30000</v>
      </c>
      <c r="J21" s="5">
        <v>5070</v>
      </c>
      <c r="K21" s="15">
        <f>L21+4891+5116+437+4687+2909+3071</f>
        <v>26179</v>
      </c>
      <c r="L21" s="15">
        <f>2674+2394</f>
        <v>5068</v>
      </c>
      <c r="M21" s="16">
        <f t="shared" si="0"/>
        <v>5068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0.99960552268244574</v>
      </c>
      <c r="AC21" s="9">
        <f t="shared" si="5"/>
        <v>1</v>
      </c>
      <c r="AD21" s="10">
        <f t="shared" si="6"/>
        <v>0.99960552268244574</v>
      </c>
      <c r="AE21" s="39">
        <f t="shared" si="18"/>
        <v>0.45479572399655638</v>
      </c>
      <c r="AF21" s="94">
        <f t="shared" si="8"/>
        <v>14</v>
      </c>
    </row>
    <row r="22" spans="1:36" ht="27" customHeight="1" thickBot="1">
      <c r="A22" s="110">
        <v>15</v>
      </c>
      <c r="B22" s="11" t="s">
        <v>59</v>
      </c>
      <c r="C22" s="11" t="s">
        <v>116</v>
      </c>
      <c r="D22" s="55"/>
      <c r="E22" s="56" t="s">
        <v>157</v>
      </c>
      <c r="F22" s="12" t="s">
        <v>117</v>
      </c>
      <c r="G22" s="12">
        <v>4</v>
      </c>
      <c r="H22" s="38">
        <v>20</v>
      </c>
      <c r="I22" s="7">
        <v>200000</v>
      </c>
      <c r="J22" s="14">
        <v>57280</v>
      </c>
      <c r="K22" s="15">
        <f>L22+40792+68628+25624+56572+59804+61268+59600+51196+44324+59348+54044+27196+52908+59372+59200</f>
        <v>837152</v>
      </c>
      <c r="L22" s="15">
        <f>7726*4+6593*4</f>
        <v>57276</v>
      </c>
      <c r="M22" s="16">
        <f t="shared" si="0"/>
        <v>57276</v>
      </c>
      <c r="N22" s="16">
        <v>0</v>
      </c>
      <c r="O22" s="62">
        <f t="shared" si="1"/>
        <v>0</v>
      </c>
      <c r="P22" s="42">
        <f t="shared" si="2"/>
        <v>24</v>
      </c>
      <c r="Q22" s="43">
        <f t="shared" si="3"/>
        <v>0</v>
      </c>
      <c r="R22" s="7"/>
      <c r="S22" s="6"/>
      <c r="T22" s="17"/>
      <c r="U22" s="17"/>
      <c r="V22" s="18"/>
      <c r="W22" s="19"/>
      <c r="X22" s="17"/>
      <c r="Y22" s="20"/>
      <c r="Z22" s="20"/>
      <c r="AA22" s="21"/>
      <c r="AB22" s="8">
        <f t="shared" si="4"/>
        <v>0.99993016759776532</v>
      </c>
      <c r="AC22" s="9">
        <f t="shared" si="5"/>
        <v>1</v>
      </c>
      <c r="AD22" s="10">
        <f t="shared" si="6"/>
        <v>0.99993016759776532</v>
      </c>
      <c r="AE22" s="39">
        <f t="shared" si="18"/>
        <v>0.45479572399655638</v>
      </c>
      <c r="AF22" s="94">
        <f t="shared" si="8"/>
        <v>15</v>
      </c>
    </row>
    <row r="23" spans="1:36" ht="31.5" customHeight="1" thickBot="1">
      <c r="A23" s="418" t="s">
        <v>34</v>
      </c>
      <c r="B23" s="419"/>
      <c r="C23" s="419"/>
      <c r="D23" s="419"/>
      <c r="E23" s="419"/>
      <c r="F23" s="419"/>
      <c r="G23" s="419"/>
      <c r="H23" s="420"/>
      <c r="I23" s="25">
        <f t="shared" ref="I23:N23" si="26">SUM(I6:I22)</f>
        <v>409350</v>
      </c>
      <c r="J23" s="22">
        <f t="shared" si="26"/>
        <v>90930</v>
      </c>
      <c r="K23" s="23">
        <f t="shared" si="26"/>
        <v>941298</v>
      </c>
      <c r="L23" s="24">
        <f t="shared" si="26"/>
        <v>81268</v>
      </c>
      <c r="M23" s="23">
        <f t="shared" si="26"/>
        <v>81268</v>
      </c>
      <c r="N23" s="24">
        <f t="shared" si="26"/>
        <v>0</v>
      </c>
      <c r="O23" s="44">
        <f t="shared" si="1"/>
        <v>0</v>
      </c>
      <c r="P23" s="45">
        <f t="shared" ref="P23:AA23" si="27">SUM(P6:P22)</f>
        <v>164</v>
      </c>
      <c r="Q23" s="46">
        <f t="shared" si="27"/>
        <v>244</v>
      </c>
      <c r="R23" s="26">
        <f t="shared" si="27"/>
        <v>24</v>
      </c>
      <c r="S23" s="27">
        <f t="shared" si="27"/>
        <v>29</v>
      </c>
      <c r="T23" s="27">
        <f t="shared" si="27"/>
        <v>23</v>
      </c>
      <c r="U23" s="27">
        <f t="shared" si="27"/>
        <v>0</v>
      </c>
      <c r="V23" s="28">
        <f t="shared" si="27"/>
        <v>14</v>
      </c>
      <c r="W23" s="29">
        <f t="shared" si="27"/>
        <v>154</v>
      </c>
      <c r="X23" s="30">
        <f t="shared" si="27"/>
        <v>0</v>
      </c>
      <c r="Y23" s="30">
        <f t="shared" si="27"/>
        <v>0</v>
      </c>
      <c r="Z23" s="30">
        <f t="shared" si="27"/>
        <v>0</v>
      </c>
      <c r="AA23" s="30">
        <f t="shared" si="27"/>
        <v>0</v>
      </c>
      <c r="AB23" s="31">
        <f>SUM(AB6:AB22)/15</f>
        <v>0.79788970994819608</v>
      </c>
      <c r="AC23" s="4">
        <f>SUM(AC6:AC22)/15</f>
        <v>0.45555555555555555</v>
      </c>
      <c r="AD23" s="4">
        <f>SUM(AD6:AD22)/15</f>
        <v>0.45479572399655638</v>
      </c>
      <c r="AE23" s="32"/>
    </row>
    <row r="25" spans="1:36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21" t="s">
        <v>46</v>
      </c>
      <c r="B50" s="421"/>
      <c r="C50" s="421"/>
      <c r="D50" s="421"/>
      <c r="E50" s="421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22" t="s">
        <v>529</v>
      </c>
      <c r="B51" s="423"/>
      <c r="C51" s="423"/>
      <c r="D51" s="423"/>
      <c r="E51" s="423"/>
      <c r="F51" s="423"/>
      <c r="G51" s="423"/>
      <c r="H51" s="423"/>
      <c r="I51" s="423"/>
      <c r="J51" s="423"/>
      <c r="K51" s="423"/>
      <c r="L51" s="423"/>
      <c r="M51" s="424"/>
      <c r="N51" s="425" t="s">
        <v>543</v>
      </c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6"/>
      <c r="AB51" s="426"/>
      <c r="AC51" s="426"/>
      <c r="AD51" s="427"/>
    </row>
    <row r="52" spans="1:32" ht="27" customHeight="1">
      <c r="A52" s="428" t="s">
        <v>2</v>
      </c>
      <c r="B52" s="429"/>
      <c r="C52" s="245" t="s">
        <v>47</v>
      </c>
      <c r="D52" s="245" t="s">
        <v>48</v>
      </c>
      <c r="E52" s="245" t="s">
        <v>110</v>
      </c>
      <c r="F52" s="429" t="s">
        <v>109</v>
      </c>
      <c r="G52" s="429"/>
      <c r="H52" s="429"/>
      <c r="I52" s="429"/>
      <c r="J52" s="429"/>
      <c r="K52" s="429"/>
      <c r="L52" s="429"/>
      <c r="M52" s="430"/>
      <c r="N52" s="73" t="s">
        <v>114</v>
      </c>
      <c r="O52" s="245" t="s">
        <v>47</v>
      </c>
      <c r="P52" s="431" t="s">
        <v>48</v>
      </c>
      <c r="Q52" s="432"/>
      <c r="R52" s="431" t="s">
        <v>39</v>
      </c>
      <c r="S52" s="433"/>
      <c r="T52" s="433"/>
      <c r="U52" s="432"/>
      <c r="V52" s="431" t="s">
        <v>49</v>
      </c>
      <c r="W52" s="433"/>
      <c r="X52" s="433"/>
      <c r="Y52" s="433"/>
      <c r="Z52" s="433"/>
      <c r="AA52" s="433"/>
      <c r="AB52" s="433"/>
      <c r="AC52" s="433"/>
      <c r="AD52" s="434"/>
    </row>
    <row r="53" spans="1:32" ht="27" customHeight="1">
      <c r="A53" s="445" t="s">
        <v>443</v>
      </c>
      <c r="B53" s="446"/>
      <c r="C53" s="244" t="s">
        <v>444</v>
      </c>
      <c r="D53" s="241" t="s">
        <v>445</v>
      </c>
      <c r="E53" s="244" t="s">
        <v>446</v>
      </c>
      <c r="F53" s="447" t="s">
        <v>447</v>
      </c>
      <c r="G53" s="447"/>
      <c r="H53" s="447"/>
      <c r="I53" s="447"/>
      <c r="J53" s="447"/>
      <c r="K53" s="447"/>
      <c r="L53" s="447"/>
      <c r="M53" s="448"/>
      <c r="N53" s="240" t="s">
        <v>505</v>
      </c>
      <c r="O53" s="74" t="s">
        <v>506</v>
      </c>
      <c r="P53" s="449"/>
      <c r="Q53" s="450"/>
      <c r="R53" s="451" t="s">
        <v>546</v>
      </c>
      <c r="S53" s="451"/>
      <c r="T53" s="451"/>
      <c r="U53" s="451"/>
      <c r="V53" s="447" t="s">
        <v>501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420</v>
      </c>
      <c r="B54" s="446"/>
      <c r="C54" s="244" t="s">
        <v>421</v>
      </c>
      <c r="D54" s="241" t="s">
        <v>448</v>
      </c>
      <c r="E54" s="244" t="s">
        <v>449</v>
      </c>
      <c r="F54" s="447" t="s">
        <v>530</v>
      </c>
      <c r="G54" s="447"/>
      <c r="H54" s="447"/>
      <c r="I54" s="447"/>
      <c r="J54" s="447"/>
      <c r="K54" s="447"/>
      <c r="L54" s="447"/>
      <c r="M54" s="448"/>
      <c r="N54" s="240" t="s">
        <v>510</v>
      </c>
      <c r="O54" s="74" t="s">
        <v>496</v>
      </c>
      <c r="P54" s="449" t="s">
        <v>547</v>
      </c>
      <c r="Q54" s="450"/>
      <c r="R54" s="451" t="s">
        <v>548</v>
      </c>
      <c r="S54" s="451"/>
      <c r="T54" s="451"/>
      <c r="U54" s="451"/>
      <c r="V54" s="447" t="s">
        <v>549</v>
      </c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 t="s">
        <v>531</v>
      </c>
      <c r="B55" s="446"/>
      <c r="C55" s="244" t="s">
        <v>532</v>
      </c>
      <c r="D55" s="241" t="s">
        <v>533</v>
      </c>
      <c r="E55" s="244" t="s">
        <v>523</v>
      </c>
      <c r="F55" s="447" t="s">
        <v>501</v>
      </c>
      <c r="G55" s="447"/>
      <c r="H55" s="447"/>
      <c r="I55" s="447"/>
      <c r="J55" s="447"/>
      <c r="K55" s="447"/>
      <c r="L55" s="447"/>
      <c r="M55" s="448"/>
      <c r="N55" s="240" t="s">
        <v>550</v>
      </c>
      <c r="O55" s="74" t="s">
        <v>551</v>
      </c>
      <c r="P55" s="449" t="s">
        <v>552</v>
      </c>
      <c r="Q55" s="450"/>
      <c r="R55" s="451" t="s">
        <v>553</v>
      </c>
      <c r="S55" s="451"/>
      <c r="T55" s="451"/>
      <c r="U55" s="451"/>
      <c r="V55" s="447" t="s">
        <v>554</v>
      </c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 t="s">
        <v>537</v>
      </c>
      <c r="B56" s="446"/>
      <c r="C56" s="244" t="s">
        <v>534</v>
      </c>
      <c r="D56" s="241" t="s">
        <v>535</v>
      </c>
      <c r="E56" s="244" t="s">
        <v>536</v>
      </c>
      <c r="F56" s="447" t="s">
        <v>501</v>
      </c>
      <c r="G56" s="447"/>
      <c r="H56" s="447"/>
      <c r="I56" s="447"/>
      <c r="J56" s="447"/>
      <c r="K56" s="447"/>
      <c r="L56" s="447"/>
      <c r="M56" s="448"/>
      <c r="N56" s="240" t="s">
        <v>555</v>
      </c>
      <c r="O56" s="74" t="s">
        <v>506</v>
      </c>
      <c r="P56" s="449" t="s">
        <v>556</v>
      </c>
      <c r="Q56" s="450"/>
      <c r="R56" s="451" t="s">
        <v>557</v>
      </c>
      <c r="S56" s="451"/>
      <c r="T56" s="451"/>
      <c r="U56" s="451"/>
      <c r="V56" s="447" t="s">
        <v>549</v>
      </c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52" t="s">
        <v>119</v>
      </c>
      <c r="B57" s="451"/>
      <c r="C57" s="241" t="s">
        <v>538</v>
      </c>
      <c r="D57" s="241" t="s">
        <v>539</v>
      </c>
      <c r="E57" s="244" t="s">
        <v>519</v>
      </c>
      <c r="F57" s="447" t="s">
        <v>501</v>
      </c>
      <c r="G57" s="447"/>
      <c r="H57" s="447"/>
      <c r="I57" s="447"/>
      <c r="J57" s="447"/>
      <c r="K57" s="447"/>
      <c r="L57" s="447"/>
      <c r="M57" s="448"/>
      <c r="N57" s="240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 t="s">
        <v>119</v>
      </c>
      <c r="B58" s="446"/>
      <c r="C58" s="244" t="s">
        <v>496</v>
      </c>
      <c r="D58" s="241" t="s">
        <v>540</v>
      </c>
      <c r="E58" s="244" t="s">
        <v>541</v>
      </c>
      <c r="F58" s="447" t="s">
        <v>542</v>
      </c>
      <c r="G58" s="447"/>
      <c r="H58" s="447"/>
      <c r="I58" s="447"/>
      <c r="J58" s="447"/>
      <c r="K58" s="447"/>
      <c r="L58" s="447"/>
      <c r="M58" s="448"/>
      <c r="N58" s="240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45" t="s">
        <v>524</v>
      </c>
      <c r="B59" s="446"/>
      <c r="C59" s="244" t="s">
        <v>544</v>
      </c>
      <c r="D59" s="241"/>
      <c r="E59" s="244" t="s">
        <v>545</v>
      </c>
      <c r="F59" s="447" t="s">
        <v>501</v>
      </c>
      <c r="G59" s="447"/>
      <c r="H59" s="447"/>
      <c r="I59" s="447"/>
      <c r="J59" s="447"/>
      <c r="K59" s="447"/>
      <c r="L59" s="447"/>
      <c r="M59" s="448"/>
      <c r="N59" s="240"/>
      <c r="O59" s="74"/>
      <c r="P59" s="449"/>
      <c r="Q59" s="450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</row>
    <row r="60" spans="1:32" ht="27" customHeight="1">
      <c r="A60" s="445"/>
      <c r="B60" s="446"/>
      <c r="C60" s="244"/>
      <c r="D60" s="241"/>
      <c r="E60" s="244"/>
      <c r="F60" s="447"/>
      <c r="G60" s="447"/>
      <c r="H60" s="447"/>
      <c r="I60" s="447"/>
      <c r="J60" s="447"/>
      <c r="K60" s="447"/>
      <c r="L60" s="447"/>
      <c r="M60" s="448"/>
      <c r="N60" s="240"/>
      <c r="O60" s="74"/>
      <c r="P60" s="451"/>
      <c r="Q60" s="451"/>
      <c r="R60" s="451"/>
      <c r="S60" s="451"/>
      <c r="T60" s="451"/>
      <c r="U60" s="451"/>
      <c r="V60" s="447"/>
      <c r="W60" s="447"/>
      <c r="X60" s="447"/>
      <c r="Y60" s="447"/>
      <c r="Z60" s="447"/>
      <c r="AA60" s="447"/>
      <c r="AB60" s="447"/>
      <c r="AC60" s="447"/>
      <c r="AD60" s="448"/>
    </row>
    <row r="61" spans="1:32" ht="27" customHeight="1">
      <c r="A61" s="452"/>
      <c r="B61" s="451"/>
      <c r="C61" s="241"/>
      <c r="D61" s="241"/>
      <c r="E61" s="241"/>
      <c r="F61" s="447"/>
      <c r="G61" s="447"/>
      <c r="H61" s="447"/>
      <c r="I61" s="447"/>
      <c r="J61" s="447"/>
      <c r="K61" s="447"/>
      <c r="L61" s="447"/>
      <c r="M61" s="448"/>
      <c r="N61" s="240"/>
      <c r="O61" s="74"/>
      <c r="P61" s="451"/>
      <c r="Q61" s="451"/>
      <c r="R61" s="451"/>
      <c r="S61" s="451"/>
      <c r="T61" s="451"/>
      <c r="U61" s="451"/>
      <c r="V61" s="447"/>
      <c r="W61" s="447"/>
      <c r="X61" s="447"/>
      <c r="Y61" s="447"/>
      <c r="Z61" s="447"/>
      <c r="AA61" s="447"/>
      <c r="AB61" s="447"/>
      <c r="AC61" s="447"/>
      <c r="AD61" s="448"/>
      <c r="AF61" s="94">
        <f>8*3000</f>
        <v>24000</v>
      </c>
    </row>
    <row r="62" spans="1:32" ht="27" customHeight="1" thickBot="1">
      <c r="A62" s="453"/>
      <c r="B62" s="454"/>
      <c r="C62" s="243"/>
      <c r="D62" s="243"/>
      <c r="E62" s="243"/>
      <c r="F62" s="455"/>
      <c r="G62" s="455"/>
      <c r="H62" s="455"/>
      <c r="I62" s="455"/>
      <c r="J62" s="455"/>
      <c r="K62" s="455"/>
      <c r="L62" s="455"/>
      <c r="M62" s="456"/>
      <c r="N62" s="242"/>
      <c r="O62" s="121"/>
      <c r="P62" s="454"/>
      <c r="Q62" s="454"/>
      <c r="R62" s="454"/>
      <c r="S62" s="454"/>
      <c r="T62" s="454"/>
      <c r="U62" s="454"/>
      <c r="V62" s="455"/>
      <c r="W62" s="455"/>
      <c r="X62" s="455"/>
      <c r="Y62" s="455"/>
      <c r="Z62" s="455"/>
      <c r="AA62" s="455"/>
      <c r="AB62" s="455"/>
      <c r="AC62" s="455"/>
      <c r="AD62" s="456"/>
      <c r="AF62" s="94">
        <f>16*3000</f>
        <v>48000</v>
      </c>
    </row>
    <row r="63" spans="1:32" ht="27.75" thickBot="1">
      <c r="A63" s="457" t="s">
        <v>558</v>
      </c>
      <c r="B63" s="457"/>
      <c r="C63" s="457"/>
      <c r="D63" s="457"/>
      <c r="E63" s="457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458" t="s">
        <v>115</v>
      </c>
      <c r="B64" s="459"/>
      <c r="C64" s="239" t="s">
        <v>2</v>
      </c>
      <c r="D64" s="239" t="s">
        <v>38</v>
      </c>
      <c r="E64" s="239" t="s">
        <v>3</v>
      </c>
      <c r="F64" s="459" t="s">
        <v>112</v>
      </c>
      <c r="G64" s="459"/>
      <c r="H64" s="459"/>
      <c r="I64" s="459"/>
      <c r="J64" s="459"/>
      <c r="K64" s="459" t="s">
        <v>40</v>
      </c>
      <c r="L64" s="459"/>
      <c r="M64" s="239" t="s">
        <v>41</v>
      </c>
      <c r="N64" s="459" t="s">
        <v>42</v>
      </c>
      <c r="O64" s="459"/>
      <c r="P64" s="460" t="s">
        <v>43</v>
      </c>
      <c r="Q64" s="461"/>
      <c r="R64" s="460" t="s">
        <v>44</v>
      </c>
      <c r="S64" s="462"/>
      <c r="T64" s="462"/>
      <c r="U64" s="462"/>
      <c r="V64" s="462"/>
      <c r="W64" s="462"/>
      <c r="X64" s="462"/>
      <c r="Y64" s="462"/>
      <c r="Z64" s="462"/>
      <c r="AA64" s="461"/>
      <c r="AB64" s="459" t="s">
        <v>45</v>
      </c>
      <c r="AC64" s="459"/>
      <c r="AD64" s="463"/>
      <c r="AF64" s="94">
        <f>SUM(AF61:AF63)</f>
        <v>96000</v>
      </c>
    </row>
    <row r="65" spans="1:32" ht="25.5" customHeight="1">
      <c r="A65" s="464">
        <v>1</v>
      </c>
      <c r="B65" s="465"/>
      <c r="C65" s="124" t="s">
        <v>147</v>
      </c>
      <c r="D65" s="235"/>
      <c r="E65" s="237" t="s">
        <v>212</v>
      </c>
      <c r="F65" s="466" t="s">
        <v>211</v>
      </c>
      <c r="G65" s="467"/>
      <c r="H65" s="467"/>
      <c r="I65" s="467"/>
      <c r="J65" s="467"/>
      <c r="K65" s="467" t="s">
        <v>213</v>
      </c>
      <c r="L65" s="467"/>
      <c r="M65" s="54" t="s">
        <v>214</v>
      </c>
      <c r="N65" s="467">
        <v>8</v>
      </c>
      <c r="O65" s="467"/>
      <c r="P65" s="468">
        <v>50</v>
      </c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2</v>
      </c>
      <c r="B66" s="465"/>
      <c r="C66" s="124" t="s">
        <v>555</v>
      </c>
      <c r="D66" s="235"/>
      <c r="E66" s="237" t="s">
        <v>559</v>
      </c>
      <c r="F66" s="466" t="s">
        <v>560</v>
      </c>
      <c r="G66" s="467"/>
      <c r="H66" s="467"/>
      <c r="I66" s="467"/>
      <c r="J66" s="467"/>
      <c r="K66" s="467">
        <v>7301</v>
      </c>
      <c r="L66" s="467"/>
      <c r="M66" s="54" t="s">
        <v>214</v>
      </c>
      <c r="N66" s="467">
        <v>11</v>
      </c>
      <c r="O66" s="467"/>
      <c r="P66" s="468">
        <v>50</v>
      </c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3</v>
      </c>
      <c r="B67" s="465"/>
      <c r="C67" s="124"/>
      <c r="D67" s="235"/>
      <c r="E67" s="237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4</v>
      </c>
      <c r="B68" s="465"/>
      <c r="C68" s="124"/>
      <c r="D68" s="235"/>
      <c r="E68" s="237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5</v>
      </c>
      <c r="B69" s="465"/>
      <c r="C69" s="124"/>
      <c r="D69" s="235"/>
      <c r="E69" s="237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6</v>
      </c>
      <c r="B70" s="465"/>
      <c r="C70" s="124"/>
      <c r="D70" s="235"/>
      <c r="E70" s="237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5.5" customHeight="1">
      <c r="A71" s="464">
        <v>7</v>
      </c>
      <c r="B71" s="465"/>
      <c r="C71" s="124"/>
      <c r="D71" s="235"/>
      <c r="E71" s="237"/>
      <c r="F71" s="466"/>
      <c r="G71" s="467"/>
      <c r="H71" s="467"/>
      <c r="I71" s="467"/>
      <c r="J71" s="467"/>
      <c r="K71" s="467"/>
      <c r="L71" s="467"/>
      <c r="M71" s="54"/>
      <c r="N71" s="467"/>
      <c r="O71" s="467"/>
      <c r="P71" s="468"/>
      <c r="Q71" s="468"/>
      <c r="R71" s="447"/>
      <c r="S71" s="447"/>
      <c r="T71" s="447"/>
      <c r="U71" s="447"/>
      <c r="V71" s="447"/>
      <c r="W71" s="447"/>
      <c r="X71" s="447"/>
      <c r="Y71" s="447"/>
      <c r="Z71" s="447"/>
      <c r="AA71" s="447"/>
      <c r="AB71" s="467"/>
      <c r="AC71" s="467"/>
      <c r="AD71" s="469"/>
      <c r="AF71" s="53"/>
    </row>
    <row r="72" spans="1:32" ht="25.5" customHeight="1">
      <c r="A72" s="464">
        <v>8</v>
      </c>
      <c r="B72" s="465"/>
      <c r="C72" s="124"/>
      <c r="D72" s="235"/>
      <c r="E72" s="237"/>
      <c r="F72" s="466"/>
      <c r="G72" s="467"/>
      <c r="H72" s="467"/>
      <c r="I72" s="467"/>
      <c r="J72" s="467"/>
      <c r="K72" s="467"/>
      <c r="L72" s="467"/>
      <c r="M72" s="54"/>
      <c r="N72" s="467"/>
      <c r="O72" s="467"/>
      <c r="P72" s="468"/>
      <c r="Q72" s="468"/>
      <c r="R72" s="447"/>
      <c r="S72" s="447"/>
      <c r="T72" s="447"/>
      <c r="U72" s="447"/>
      <c r="V72" s="447"/>
      <c r="W72" s="447"/>
      <c r="X72" s="447"/>
      <c r="Y72" s="447"/>
      <c r="Z72" s="447"/>
      <c r="AA72" s="447"/>
      <c r="AB72" s="467"/>
      <c r="AC72" s="467"/>
      <c r="AD72" s="469"/>
      <c r="AF72" s="53"/>
    </row>
    <row r="73" spans="1:32" ht="26.25" customHeight="1" thickBot="1">
      <c r="A73" s="470" t="s">
        <v>561</v>
      </c>
      <c r="B73" s="470"/>
      <c r="C73" s="470"/>
      <c r="D73" s="470"/>
      <c r="E73" s="470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471" t="s">
        <v>115</v>
      </c>
      <c r="B74" s="472"/>
      <c r="C74" s="238" t="s">
        <v>2</v>
      </c>
      <c r="D74" s="238" t="s">
        <v>38</v>
      </c>
      <c r="E74" s="238" t="s">
        <v>3</v>
      </c>
      <c r="F74" s="472" t="s">
        <v>39</v>
      </c>
      <c r="G74" s="472"/>
      <c r="H74" s="472"/>
      <c r="I74" s="472"/>
      <c r="J74" s="472"/>
      <c r="K74" s="473" t="s">
        <v>60</v>
      </c>
      <c r="L74" s="474"/>
      <c r="M74" s="474"/>
      <c r="N74" s="474"/>
      <c r="O74" s="474"/>
      <c r="P74" s="474"/>
      <c r="Q74" s="474"/>
      <c r="R74" s="474"/>
      <c r="S74" s="475"/>
      <c r="T74" s="472" t="s">
        <v>50</v>
      </c>
      <c r="U74" s="472"/>
      <c r="V74" s="473" t="s">
        <v>51</v>
      </c>
      <c r="W74" s="475"/>
      <c r="X74" s="474" t="s">
        <v>52</v>
      </c>
      <c r="Y74" s="474"/>
      <c r="Z74" s="474"/>
      <c r="AA74" s="474"/>
      <c r="AB74" s="474"/>
      <c r="AC74" s="474"/>
      <c r="AD74" s="476"/>
      <c r="AF74" s="53"/>
    </row>
    <row r="75" spans="1:32" ht="33.75" customHeight="1">
      <c r="A75" s="485">
        <v>1</v>
      </c>
      <c r="B75" s="486"/>
      <c r="C75" s="236" t="s">
        <v>118</v>
      </c>
      <c r="D75" s="236"/>
      <c r="E75" s="71" t="s">
        <v>124</v>
      </c>
      <c r="F75" s="487" t="s">
        <v>125</v>
      </c>
      <c r="G75" s="488"/>
      <c r="H75" s="488"/>
      <c r="I75" s="488"/>
      <c r="J75" s="489"/>
      <c r="K75" s="490" t="s">
        <v>120</v>
      </c>
      <c r="L75" s="491"/>
      <c r="M75" s="491"/>
      <c r="N75" s="491"/>
      <c r="O75" s="491"/>
      <c r="P75" s="491"/>
      <c r="Q75" s="491"/>
      <c r="R75" s="491"/>
      <c r="S75" s="492"/>
      <c r="T75" s="493">
        <v>42901</v>
      </c>
      <c r="U75" s="494"/>
      <c r="V75" s="495"/>
      <c r="W75" s="495"/>
      <c r="X75" s="496"/>
      <c r="Y75" s="496"/>
      <c r="Z75" s="496"/>
      <c r="AA75" s="496"/>
      <c r="AB75" s="496"/>
      <c r="AC75" s="496"/>
      <c r="AD75" s="497"/>
      <c r="AF75" s="53"/>
    </row>
    <row r="76" spans="1:32" ht="30" customHeight="1">
      <c r="A76" s="477">
        <f>A75+1</f>
        <v>2</v>
      </c>
      <c r="B76" s="478"/>
      <c r="C76" s="235" t="s">
        <v>118</v>
      </c>
      <c r="D76" s="235"/>
      <c r="E76" s="35" t="s">
        <v>121</v>
      </c>
      <c r="F76" s="478" t="s">
        <v>122</v>
      </c>
      <c r="G76" s="478"/>
      <c r="H76" s="478"/>
      <c r="I76" s="478"/>
      <c r="J76" s="478"/>
      <c r="K76" s="479" t="s">
        <v>123</v>
      </c>
      <c r="L76" s="480"/>
      <c r="M76" s="480"/>
      <c r="N76" s="480"/>
      <c r="O76" s="480"/>
      <c r="P76" s="480"/>
      <c r="Q76" s="480"/>
      <c r="R76" s="480"/>
      <c r="S76" s="481"/>
      <c r="T76" s="482">
        <v>42867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ref="A77:A83" si="28">A76+1</f>
        <v>3</v>
      </c>
      <c r="B77" s="478"/>
      <c r="C77" s="235" t="s">
        <v>144</v>
      </c>
      <c r="D77" s="235"/>
      <c r="E77" s="35" t="s">
        <v>139</v>
      </c>
      <c r="F77" s="478" t="s">
        <v>145</v>
      </c>
      <c r="G77" s="478"/>
      <c r="H77" s="478"/>
      <c r="I77" s="478"/>
      <c r="J77" s="478"/>
      <c r="K77" s="479" t="s">
        <v>120</v>
      </c>
      <c r="L77" s="480"/>
      <c r="M77" s="480"/>
      <c r="N77" s="480"/>
      <c r="O77" s="480"/>
      <c r="P77" s="480"/>
      <c r="Q77" s="480"/>
      <c r="R77" s="480"/>
      <c r="S77" s="481"/>
      <c r="T77" s="482">
        <v>42937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28"/>
        <v>4</v>
      </c>
      <c r="B78" s="478"/>
      <c r="C78" s="235" t="s">
        <v>119</v>
      </c>
      <c r="D78" s="235"/>
      <c r="E78" s="35" t="s">
        <v>137</v>
      </c>
      <c r="F78" s="478" t="s">
        <v>138</v>
      </c>
      <c r="G78" s="478"/>
      <c r="H78" s="478"/>
      <c r="I78" s="478"/>
      <c r="J78" s="478"/>
      <c r="K78" s="479" t="s">
        <v>140</v>
      </c>
      <c r="L78" s="480"/>
      <c r="M78" s="480"/>
      <c r="N78" s="480"/>
      <c r="O78" s="480"/>
      <c r="P78" s="480"/>
      <c r="Q78" s="480"/>
      <c r="R78" s="480"/>
      <c r="S78" s="481"/>
      <c r="T78" s="482">
        <v>42920</v>
      </c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28"/>
        <v>5</v>
      </c>
      <c r="B79" s="478"/>
      <c r="C79" s="235"/>
      <c r="D79" s="235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28"/>
        <v>6</v>
      </c>
      <c r="B80" s="478"/>
      <c r="C80" s="235"/>
      <c r="D80" s="235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28"/>
        <v>7</v>
      </c>
      <c r="B81" s="478"/>
      <c r="C81" s="235"/>
      <c r="D81" s="235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0" customHeight="1">
      <c r="A82" s="477">
        <f t="shared" si="28"/>
        <v>8</v>
      </c>
      <c r="B82" s="478"/>
      <c r="C82" s="235"/>
      <c r="D82" s="235"/>
      <c r="E82" s="35"/>
      <c r="F82" s="478"/>
      <c r="G82" s="478"/>
      <c r="H82" s="478"/>
      <c r="I82" s="478"/>
      <c r="J82" s="478"/>
      <c r="K82" s="479"/>
      <c r="L82" s="480"/>
      <c r="M82" s="480"/>
      <c r="N82" s="480"/>
      <c r="O82" s="480"/>
      <c r="P82" s="480"/>
      <c r="Q82" s="480"/>
      <c r="R82" s="480"/>
      <c r="S82" s="481"/>
      <c r="T82" s="482"/>
      <c r="U82" s="482"/>
      <c r="V82" s="482"/>
      <c r="W82" s="482"/>
      <c r="X82" s="483"/>
      <c r="Y82" s="483"/>
      <c r="Z82" s="483"/>
      <c r="AA82" s="483"/>
      <c r="AB82" s="483"/>
      <c r="AC82" s="483"/>
      <c r="AD82" s="484"/>
      <c r="AF82" s="53"/>
    </row>
    <row r="83" spans="1:32" ht="30" customHeight="1">
      <c r="A83" s="477">
        <f t="shared" si="28"/>
        <v>9</v>
      </c>
      <c r="B83" s="478"/>
      <c r="C83" s="235"/>
      <c r="D83" s="235"/>
      <c r="E83" s="35"/>
      <c r="F83" s="478"/>
      <c r="G83" s="478"/>
      <c r="H83" s="478"/>
      <c r="I83" s="478"/>
      <c r="J83" s="478"/>
      <c r="K83" s="479"/>
      <c r="L83" s="480"/>
      <c r="M83" s="480"/>
      <c r="N83" s="480"/>
      <c r="O83" s="480"/>
      <c r="P83" s="480"/>
      <c r="Q83" s="480"/>
      <c r="R83" s="480"/>
      <c r="S83" s="481"/>
      <c r="T83" s="482"/>
      <c r="U83" s="482"/>
      <c r="V83" s="482"/>
      <c r="W83" s="482"/>
      <c r="X83" s="483"/>
      <c r="Y83" s="483"/>
      <c r="Z83" s="483"/>
      <c r="AA83" s="483"/>
      <c r="AB83" s="483"/>
      <c r="AC83" s="483"/>
      <c r="AD83" s="484"/>
      <c r="AF83" s="53"/>
    </row>
    <row r="84" spans="1:32" ht="36" thickBot="1">
      <c r="A84" s="470" t="s">
        <v>562</v>
      </c>
      <c r="B84" s="470"/>
      <c r="C84" s="470"/>
      <c r="D84" s="470"/>
      <c r="E84" s="470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498" t="s">
        <v>37</v>
      </c>
      <c r="B85" s="499"/>
      <c r="C85" s="499" t="s">
        <v>53</v>
      </c>
      <c r="D85" s="499"/>
      <c r="E85" s="499" t="s">
        <v>54</v>
      </c>
      <c r="F85" s="499"/>
      <c r="G85" s="499"/>
      <c r="H85" s="499"/>
      <c r="I85" s="499"/>
      <c r="J85" s="499"/>
      <c r="K85" s="499" t="s">
        <v>55</v>
      </c>
      <c r="L85" s="499"/>
      <c r="M85" s="499"/>
      <c r="N85" s="499"/>
      <c r="O85" s="499"/>
      <c r="P85" s="499"/>
      <c r="Q85" s="499"/>
      <c r="R85" s="499"/>
      <c r="S85" s="499"/>
      <c r="T85" s="499" t="s">
        <v>56</v>
      </c>
      <c r="U85" s="499"/>
      <c r="V85" s="499" t="s">
        <v>57</v>
      </c>
      <c r="W85" s="499"/>
      <c r="X85" s="499"/>
      <c r="Y85" s="499" t="s">
        <v>52</v>
      </c>
      <c r="Z85" s="499"/>
      <c r="AA85" s="499"/>
      <c r="AB85" s="499"/>
      <c r="AC85" s="499"/>
      <c r="AD85" s="500"/>
      <c r="AF85" s="53"/>
    </row>
    <row r="86" spans="1:32" ht="30.75" customHeight="1">
      <c r="A86" s="485">
        <v>1</v>
      </c>
      <c r="B86" s="486"/>
      <c r="C86" s="501">
        <v>1</v>
      </c>
      <c r="D86" s="501"/>
      <c r="E86" s="501" t="s">
        <v>129</v>
      </c>
      <c r="F86" s="501"/>
      <c r="G86" s="501"/>
      <c r="H86" s="501"/>
      <c r="I86" s="501"/>
      <c r="J86" s="501"/>
      <c r="K86" s="501" t="s">
        <v>130</v>
      </c>
      <c r="L86" s="501"/>
      <c r="M86" s="501"/>
      <c r="N86" s="501"/>
      <c r="O86" s="501"/>
      <c r="P86" s="501"/>
      <c r="Q86" s="501"/>
      <c r="R86" s="501"/>
      <c r="S86" s="501"/>
      <c r="T86" s="501" t="s">
        <v>131</v>
      </c>
      <c r="U86" s="501"/>
      <c r="V86" s="502">
        <v>1500000</v>
      </c>
      <c r="W86" s="502"/>
      <c r="X86" s="502"/>
      <c r="Y86" s="503" t="s">
        <v>132</v>
      </c>
      <c r="Z86" s="503"/>
      <c r="AA86" s="503"/>
      <c r="AB86" s="503"/>
      <c r="AC86" s="503"/>
      <c r="AD86" s="504"/>
      <c r="AF86" s="53"/>
    </row>
    <row r="87" spans="1:32" ht="30.75" customHeight="1">
      <c r="A87" s="477">
        <v>2</v>
      </c>
      <c r="B87" s="478"/>
      <c r="C87" s="512"/>
      <c r="D87" s="512"/>
      <c r="E87" s="512"/>
      <c r="F87" s="512"/>
      <c r="G87" s="512"/>
      <c r="H87" s="512"/>
      <c r="I87" s="512"/>
      <c r="J87" s="512"/>
      <c r="K87" s="512"/>
      <c r="L87" s="512"/>
      <c r="M87" s="512"/>
      <c r="N87" s="512"/>
      <c r="O87" s="512"/>
      <c r="P87" s="512"/>
      <c r="Q87" s="512"/>
      <c r="R87" s="512"/>
      <c r="S87" s="512"/>
      <c r="T87" s="513"/>
      <c r="U87" s="513"/>
      <c r="V87" s="514"/>
      <c r="W87" s="514"/>
      <c r="X87" s="514"/>
      <c r="Y87" s="505"/>
      <c r="Z87" s="505"/>
      <c r="AA87" s="505"/>
      <c r="AB87" s="505"/>
      <c r="AC87" s="505"/>
      <c r="AD87" s="506"/>
      <c r="AF87" s="53"/>
    </row>
    <row r="88" spans="1:32" ht="30.75" customHeight="1" thickBot="1">
      <c r="A88" s="507">
        <v>3</v>
      </c>
      <c r="B88" s="508"/>
      <c r="C88" s="509"/>
      <c r="D88" s="509"/>
      <c r="E88" s="509"/>
      <c r="F88" s="509"/>
      <c r="G88" s="509"/>
      <c r="H88" s="509"/>
      <c r="I88" s="509"/>
      <c r="J88" s="509"/>
      <c r="K88" s="509"/>
      <c r="L88" s="509"/>
      <c r="M88" s="509"/>
      <c r="N88" s="509"/>
      <c r="O88" s="509"/>
      <c r="P88" s="509"/>
      <c r="Q88" s="509"/>
      <c r="R88" s="509"/>
      <c r="S88" s="509"/>
      <c r="T88" s="509"/>
      <c r="U88" s="509"/>
      <c r="V88" s="509"/>
      <c r="W88" s="509"/>
      <c r="X88" s="509"/>
      <c r="Y88" s="510"/>
      <c r="Z88" s="510"/>
      <c r="AA88" s="510"/>
      <c r="AB88" s="510"/>
      <c r="AC88" s="510"/>
      <c r="AD88" s="511"/>
      <c r="AF88" s="53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J87"/>
  <sheetViews>
    <sheetView topLeftCell="A43" zoomScale="72" zoomScaleNormal="72" zoomScaleSheetLayoutView="70" workbookViewId="0">
      <selection activeCell="L19" sqref="L1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573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247" t="s">
        <v>17</v>
      </c>
      <c r="L5" s="247" t="s">
        <v>18</v>
      </c>
      <c r="M5" s="247" t="s">
        <v>19</v>
      </c>
      <c r="N5" s="24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0.46600682311108238</v>
      </c>
      <c r="AF6" s="94">
        <f t="shared" ref="AF6:AF21" si="8">A6</f>
        <v>1</v>
      </c>
    </row>
    <row r="7" spans="1:36" ht="27" customHeight="1">
      <c r="A7" s="108">
        <v>2</v>
      </c>
      <c r="B7" s="11" t="s">
        <v>518</v>
      </c>
      <c r="C7" s="37" t="s">
        <v>119</v>
      </c>
      <c r="D7" s="55" t="s">
        <v>151</v>
      </c>
      <c r="E7" s="57" t="s">
        <v>519</v>
      </c>
      <c r="F7" s="33" t="s">
        <v>133</v>
      </c>
      <c r="G7" s="12">
        <v>1</v>
      </c>
      <c r="H7" s="13">
        <v>25</v>
      </c>
      <c r="I7" s="34">
        <v>40000</v>
      </c>
      <c r="J7" s="5">
        <v>4660</v>
      </c>
      <c r="K7" s="15">
        <f>L7+2045</f>
        <v>6705</v>
      </c>
      <c r="L7" s="15">
        <f>2440+2220</f>
        <v>4660</v>
      </c>
      <c r="M7" s="16">
        <f t="shared" si="0"/>
        <v>4660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1</v>
      </c>
      <c r="AC7" s="9">
        <f t="shared" si="5"/>
        <v>1</v>
      </c>
      <c r="AD7" s="10">
        <f t="shared" si="6"/>
        <v>1</v>
      </c>
      <c r="AE7" s="39">
        <f t="shared" si="7"/>
        <v>0.46600682311108238</v>
      </c>
      <c r="AF7" s="94">
        <f t="shared" si="8"/>
        <v>2</v>
      </c>
    </row>
    <row r="8" spans="1:36" ht="27" customHeight="1">
      <c r="A8" s="109">
        <v>3</v>
      </c>
      <c r="B8" s="11" t="s">
        <v>518</v>
      </c>
      <c r="C8" s="11" t="s">
        <v>119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40000</v>
      </c>
      <c r="J8" s="14">
        <v>3290</v>
      </c>
      <c r="K8" s="15">
        <f>8000+L8+4566+5171+2860+4516</f>
        <v>28399</v>
      </c>
      <c r="L8" s="15">
        <f>2205+1081</f>
        <v>3286</v>
      </c>
      <c r="M8" s="16">
        <f t="shared" si="0"/>
        <v>3286</v>
      </c>
      <c r="N8" s="16">
        <v>0</v>
      </c>
      <c r="O8" s="62">
        <f t="shared" si="1"/>
        <v>0</v>
      </c>
      <c r="P8" s="42">
        <f t="shared" si="2"/>
        <v>20</v>
      </c>
      <c r="Q8" s="43">
        <f t="shared" si="3"/>
        <v>4</v>
      </c>
      <c r="R8" s="7"/>
      <c r="S8" s="6">
        <v>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0.99878419452887535</v>
      </c>
      <c r="AC8" s="9">
        <f t="shared" si="5"/>
        <v>0.83333333333333337</v>
      </c>
      <c r="AD8" s="10">
        <f t="shared" si="6"/>
        <v>0.83232016210739612</v>
      </c>
      <c r="AE8" s="39">
        <f t="shared" si="7"/>
        <v>0.46600682311108238</v>
      </c>
      <c r="AF8" s="94">
        <f>A8</f>
        <v>3</v>
      </c>
    </row>
    <row r="9" spans="1:36" ht="27" customHeight="1">
      <c r="A9" s="110">
        <v>4</v>
      </c>
      <c r="B9" s="11" t="s">
        <v>518</v>
      </c>
      <c r="C9" s="11" t="s">
        <v>119</v>
      </c>
      <c r="D9" s="55" t="s">
        <v>520</v>
      </c>
      <c r="E9" s="56" t="s">
        <v>521</v>
      </c>
      <c r="F9" s="12" t="s">
        <v>522</v>
      </c>
      <c r="G9" s="36">
        <v>1</v>
      </c>
      <c r="H9" s="38">
        <v>25</v>
      </c>
      <c r="I9" s="34">
        <v>40000</v>
      </c>
      <c r="J9" s="5">
        <v>4810</v>
      </c>
      <c r="K9" s="15">
        <f>L9+2467</f>
        <v>7268</v>
      </c>
      <c r="L9" s="15">
        <f>2965+1836</f>
        <v>4801</v>
      </c>
      <c r="M9" s="16">
        <f t="shared" si="0"/>
        <v>4801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0.99812889812889816</v>
      </c>
      <c r="AC9" s="9">
        <f t="shared" si="5"/>
        <v>1</v>
      </c>
      <c r="AD9" s="10">
        <f t="shared" si="6"/>
        <v>0.99812889812889816</v>
      </c>
      <c r="AE9" s="39">
        <f t="shared" si="7"/>
        <v>0.46600682311108238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251</v>
      </c>
      <c r="D10" s="55" t="s">
        <v>291</v>
      </c>
      <c r="E10" s="57" t="s">
        <v>331</v>
      </c>
      <c r="F10" s="12" t="s">
        <v>254</v>
      </c>
      <c r="G10" s="12">
        <v>1</v>
      </c>
      <c r="H10" s="13">
        <v>25</v>
      </c>
      <c r="I10" s="34">
        <v>2000</v>
      </c>
      <c r="J10" s="14">
        <v>51</v>
      </c>
      <c r="K10" s="15">
        <f>L10+703+47+812+421+506</f>
        <v>2540</v>
      </c>
      <c r="L10" s="15">
        <v>51</v>
      </c>
      <c r="M10" s="16">
        <f t="shared" si="0"/>
        <v>51</v>
      </c>
      <c r="N10" s="16">
        <v>0</v>
      </c>
      <c r="O10" s="62">
        <f t="shared" si="1"/>
        <v>0</v>
      </c>
      <c r="P10" s="42">
        <f t="shared" si="2"/>
        <v>3</v>
      </c>
      <c r="Q10" s="43">
        <f t="shared" si="3"/>
        <v>21</v>
      </c>
      <c r="R10" s="7"/>
      <c r="S10" s="6"/>
      <c r="T10" s="17"/>
      <c r="U10" s="17"/>
      <c r="V10" s="18"/>
      <c r="W10" s="19">
        <v>21</v>
      </c>
      <c r="X10" s="17"/>
      <c r="Y10" s="20"/>
      <c r="Z10" s="20"/>
      <c r="AA10" s="21"/>
      <c r="AB10" s="8">
        <f t="shared" si="4"/>
        <v>1</v>
      </c>
      <c r="AC10" s="9">
        <f t="shared" si="5"/>
        <v>0.125</v>
      </c>
      <c r="AD10" s="10">
        <f t="shared" si="6"/>
        <v>0.125</v>
      </c>
      <c r="AE10" s="39">
        <f t="shared" si="7"/>
        <v>0.46600682311108238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118</v>
      </c>
      <c r="D11" s="55" t="s">
        <v>485</v>
      </c>
      <c r="E11" s="56" t="s">
        <v>486</v>
      </c>
      <c r="F11" s="12">
        <v>8301</v>
      </c>
      <c r="G11" s="12">
        <v>1</v>
      </c>
      <c r="H11" s="13">
        <v>25</v>
      </c>
      <c r="I11" s="34">
        <v>5000</v>
      </c>
      <c r="J11" s="14">
        <v>700</v>
      </c>
      <c r="K11" s="15">
        <f>L11+4563+692</f>
        <v>5255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18</v>
      </c>
      <c r="R11" s="7"/>
      <c r="S11" s="6"/>
      <c r="T11" s="17"/>
      <c r="U11" s="17"/>
      <c r="V11" s="18"/>
      <c r="W11" s="19">
        <v>18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0.46600682311108238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293</v>
      </c>
      <c r="D12" s="55" t="s">
        <v>294</v>
      </c>
      <c r="E12" s="57" t="s">
        <v>295</v>
      </c>
      <c r="F12" s="12" t="s">
        <v>296</v>
      </c>
      <c r="G12" s="12">
        <v>1</v>
      </c>
      <c r="H12" s="13">
        <v>25</v>
      </c>
      <c r="I12" s="7">
        <v>35000</v>
      </c>
      <c r="J12" s="14">
        <v>3680</v>
      </c>
      <c r="K12" s="15">
        <f>L12+3048+3908+1500</f>
        <v>12130</v>
      </c>
      <c r="L12" s="15">
        <f>2320+1354</f>
        <v>3674</v>
      </c>
      <c r="M12" s="16">
        <f t="shared" si="0"/>
        <v>3674</v>
      </c>
      <c r="N12" s="16">
        <v>0</v>
      </c>
      <c r="O12" s="62">
        <f t="shared" si="1"/>
        <v>0</v>
      </c>
      <c r="P12" s="42">
        <f t="shared" si="2"/>
        <v>21</v>
      </c>
      <c r="Q12" s="43">
        <f t="shared" si="3"/>
        <v>3</v>
      </c>
      <c r="R12" s="7"/>
      <c r="S12" s="6">
        <v>3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0.99836956521739129</v>
      </c>
      <c r="AC12" s="9">
        <f t="shared" si="5"/>
        <v>0.875</v>
      </c>
      <c r="AD12" s="10">
        <f t="shared" si="6"/>
        <v>0.87357336956521736</v>
      </c>
      <c r="AE12" s="39">
        <f t="shared" si="7"/>
        <v>0.46600682311108238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119</v>
      </c>
      <c r="D13" s="55" t="s">
        <v>563</v>
      </c>
      <c r="E13" s="57" t="s">
        <v>564</v>
      </c>
      <c r="F13" s="12" t="s">
        <v>565</v>
      </c>
      <c r="G13" s="12">
        <v>1</v>
      </c>
      <c r="H13" s="13">
        <v>25</v>
      </c>
      <c r="I13" s="7">
        <v>1000</v>
      </c>
      <c r="J13" s="14">
        <v>1110</v>
      </c>
      <c r="K13" s="15">
        <f>L13</f>
        <v>1105</v>
      </c>
      <c r="L13" s="15">
        <v>1105</v>
      </c>
      <c r="M13" s="16">
        <f t="shared" si="0"/>
        <v>1105</v>
      </c>
      <c r="N13" s="16">
        <v>0</v>
      </c>
      <c r="O13" s="62">
        <f t="shared" si="1"/>
        <v>0</v>
      </c>
      <c r="P13" s="42">
        <f t="shared" si="2"/>
        <v>6</v>
      </c>
      <c r="Q13" s="43">
        <f t="shared" si="3"/>
        <v>18</v>
      </c>
      <c r="R13" s="7"/>
      <c r="S13" s="6"/>
      <c r="T13" s="17"/>
      <c r="U13" s="17"/>
      <c r="V13" s="18"/>
      <c r="W13" s="19">
        <v>18</v>
      </c>
      <c r="X13" s="17"/>
      <c r="Y13" s="20"/>
      <c r="Z13" s="20"/>
      <c r="AA13" s="21"/>
      <c r="AB13" s="8">
        <f t="shared" si="4"/>
        <v>0.99549549549549554</v>
      </c>
      <c r="AC13" s="9">
        <f t="shared" si="5"/>
        <v>0.25</v>
      </c>
      <c r="AD13" s="10">
        <f t="shared" si="6"/>
        <v>0.24887387387387389</v>
      </c>
      <c r="AE13" s="39">
        <f t="shared" si="7"/>
        <v>0.46600682311108238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159</v>
      </c>
      <c r="F14" s="33" t="s">
        <v>160</v>
      </c>
      <c r="G14" s="36">
        <v>1</v>
      </c>
      <c r="H14" s="38">
        <v>40</v>
      </c>
      <c r="I14" s="7">
        <v>200</v>
      </c>
      <c r="J14" s="5">
        <v>556</v>
      </c>
      <c r="K14" s="15">
        <f>L14+106+556</f>
        <v>662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0.46600682311108238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334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L15+903</f>
        <v>903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0.46600682311108238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119</v>
      </c>
      <c r="D16" s="55" t="s">
        <v>126</v>
      </c>
      <c r="E16" s="56" t="s">
        <v>523</v>
      </c>
      <c r="F16" s="12">
        <v>7301</v>
      </c>
      <c r="G16" s="36">
        <v>1</v>
      </c>
      <c r="H16" s="38">
        <v>25</v>
      </c>
      <c r="I16" s="7">
        <v>40000</v>
      </c>
      <c r="J16" s="14">
        <v>5570</v>
      </c>
      <c r="K16" s="15">
        <f>L16+3005</f>
        <v>8569</v>
      </c>
      <c r="L16" s="15">
        <f>2900+2664</f>
        <v>5564</v>
      </c>
      <c r="M16" s="16">
        <f t="shared" si="0"/>
        <v>5564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0.99892280071813289</v>
      </c>
      <c r="AC16" s="9">
        <f t="shared" si="5"/>
        <v>1</v>
      </c>
      <c r="AD16" s="10">
        <f t="shared" si="6"/>
        <v>0.99892280071813289</v>
      </c>
      <c r="AE16" s="39">
        <f t="shared" si="7"/>
        <v>0.46600682311108238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410</v>
      </c>
      <c r="D17" s="55" t="s">
        <v>411</v>
      </c>
      <c r="E17" s="56" t="s">
        <v>412</v>
      </c>
      <c r="F17" s="12">
        <v>8301</v>
      </c>
      <c r="G17" s="12">
        <v>1</v>
      </c>
      <c r="H17" s="13">
        <v>25</v>
      </c>
      <c r="I17" s="34">
        <v>500</v>
      </c>
      <c r="J17" s="5">
        <v>632</v>
      </c>
      <c r="K17" s="15">
        <f>L17+632</f>
        <v>632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0.46600682311108238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524</v>
      </c>
      <c r="D18" s="55" t="s">
        <v>566</v>
      </c>
      <c r="E18" s="57" t="s">
        <v>567</v>
      </c>
      <c r="F18" s="33" t="s">
        <v>568</v>
      </c>
      <c r="G18" s="12">
        <v>2</v>
      </c>
      <c r="H18" s="13">
        <v>25</v>
      </c>
      <c r="I18" s="34">
        <v>2000</v>
      </c>
      <c r="J18" s="5">
        <v>2120</v>
      </c>
      <c r="K18" s="15">
        <f>L18</f>
        <v>2116</v>
      </c>
      <c r="L18" s="15">
        <f>1058*2</f>
        <v>2116</v>
      </c>
      <c r="M18" s="16">
        <f t="shared" si="0"/>
        <v>2116</v>
      </c>
      <c r="N18" s="16">
        <v>0</v>
      </c>
      <c r="O18" s="62">
        <f t="shared" si="1"/>
        <v>0</v>
      </c>
      <c r="P18" s="42">
        <f t="shared" si="2"/>
        <v>10</v>
      </c>
      <c r="Q18" s="43">
        <f t="shared" si="3"/>
        <v>14</v>
      </c>
      <c r="R18" s="7"/>
      <c r="S18" s="6"/>
      <c r="T18" s="17"/>
      <c r="U18" s="17"/>
      <c r="V18" s="18"/>
      <c r="W18" s="19">
        <v>14</v>
      </c>
      <c r="X18" s="17"/>
      <c r="Y18" s="20"/>
      <c r="Z18" s="20"/>
      <c r="AA18" s="21"/>
      <c r="AB18" s="8">
        <f t="shared" si="4"/>
        <v>0.99811320754716981</v>
      </c>
      <c r="AC18" s="9">
        <f t="shared" si="5"/>
        <v>0.41666666666666669</v>
      </c>
      <c r="AD18" s="10">
        <f t="shared" si="6"/>
        <v>0.41588050314465408</v>
      </c>
      <c r="AE18" s="39">
        <f t="shared" si="7"/>
        <v>0.46600682311108238</v>
      </c>
      <c r="AF18" s="94">
        <f t="shared" si="8"/>
        <v>13</v>
      </c>
    </row>
    <row r="19" spans="1:32" ht="27" customHeight="1">
      <c r="A19" s="110">
        <v>13</v>
      </c>
      <c r="B19" s="11" t="s">
        <v>59</v>
      </c>
      <c r="C19" s="37" t="s">
        <v>569</v>
      </c>
      <c r="D19" s="55" t="s">
        <v>570</v>
      </c>
      <c r="E19" s="57" t="s">
        <v>571</v>
      </c>
      <c r="F19" s="33" t="s">
        <v>572</v>
      </c>
      <c r="G19" s="12">
        <v>1</v>
      </c>
      <c r="H19" s="13">
        <v>25</v>
      </c>
      <c r="I19" s="34">
        <v>35000</v>
      </c>
      <c r="J19" s="5">
        <v>2980</v>
      </c>
      <c r="K19" s="15">
        <f>L19</f>
        <v>2973</v>
      </c>
      <c r="L19" s="15">
        <v>2973</v>
      </c>
      <c r="M19" s="16">
        <f t="shared" ref="M19" si="9">L19-N19</f>
        <v>2973</v>
      </c>
      <c r="N19" s="16">
        <v>0</v>
      </c>
      <c r="O19" s="62">
        <f t="shared" ref="O19" si="10">IF(L19=0,"0",N19/L19)</f>
        <v>0</v>
      </c>
      <c r="P19" s="42">
        <f t="shared" ref="P19" si="11">IF(L19=0,"0",(24-Q19))</f>
        <v>12</v>
      </c>
      <c r="Q19" s="43">
        <f t="shared" ref="Q19" si="12">SUM(R19:AA19)</f>
        <v>12</v>
      </c>
      <c r="R19" s="7"/>
      <c r="S19" s="6"/>
      <c r="T19" s="17">
        <v>12</v>
      </c>
      <c r="U19" s="17"/>
      <c r="V19" s="18"/>
      <c r="W19" s="19"/>
      <c r="X19" s="17"/>
      <c r="Y19" s="20"/>
      <c r="Z19" s="20"/>
      <c r="AA19" s="21"/>
      <c r="AB19" s="8">
        <f t="shared" ref="AB19" si="13">IF(J19=0,"0",(L19/J19))</f>
        <v>0.99765100671140938</v>
      </c>
      <c r="AC19" s="9">
        <f t="shared" ref="AC19" si="14">IF(P19=0,"0",(P19/24))</f>
        <v>0.5</v>
      </c>
      <c r="AD19" s="10">
        <f t="shared" ref="AD19" si="15">AC19*AB19*(1-O19)</f>
        <v>0.49882550335570469</v>
      </c>
      <c r="AE19" s="39">
        <f t="shared" si="7"/>
        <v>0.46600682311108238</v>
      </c>
      <c r="AF19" s="94">
        <f t="shared" ref="AF19" si="16">A19</f>
        <v>13</v>
      </c>
    </row>
    <row r="20" spans="1:32" ht="27" customHeight="1">
      <c r="A20" s="110">
        <v>14</v>
      </c>
      <c r="B20" s="11" t="s">
        <v>59</v>
      </c>
      <c r="C20" s="37" t="s">
        <v>119</v>
      </c>
      <c r="D20" s="55" t="s">
        <v>58</v>
      </c>
      <c r="E20" s="57" t="s">
        <v>134</v>
      </c>
      <c r="F20" s="33" t="s">
        <v>136</v>
      </c>
      <c r="G20" s="36">
        <v>1</v>
      </c>
      <c r="H20" s="38">
        <v>25</v>
      </c>
      <c r="I20" s="7">
        <v>40000</v>
      </c>
      <c r="J20" s="5">
        <v>4920</v>
      </c>
      <c r="K20" s="15">
        <f>L20+4891+5116+437+4687+2909+3071+5068</f>
        <v>31092</v>
      </c>
      <c r="L20" s="15">
        <f>2689+2224</f>
        <v>4913</v>
      </c>
      <c r="M20" s="16">
        <f t="shared" si="0"/>
        <v>4913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0.99857723577235769</v>
      </c>
      <c r="AC20" s="9">
        <f t="shared" si="5"/>
        <v>1</v>
      </c>
      <c r="AD20" s="10">
        <f t="shared" si="6"/>
        <v>0.99857723577235769</v>
      </c>
      <c r="AE20" s="39">
        <f t="shared" si="7"/>
        <v>0.46600682311108238</v>
      </c>
      <c r="AF20" s="94">
        <f t="shared" si="8"/>
        <v>14</v>
      </c>
    </row>
    <row r="21" spans="1:32" ht="27" customHeight="1" thickBot="1">
      <c r="A21" s="110">
        <v>15</v>
      </c>
      <c r="B21" s="11" t="s">
        <v>59</v>
      </c>
      <c r="C21" s="11" t="s">
        <v>116</v>
      </c>
      <c r="D21" s="55"/>
      <c r="E21" s="56" t="s">
        <v>157</v>
      </c>
      <c r="F21" s="12" t="s">
        <v>117</v>
      </c>
      <c r="G21" s="12">
        <v>4</v>
      </c>
      <c r="H21" s="38">
        <v>20</v>
      </c>
      <c r="I21" s="7">
        <v>200000</v>
      </c>
      <c r="J21" s="14">
        <v>57280</v>
      </c>
      <c r="K21" s="15">
        <f>L21+40792+68628+25624+56572+59804+61268+59600+51196+44324+59348+54044+27196+52908+59372+59200+57276</f>
        <v>837152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0.46600682311108238</v>
      </c>
      <c r="AF21" s="94">
        <f t="shared" si="8"/>
        <v>15</v>
      </c>
    </row>
    <row r="22" spans="1:32" ht="31.5" customHeight="1" thickBot="1">
      <c r="A22" s="418" t="s">
        <v>34</v>
      </c>
      <c r="B22" s="419"/>
      <c r="C22" s="419"/>
      <c r="D22" s="419"/>
      <c r="E22" s="419"/>
      <c r="F22" s="419"/>
      <c r="G22" s="419"/>
      <c r="H22" s="420"/>
      <c r="I22" s="25">
        <f t="shared" ref="I22:N22" si="17">SUM(I6:I21)</f>
        <v>482350</v>
      </c>
      <c r="J22" s="22">
        <f t="shared" si="17"/>
        <v>95239</v>
      </c>
      <c r="K22" s="23">
        <f t="shared" si="17"/>
        <v>949463</v>
      </c>
      <c r="L22" s="24">
        <f t="shared" si="17"/>
        <v>33143</v>
      </c>
      <c r="M22" s="23">
        <f t="shared" si="17"/>
        <v>33143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168</v>
      </c>
      <c r="Q22" s="46">
        <f t="shared" si="18"/>
        <v>210</v>
      </c>
      <c r="R22" s="26">
        <f t="shared" si="18"/>
        <v>24</v>
      </c>
      <c r="S22" s="27">
        <f t="shared" si="18"/>
        <v>7</v>
      </c>
      <c r="T22" s="27">
        <f t="shared" si="18"/>
        <v>12</v>
      </c>
      <c r="U22" s="27">
        <f t="shared" si="18"/>
        <v>0</v>
      </c>
      <c r="V22" s="28">
        <f t="shared" si="18"/>
        <v>0</v>
      </c>
      <c r="W22" s="29">
        <f t="shared" si="18"/>
        <v>167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0.66560282694131523</v>
      </c>
      <c r="AC22" s="4">
        <f>SUM(AC6:AC21)/15</f>
        <v>0.46666666666666673</v>
      </c>
      <c r="AD22" s="4">
        <f>SUM(AD6:AD21)/15</f>
        <v>0.46600682311108238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21" t="s">
        <v>46</v>
      </c>
      <c r="B49" s="421"/>
      <c r="C49" s="421"/>
      <c r="D49" s="421"/>
      <c r="E49" s="42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22" t="s">
        <v>574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4"/>
      <c r="N50" s="425" t="s">
        <v>582</v>
      </c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26"/>
      <c r="AD50" s="427"/>
    </row>
    <row r="51" spans="1:32" ht="27" customHeight="1">
      <c r="A51" s="428" t="s">
        <v>2</v>
      </c>
      <c r="B51" s="429"/>
      <c r="C51" s="248" t="s">
        <v>47</v>
      </c>
      <c r="D51" s="248" t="s">
        <v>48</v>
      </c>
      <c r="E51" s="248" t="s">
        <v>110</v>
      </c>
      <c r="F51" s="429" t="s">
        <v>109</v>
      </c>
      <c r="G51" s="429"/>
      <c r="H51" s="429"/>
      <c r="I51" s="429"/>
      <c r="J51" s="429"/>
      <c r="K51" s="429"/>
      <c r="L51" s="429"/>
      <c r="M51" s="430"/>
      <c r="N51" s="73" t="s">
        <v>114</v>
      </c>
      <c r="O51" s="248" t="s">
        <v>47</v>
      </c>
      <c r="P51" s="431" t="s">
        <v>48</v>
      </c>
      <c r="Q51" s="432"/>
      <c r="R51" s="431" t="s">
        <v>39</v>
      </c>
      <c r="S51" s="433"/>
      <c r="T51" s="433"/>
      <c r="U51" s="432"/>
      <c r="V51" s="431" t="s">
        <v>49</v>
      </c>
      <c r="W51" s="433"/>
      <c r="X51" s="433"/>
      <c r="Y51" s="433"/>
      <c r="Z51" s="433"/>
      <c r="AA51" s="433"/>
      <c r="AB51" s="433"/>
      <c r="AC51" s="433"/>
      <c r="AD51" s="434"/>
    </row>
    <row r="52" spans="1:32" ht="27" customHeight="1">
      <c r="A52" s="445" t="s">
        <v>443</v>
      </c>
      <c r="B52" s="446"/>
      <c r="C52" s="249" t="s">
        <v>444</v>
      </c>
      <c r="D52" s="250" t="s">
        <v>445</v>
      </c>
      <c r="E52" s="249" t="s">
        <v>446</v>
      </c>
      <c r="F52" s="447" t="s">
        <v>447</v>
      </c>
      <c r="G52" s="447"/>
      <c r="H52" s="447"/>
      <c r="I52" s="447"/>
      <c r="J52" s="447"/>
      <c r="K52" s="447"/>
      <c r="L52" s="447"/>
      <c r="M52" s="448"/>
      <c r="N52" s="251" t="s">
        <v>510</v>
      </c>
      <c r="O52" s="74" t="s">
        <v>496</v>
      </c>
      <c r="P52" s="449" t="s">
        <v>547</v>
      </c>
      <c r="Q52" s="450"/>
      <c r="R52" s="451" t="s">
        <v>548</v>
      </c>
      <c r="S52" s="451"/>
      <c r="T52" s="451"/>
      <c r="U52" s="451"/>
      <c r="V52" s="447" t="s">
        <v>583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420</v>
      </c>
      <c r="B53" s="446"/>
      <c r="C53" s="249" t="s">
        <v>421</v>
      </c>
      <c r="D53" s="250" t="s">
        <v>448</v>
      </c>
      <c r="E53" s="249" t="s">
        <v>449</v>
      </c>
      <c r="F53" s="447" t="s">
        <v>575</v>
      </c>
      <c r="G53" s="447"/>
      <c r="H53" s="447"/>
      <c r="I53" s="447"/>
      <c r="J53" s="447"/>
      <c r="K53" s="447"/>
      <c r="L53" s="447"/>
      <c r="M53" s="448"/>
      <c r="N53" s="251" t="s">
        <v>119</v>
      </c>
      <c r="O53" s="74" t="s">
        <v>584</v>
      </c>
      <c r="P53" s="449" t="s">
        <v>585</v>
      </c>
      <c r="Q53" s="450"/>
      <c r="R53" s="451" t="s">
        <v>586</v>
      </c>
      <c r="S53" s="451"/>
      <c r="T53" s="451"/>
      <c r="U53" s="451"/>
      <c r="V53" s="447" t="s">
        <v>587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119</v>
      </c>
      <c r="B54" s="446"/>
      <c r="C54" s="249" t="s">
        <v>496</v>
      </c>
      <c r="D54" s="250" t="s">
        <v>540</v>
      </c>
      <c r="E54" s="249" t="s">
        <v>541</v>
      </c>
      <c r="F54" s="447" t="s">
        <v>576</v>
      </c>
      <c r="G54" s="447"/>
      <c r="H54" s="447"/>
      <c r="I54" s="447"/>
      <c r="J54" s="447"/>
      <c r="K54" s="447"/>
      <c r="L54" s="447"/>
      <c r="M54" s="448"/>
      <c r="N54" s="251" t="s">
        <v>588</v>
      </c>
      <c r="O54" s="74" t="s">
        <v>590</v>
      </c>
      <c r="P54" s="449" t="s">
        <v>58</v>
      </c>
      <c r="Q54" s="450"/>
      <c r="R54" s="451" t="s">
        <v>591</v>
      </c>
      <c r="S54" s="451"/>
      <c r="T54" s="451"/>
      <c r="U54" s="451"/>
      <c r="V54" s="447" t="s">
        <v>592</v>
      </c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 t="s">
        <v>524</v>
      </c>
      <c r="B55" s="446"/>
      <c r="C55" s="249" t="s">
        <v>544</v>
      </c>
      <c r="D55" s="250" t="s">
        <v>577</v>
      </c>
      <c r="E55" s="249" t="s">
        <v>578</v>
      </c>
      <c r="F55" s="447" t="s">
        <v>501</v>
      </c>
      <c r="G55" s="447"/>
      <c r="H55" s="447"/>
      <c r="I55" s="447"/>
      <c r="J55" s="447"/>
      <c r="K55" s="447"/>
      <c r="L55" s="447"/>
      <c r="M55" s="448"/>
      <c r="N55" s="251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52" t="s">
        <v>569</v>
      </c>
      <c r="B56" s="451"/>
      <c r="C56" s="250" t="s">
        <v>579</v>
      </c>
      <c r="D56" s="250" t="s">
        <v>580</v>
      </c>
      <c r="E56" s="249" t="s">
        <v>581</v>
      </c>
      <c r="F56" s="447" t="s">
        <v>501</v>
      </c>
      <c r="G56" s="447"/>
      <c r="H56" s="447"/>
      <c r="I56" s="447"/>
      <c r="J56" s="447"/>
      <c r="K56" s="447"/>
      <c r="L56" s="447"/>
      <c r="M56" s="448"/>
      <c r="N56" s="251"/>
      <c r="O56" s="74"/>
      <c r="P56" s="449"/>
      <c r="Q56" s="450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 t="s">
        <v>119</v>
      </c>
      <c r="B57" s="446"/>
      <c r="C57" s="249" t="s">
        <v>589</v>
      </c>
      <c r="D57" s="250" t="s">
        <v>563</v>
      </c>
      <c r="E57" s="249" t="s">
        <v>564</v>
      </c>
      <c r="F57" s="447" t="s">
        <v>501</v>
      </c>
      <c r="G57" s="447"/>
      <c r="H57" s="447"/>
      <c r="I57" s="447"/>
      <c r="J57" s="447"/>
      <c r="K57" s="447"/>
      <c r="L57" s="447"/>
      <c r="M57" s="448"/>
      <c r="N57" s="251"/>
      <c r="O57" s="74"/>
      <c r="P57" s="451"/>
      <c r="Q57" s="451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249"/>
      <c r="D58" s="250"/>
      <c r="E58" s="249"/>
      <c r="F58" s="447"/>
      <c r="G58" s="447"/>
      <c r="H58" s="447"/>
      <c r="I58" s="447"/>
      <c r="J58" s="447"/>
      <c r="K58" s="447"/>
      <c r="L58" s="447"/>
      <c r="M58" s="448"/>
      <c r="N58" s="251"/>
      <c r="O58" s="74"/>
      <c r="P58" s="449"/>
      <c r="Q58" s="450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45"/>
      <c r="B59" s="446"/>
      <c r="C59" s="249"/>
      <c r="D59" s="250"/>
      <c r="E59" s="249"/>
      <c r="F59" s="447"/>
      <c r="G59" s="447"/>
      <c r="H59" s="447"/>
      <c r="I59" s="447"/>
      <c r="J59" s="447"/>
      <c r="K59" s="447"/>
      <c r="L59" s="447"/>
      <c r="M59" s="448"/>
      <c r="N59" s="251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</row>
    <row r="60" spans="1:32" ht="27" customHeight="1">
      <c r="A60" s="452"/>
      <c r="B60" s="451"/>
      <c r="C60" s="250"/>
      <c r="D60" s="250"/>
      <c r="E60" s="250"/>
      <c r="F60" s="447"/>
      <c r="G60" s="447"/>
      <c r="H60" s="447"/>
      <c r="I60" s="447"/>
      <c r="J60" s="447"/>
      <c r="K60" s="447"/>
      <c r="L60" s="447"/>
      <c r="M60" s="448"/>
      <c r="N60" s="251"/>
      <c r="O60" s="74"/>
      <c r="P60" s="451"/>
      <c r="Q60" s="451"/>
      <c r="R60" s="451"/>
      <c r="S60" s="451"/>
      <c r="T60" s="451"/>
      <c r="U60" s="451"/>
      <c r="V60" s="447"/>
      <c r="W60" s="447"/>
      <c r="X60" s="447"/>
      <c r="Y60" s="447"/>
      <c r="Z60" s="447"/>
      <c r="AA60" s="447"/>
      <c r="AB60" s="447"/>
      <c r="AC60" s="447"/>
      <c r="AD60" s="448"/>
      <c r="AF60" s="94">
        <f>8*3000</f>
        <v>24000</v>
      </c>
    </row>
    <row r="61" spans="1:32" ht="27" customHeight="1" thickBot="1">
      <c r="A61" s="453"/>
      <c r="B61" s="454"/>
      <c r="C61" s="253"/>
      <c r="D61" s="253"/>
      <c r="E61" s="253"/>
      <c r="F61" s="455"/>
      <c r="G61" s="455"/>
      <c r="H61" s="455"/>
      <c r="I61" s="455"/>
      <c r="J61" s="455"/>
      <c r="K61" s="455"/>
      <c r="L61" s="455"/>
      <c r="M61" s="456"/>
      <c r="N61" s="252"/>
      <c r="O61" s="121"/>
      <c r="P61" s="454"/>
      <c r="Q61" s="454"/>
      <c r="R61" s="454"/>
      <c r="S61" s="454"/>
      <c r="T61" s="454"/>
      <c r="U61" s="454"/>
      <c r="V61" s="455"/>
      <c r="W61" s="455"/>
      <c r="X61" s="455"/>
      <c r="Y61" s="455"/>
      <c r="Z61" s="455"/>
      <c r="AA61" s="455"/>
      <c r="AB61" s="455"/>
      <c r="AC61" s="455"/>
      <c r="AD61" s="456"/>
      <c r="AF61" s="94">
        <f>16*3000</f>
        <v>48000</v>
      </c>
    </row>
    <row r="62" spans="1:32" ht="27.75" thickBot="1">
      <c r="A62" s="457" t="s">
        <v>593</v>
      </c>
      <c r="B62" s="457"/>
      <c r="C62" s="457"/>
      <c r="D62" s="457"/>
      <c r="E62" s="45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58" t="s">
        <v>115</v>
      </c>
      <c r="B63" s="459"/>
      <c r="C63" s="254" t="s">
        <v>2</v>
      </c>
      <c r="D63" s="254" t="s">
        <v>38</v>
      </c>
      <c r="E63" s="254" t="s">
        <v>3</v>
      </c>
      <c r="F63" s="459" t="s">
        <v>112</v>
      </c>
      <c r="G63" s="459"/>
      <c r="H63" s="459"/>
      <c r="I63" s="459"/>
      <c r="J63" s="459"/>
      <c r="K63" s="459" t="s">
        <v>40</v>
      </c>
      <c r="L63" s="459"/>
      <c r="M63" s="254" t="s">
        <v>41</v>
      </c>
      <c r="N63" s="459" t="s">
        <v>42</v>
      </c>
      <c r="O63" s="459"/>
      <c r="P63" s="460" t="s">
        <v>43</v>
      </c>
      <c r="Q63" s="461"/>
      <c r="R63" s="460" t="s">
        <v>44</v>
      </c>
      <c r="S63" s="462"/>
      <c r="T63" s="462"/>
      <c r="U63" s="462"/>
      <c r="V63" s="462"/>
      <c r="W63" s="462"/>
      <c r="X63" s="462"/>
      <c r="Y63" s="462"/>
      <c r="Z63" s="462"/>
      <c r="AA63" s="461"/>
      <c r="AB63" s="459" t="s">
        <v>45</v>
      </c>
      <c r="AC63" s="459"/>
      <c r="AD63" s="463"/>
      <c r="AF63" s="94">
        <f>SUM(AF60:AF62)</f>
        <v>96000</v>
      </c>
    </row>
    <row r="64" spans="1:32" ht="25.5" customHeight="1">
      <c r="A64" s="464">
        <v>1</v>
      </c>
      <c r="B64" s="465"/>
      <c r="C64" s="124"/>
      <c r="D64" s="257"/>
      <c r="E64" s="255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2</v>
      </c>
      <c r="B65" s="465"/>
      <c r="C65" s="124"/>
      <c r="D65" s="257"/>
      <c r="E65" s="255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3</v>
      </c>
      <c r="B66" s="465"/>
      <c r="C66" s="124"/>
      <c r="D66" s="257"/>
      <c r="E66" s="255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4</v>
      </c>
      <c r="B67" s="465"/>
      <c r="C67" s="124"/>
      <c r="D67" s="257"/>
      <c r="E67" s="255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5</v>
      </c>
      <c r="B68" s="465"/>
      <c r="C68" s="124"/>
      <c r="D68" s="257"/>
      <c r="E68" s="255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6</v>
      </c>
      <c r="B69" s="465"/>
      <c r="C69" s="124"/>
      <c r="D69" s="257"/>
      <c r="E69" s="255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7</v>
      </c>
      <c r="B70" s="465"/>
      <c r="C70" s="124"/>
      <c r="D70" s="257"/>
      <c r="E70" s="255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5.5" customHeight="1">
      <c r="A71" s="464">
        <v>8</v>
      </c>
      <c r="B71" s="465"/>
      <c r="C71" s="124"/>
      <c r="D71" s="257"/>
      <c r="E71" s="255"/>
      <c r="F71" s="466"/>
      <c r="G71" s="467"/>
      <c r="H71" s="467"/>
      <c r="I71" s="467"/>
      <c r="J71" s="467"/>
      <c r="K71" s="467"/>
      <c r="L71" s="467"/>
      <c r="M71" s="54"/>
      <c r="N71" s="467"/>
      <c r="O71" s="467"/>
      <c r="P71" s="468"/>
      <c r="Q71" s="468"/>
      <c r="R71" s="447"/>
      <c r="S71" s="447"/>
      <c r="T71" s="447"/>
      <c r="U71" s="447"/>
      <c r="V71" s="447"/>
      <c r="W71" s="447"/>
      <c r="X71" s="447"/>
      <c r="Y71" s="447"/>
      <c r="Z71" s="447"/>
      <c r="AA71" s="447"/>
      <c r="AB71" s="467"/>
      <c r="AC71" s="467"/>
      <c r="AD71" s="469"/>
      <c r="AF71" s="53"/>
    </row>
    <row r="72" spans="1:32" ht="26.25" customHeight="1" thickBot="1">
      <c r="A72" s="470" t="s">
        <v>594</v>
      </c>
      <c r="B72" s="470"/>
      <c r="C72" s="470"/>
      <c r="D72" s="470"/>
      <c r="E72" s="470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71" t="s">
        <v>115</v>
      </c>
      <c r="B73" s="472"/>
      <c r="C73" s="256" t="s">
        <v>2</v>
      </c>
      <c r="D73" s="256" t="s">
        <v>38</v>
      </c>
      <c r="E73" s="256" t="s">
        <v>3</v>
      </c>
      <c r="F73" s="472" t="s">
        <v>39</v>
      </c>
      <c r="G73" s="472"/>
      <c r="H73" s="472"/>
      <c r="I73" s="472"/>
      <c r="J73" s="472"/>
      <c r="K73" s="473" t="s">
        <v>60</v>
      </c>
      <c r="L73" s="474"/>
      <c r="M73" s="474"/>
      <c r="N73" s="474"/>
      <c r="O73" s="474"/>
      <c r="P73" s="474"/>
      <c r="Q73" s="474"/>
      <c r="R73" s="474"/>
      <c r="S73" s="475"/>
      <c r="T73" s="472" t="s">
        <v>50</v>
      </c>
      <c r="U73" s="472"/>
      <c r="V73" s="473" t="s">
        <v>51</v>
      </c>
      <c r="W73" s="475"/>
      <c r="X73" s="474" t="s">
        <v>52</v>
      </c>
      <c r="Y73" s="474"/>
      <c r="Z73" s="474"/>
      <c r="AA73" s="474"/>
      <c r="AB73" s="474"/>
      <c r="AC73" s="474"/>
      <c r="AD73" s="476"/>
      <c r="AF73" s="53"/>
    </row>
    <row r="74" spans="1:32" ht="33.75" customHeight="1">
      <c r="A74" s="485">
        <v>1</v>
      </c>
      <c r="B74" s="486"/>
      <c r="C74" s="258" t="s">
        <v>118</v>
      </c>
      <c r="D74" s="258"/>
      <c r="E74" s="71" t="s">
        <v>124</v>
      </c>
      <c r="F74" s="487" t="s">
        <v>125</v>
      </c>
      <c r="G74" s="488"/>
      <c r="H74" s="488"/>
      <c r="I74" s="488"/>
      <c r="J74" s="489"/>
      <c r="K74" s="490" t="s">
        <v>120</v>
      </c>
      <c r="L74" s="491"/>
      <c r="M74" s="491"/>
      <c r="N74" s="491"/>
      <c r="O74" s="491"/>
      <c r="P74" s="491"/>
      <c r="Q74" s="491"/>
      <c r="R74" s="491"/>
      <c r="S74" s="492"/>
      <c r="T74" s="493">
        <v>42901</v>
      </c>
      <c r="U74" s="494"/>
      <c r="V74" s="495"/>
      <c r="W74" s="495"/>
      <c r="X74" s="496"/>
      <c r="Y74" s="496"/>
      <c r="Z74" s="496"/>
      <c r="AA74" s="496"/>
      <c r="AB74" s="496"/>
      <c r="AC74" s="496"/>
      <c r="AD74" s="497"/>
      <c r="AF74" s="53"/>
    </row>
    <row r="75" spans="1:32" ht="30" customHeight="1">
      <c r="A75" s="477">
        <f>A74+1</f>
        <v>2</v>
      </c>
      <c r="B75" s="478"/>
      <c r="C75" s="257" t="s">
        <v>118</v>
      </c>
      <c r="D75" s="257"/>
      <c r="E75" s="35" t="s">
        <v>121</v>
      </c>
      <c r="F75" s="478" t="s">
        <v>122</v>
      </c>
      <c r="G75" s="478"/>
      <c r="H75" s="478"/>
      <c r="I75" s="478"/>
      <c r="J75" s="478"/>
      <c r="K75" s="479" t="s">
        <v>123</v>
      </c>
      <c r="L75" s="480"/>
      <c r="M75" s="480"/>
      <c r="N75" s="480"/>
      <c r="O75" s="480"/>
      <c r="P75" s="480"/>
      <c r="Q75" s="480"/>
      <c r="R75" s="480"/>
      <c r="S75" s="481"/>
      <c r="T75" s="482">
        <v>42867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ref="A76:A82" si="19">A75+1</f>
        <v>3</v>
      </c>
      <c r="B76" s="478"/>
      <c r="C76" s="257" t="s">
        <v>144</v>
      </c>
      <c r="D76" s="257"/>
      <c r="E76" s="35" t="s">
        <v>139</v>
      </c>
      <c r="F76" s="478" t="s">
        <v>145</v>
      </c>
      <c r="G76" s="478"/>
      <c r="H76" s="478"/>
      <c r="I76" s="478"/>
      <c r="J76" s="478"/>
      <c r="K76" s="479" t="s">
        <v>120</v>
      </c>
      <c r="L76" s="480"/>
      <c r="M76" s="480"/>
      <c r="N76" s="480"/>
      <c r="O76" s="480"/>
      <c r="P76" s="480"/>
      <c r="Q76" s="480"/>
      <c r="R76" s="480"/>
      <c r="S76" s="481"/>
      <c r="T76" s="482">
        <v>42937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9"/>
        <v>4</v>
      </c>
      <c r="B77" s="478"/>
      <c r="C77" s="257" t="s">
        <v>119</v>
      </c>
      <c r="D77" s="257"/>
      <c r="E77" s="35" t="s">
        <v>137</v>
      </c>
      <c r="F77" s="478" t="s">
        <v>138</v>
      </c>
      <c r="G77" s="478"/>
      <c r="H77" s="478"/>
      <c r="I77" s="478"/>
      <c r="J77" s="478"/>
      <c r="K77" s="479" t="s">
        <v>140</v>
      </c>
      <c r="L77" s="480"/>
      <c r="M77" s="480"/>
      <c r="N77" s="480"/>
      <c r="O77" s="480"/>
      <c r="P77" s="480"/>
      <c r="Q77" s="480"/>
      <c r="R77" s="480"/>
      <c r="S77" s="481"/>
      <c r="T77" s="482">
        <v>42920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9"/>
        <v>5</v>
      </c>
      <c r="B78" s="478"/>
      <c r="C78" s="257"/>
      <c r="D78" s="257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9"/>
        <v>6</v>
      </c>
      <c r="B79" s="478"/>
      <c r="C79" s="257"/>
      <c r="D79" s="257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9"/>
        <v>7</v>
      </c>
      <c r="B80" s="478"/>
      <c r="C80" s="257"/>
      <c r="D80" s="257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9"/>
        <v>8</v>
      </c>
      <c r="B81" s="478"/>
      <c r="C81" s="257"/>
      <c r="D81" s="257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0" customHeight="1">
      <c r="A82" s="477">
        <f t="shared" si="19"/>
        <v>9</v>
      </c>
      <c r="B82" s="478"/>
      <c r="C82" s="257"/>
      <c r="D82" s="257"/>
      <c r="E82" s="35"/>
      <c r="F82" s="478"/>
      <c r="G82" s="478"/>
      <c r="H82" s="478"/>
      <c r="I82" s="478"/>
      <c r="J82" s="478"/>
      <c r="K82" s="479"/>
      <c r="L82" s="480"/>
      <c r="M82" s="480"/>
      <c r="N82" s="480"/>
      <c r="O82" s="480"/>
      <c r="P82" s="480"/>
      <c r="Q82" s="480"/>
      <c r="R82" s="480"/>
      <c r="S82" s="481"/>
      <c r="T82" s="482"/>
      <c r="U82" s="482"/>
      <c r="V82" s="482"/>
      <c r="W82" s="482"/>
      <c r="X82" s="483"/>
      <c r="Y82" s="483"/>
      <c r="Z82" s="483"/>
      <c r="AA82" s="483"/>
      <c r="AB82" s="483"/>
      <c r="AC82" s="483"/>
      <c r="AD82" s="484"/>
      <c r="AF82" s="53"/>
    </row>
    <row r="83" spans="1:32" ht="36" thickBot="1">
      <c r="A83" s="470" t="s">
        <v>595</v>
      </c>
      <c r="B83" s="470"/>
      <c r="C83" s="470"/>
      <c r="D83" s="470"/>
      <c r="E83" s="470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98" t="s">
        <v>37</v>
      </c>
      <c r="B84" s="499"/>
      <c r="C84" s="499" t="s">
        <v>53</v>
      </c>
      <c r="D84" s="499"/>
      <c r="E84" s="499" t="s">
        <v>54</v>
      </c>
      <c r="F84" s="499"/>
      <c r="G84" s="499"/>
      <c r="H84" s="499"/>
      <c r="I84" s="499"/>
      <c r="J84" s="499"/>
      <c r="K84" s="499" t="s">
        <v>55</v>
      </c>
      <c r="L84" s="499"/>
      <c r="M84" s="499"/>
      <c r="N84" s="499"/>
      <c r="O84" s="499"/>
      <c r="P84" s="499"/>
      <c r="Q84" s="499"/>
      <c r="R84" s="499"/>
      <c r="S84" s="499"/>
      <c r="T84" s="499" t="s">
        <v>56</v>
      </c>
      <c r="U84" s="499"/>
      <c r="V84" s="499" t="s">
        <v>57</v>
      </c>
      <c r="W84" s="499"/>
      <c r="X84" s="499"/>
      <c r="Y84" s="499" t="s">
        <v>52</v>
      </c>
      <c r="Z84" s="499"/>
      <c r="AA84" s="499"/>
      <c r="AB84" s="499"/>
      <c r="AC84" s="499"/>
      <c r="AD84" s="500"/>
      <c r="AF84" s="53"/>
    </row>
    <row r="85" spans="1:32" ht="30.75" customHeight="1">
      <c r="A85" s="485">
        <v>1</v>
      </c>
      <c r="B85" s="486"/>
      <c r="C85" s="501">
        <v>1</v>
      </c>
      <c r="D85" s="501"/>
      <c r="E85" s="501" t="s">
        <v>129</v>
      </c>
      <c r="F85" s="501"/>
      <c r="G85" s="501"/>
      <c r="H85" s="501"/>
      <c r="I85" s="501"/>
      <c r="J85" s="501"/>
      <c r="K85" s="501" t="s">
        <v>130</v>
      </c>
      <c r="L85" s="501"/>
      <c r="M85" s="501"/>
      <c r="N85" s="501"/>
      <c r="O85" s="501"/>
      <c r="P85" s="501"/>
      <c r="Q85" s="501"/>
      <c r="R85" s="501"/>
      <c r="S85" s="501"/>
      <c r="T85" s="501" t="s">
        <v>131</v>
      </c>
      <c r="U85" s="501"/>
      <c r="V85" s="502">
        <v>1500000</v>
      </c>
      <c r="W85" s="502"/>
      <c r="X85" s="502"/>
      <c r="Y85" s="503" t="s">
        <v>132</v>
      </c>
      <c r="Z85" s="503"/>
      <c r="AA85" s="503"/>
      <c r="AB85" s="503"/>
      <c r="AC85" s="503"/>
      <c r="AD85" s="504"/>
      <c r="AF85" s="53"/>
    </row>
    <row r="86" spans="1:32" ht="30.75" customHeight="1">
      <c r="A86" s="477">
        <v>2</v>
      </c>
      <c r="B86" s="478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512"/>
      <c r="R86" s="512"/>
      <c r="S86" s="512"/>
      <c r="T86" s="513"/>
      <c r="U86" s="513"/>
      <c r="V86" s="514"/>
      <c r="W86" s="514"/>
      <c r="X86" s="514"/>
      <c r="Y86" s="505"/>
      <c r="Z86" s="505"/>
      <c r="AA86" s="505"/>
      <c r="AB86" s="505"/>
      <c r="AC86" s="505"/>
      <c r="AD86" s="506"/>
      <c r="AF86" s="53"/>
    </row>
    <row r="87" spans="1:32" ht="30.75" customHeight="1" thickBot="1">
      <c r="A87" s="507">
        <v>3</v>
      </c>
      <c r="B87" s="508"/>
      <c r="C87" s="509"/>
      <c r="D87" s="509"/>
      <c r="E87" s="509"/>
      <c r="F87" s="509"/>
      <c r="G87" s="509"/>
      <c r="H87" s="509"/>
      <c r="I87" s="509"/>
      <c r="J87" s="509"/>
      <c r="K87" s="509"/>
      <c r="L87" s="509"/>
      <c r="M87" s="509"/>
      <c r="N87" s="509"/>
      <c r="O87" s="509"/>
      <c r="P87" s="509"/>
      <c r="Q87" s="509"/>
      <c r="R87" s="509"/>
      <c r="S87" s="509"/>
      <c r="T87" s="509"/>
      <c r="U87" s="509"/>
      <c r="V87" s="509"/>
      <c r="W87" s="509"/>
      <c r="X87" s="509"/>
      <c r="Y87" s="510"/>
      <c r="Z87" s="510"/>
      <c r="AA87" s="510"/>
      <c r="AB87" s="510"/>
      <c r="AC87" s="510"/>
      <c r="AD87" s="511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J86"/>
  <sheetViews>
    <sheetView topLeftCell="A40"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596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270" t="s">
        <v>17</v>
      </c>
      <c r="L5" s="270" t="s">
        <v>18</v>
      </c>
      <c r="M5" s="270" t="s">
        <v>19</v>
      </c>
      <c r="N5" s="27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0.50975459785195865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518</v>
      </c>
      <c r="C7" s="37" t="s">
        <v>119</v>
      </c>
      <c r="D7" s="55" t="s">
        <v>151</v>
      </c>
      <c r="E7" s="57" t="s">
        <v>519</v>
      </c>
      <c r="F7" s="33" t="s">
        <v>133</v>
      </c>
      <c r="G7" s="12">
        <v>1</v>
      </c>
      <c r="H7" s="13">
        <v>25</v>
      </c>
      <c r="I7" s="34">
        <v>40000</v>
      </c>
      <c r="J7" s="5">
        <v>4940</v>
      </c>
      <c r="K7" s="15">
        <f>L7+2045+4660</f>
        <v>11642</v>
      </c>
      <c r="L7" s="15">
        <f>1907+3030</f>
        <v>4937</v>
      </c>
      <c r="M7" s="16">
        <f t="shared" si="0"/>
        <v>4937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0.99939271255060724</v>
      </c>
      <c r="AC7" s="9">
        <f t="shared" si="5"/>
        <v>1</v>
      </c>
      <c r="AD7" s="10">
        <f t="shared" si="6"/>
        <v>0.99939271255060724</v>
      </c>
      <c r="AE7" s="39">
        <f t="shared" si="7"/>
        <v>0.50975459785195865</v>
      </c>
      <c r="AF7" s="94">
        <f t="shared" si="8"/>
        <v>2</v>
      </c>
    </row>
    <row r="8" spans="1:36" ht="27" customHeight="1">
      <c r="A8" s="109">
        <v>3</v>
      </c>
      <c r="B8" s="11" t="s">
        <v>518</v>
      </c>
      <c r="C8" s="11" t="s">
        <v>119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40000</v>
      </c>
      <c r="J8" s="14">
        <v>4230</v>
      </c>
      <c r="K8" s="15">
        <f>8000+L8+4566+5171+2860+4516+3286</f>
        <v>32625</v>
      </c>
      <c r="L8" s="15">
        <f>940+3286</f>
        <v>4226</v>
      </c>
      <c r="M8" s="16">
        <f t="shared" si="0"/>
        <v>4226</v>
      </c>
      <c r="N8" s="16">
        <v>0</v>
      </c>
      <c r="O8" s="62">
        <f t="shared" si="1"/>
        <v>0</v>
      </c>
      <c r="P8" s="42">
        <f t="shared" si="2"/>
        <v>21</v>
      </c>
      <c r="Q8" s="43">
        <f t="shared" si="3"/>
        <v>3</v>
      </c>
      <c r="R8" s="7"/>
      <c r="S8" s="6">
        <v>3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0.99905437352245863</v>
      </c>
      <c r="AC8" s="9">
        <f t="shared" si="5"/>
        <v>0.875</v>
      </c>
      <c r="AD8" s="10">
        <f t="shared" si="6"/>
        <v>0.87417257683215133</v>
      </c>
      <c r="AE8" s="39">
        <f t="shared" si="7"/>
        <v>0.50975459785195865</v>
      </c>
      <c r="AF8" s="94">
        <f>A8</f>
        <v>3</v>
      </c>
    </row>
    <row r="9" spans="1:36" ht="27" customHeight="1">
      <c r="A9" s="110">
        <v>4</v>
      </c>
      <c r="B9" s="11" t="s">
        <v>518</v>
      </c>
      <c r="C9" s="11" t="s">
        <v>119</v>
      </c>
      <c r="D9" s="55" t="s">
        <v>520</v>
      </c>
      <c r="E9" s="56" t="s">
        <v>521</v>
      </c>
      <c r="F9" s="12" t="s">
        <v>522</v>
      </c>
      <c r="G9" s="36">
        <v>1</v>
      </c>
      <c r="H9" s="38">
        <v>25</v>
      </c>
      <c r="I9" s="34">
        <v>40000</v>
      </c>
      <c r="J9" s="5">
        <v>5660</v>
      </c>
      <c r="K9" s="15">
        <f>L9+2467+4801</f>
        <v>12925</v>
      </c>
      <c r="L9" s="15">
        <f>2314+3343</f>
        <v>5657</v>
      </c>
      <c r="M9" s="16">
        <f t="shared" si="0"/>
        <v>5657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0.99946996466431093</v>
      </c>
      <c r="AC9" s="9">
        <f t="shared" si="5"/>
        <v>1</v>
      </c>
      <c r="AD9" s="10">
        <f t="shared" si="6"/>
        <v>0.99946996466431093</v>
      </c>
      <c r="AE9" s="39">
        <f t="shared" si="7"/>
        <v>0.50975459785195865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251</v>
      </c>
      <c r="D10" s="55" t="s">
        <v>291</v>
      </c>
      <c r="E10" s="57" t="s">
        <v>331</v>
      </c>
      <c r="F10" s="12" t="s">
        <v>254</v>
      </c>
      <c r="G10" s="12">
        <v>1</v>
      </c>
      <c r="H10" s="13">
        <v>25</v>
      </c>
      <c r="I10" s="34">
        <v>2000</v>
      </c>
      <c r="J10" s="14">
        <v>51</v>
      </c>
      <c r="K10" s="15">
        <f>L10+703+47+812+421+506+51</f>
        <v>2540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0.50975459785195865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118</v>
      </c>
      <c r="D11" s="55" t="s">
        <v>485</v>
      </c>
      <c r="E11" s="56" t="s">
        <v>486</v>
      </c>
      <c r="F11" s="12">
        <v>8301</v>
      </c>
      <c r="G11" s="12">
        <v>1</v>
      </c>
      <c r="H11" s="13">
        <v>25</v>
      </c>
      <c r="I11" s="34">
        <v>5000</v>
      </c>
      <c r="J11" s="14">
        <v>700</v>
      </c>
      <c r="K11" s="15">
        <f>L11+4563+692</f>
        <v>5255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0.50975459785195865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293</v>
      </c>
      <c r="D12" s="55" t="s">
        <v>294</v>
      </c>
      <c r="E12" s="57" t="s">
        <v>295</v>
      </c>
      <c r="F12" s="12" t="s">
        <v>296</v>
      </c>
      <c r="G12" s="12">
        <v>1</v>
      </c>
      <c r="H12" s="13">
        <v>25</v>
      </c>
      <c r="I12" s="7">
        <v>35000</v>
      </c>
      <c r="J12" s="14">
        <v>4640</v>
      </c>
      <c r="K12" s="15">
        <f>L12+3048+3908+1500+3674</f>
        <v>16768</v>
      </c>
      <c r="L12" s="15">
        <f>1863+2775</f>
        <v>4638</v>
      </c>
      <c r="M12" s="16">
        <f t="shared" si="0"/>
        <v>4638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0.99956896551724139</v>
      </c>
      <c r="AC12" s="9">
        <f t="shared" si="5"/>
        <v>1</v>
      </c>
      <c r="AD12" s="10">
        <f t="shared" si="6"/>
        <v>0.99956896551724139</v>
      </c>
      <c r="AE12" s="39">
        <f t="shared" si="7"/>
        <v>0.50975459785195865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119</v>
      </c>
      <c r="D13" s="55" t="s">
        <v>563</v>
      </c>
      <c r="E13" s="57" t="s">
        <v>564</v>
      </c>
      <c r="F13" s="12" t="s">
        <v>565</v>
      </c>
      <c r="G13" s="12">
        <v>1</v>
      </c>
      <c r="H13" s="13">
        <v>25</v>
      </c>
      <c r="I13" s="7">
        <v>1000</v>
      </c>
      <c r="J13" s="14">
        <v>1110</v>
      </c>
      <c r="K13" s="15">
        <f>L13+1105</f>
        <v>1105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0.50975459785195865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597</v>
      </c>
      <c r="F14" s="33" t="s">
        <v>598</v>
      </c>
      <c r="G14" s="36">
        <v>1</v>
      </c>
      <c r="H14" s="38">
        <v>40</v>
      </c>
      <c r="I14" s="7">
        <v>100</v>
      </c>
      <c r="J14" s="5">
        <v>300</v>
      </c>
      <c r="K14" s="15">
        <f>L14</f>
        <v>300</v>
      </c>
      <c r="L14" s="15">
        <v>300</v>
      </c>
      <c r="M14" s="16">
        <f t="shared" si="0"/>
        <v>300</v>
      </c>
      <c r="N14" s="16">
        <v>0</v>
      </c>
      <c r="O14" s="62">
        <f t="shared" si="1"/>
        <v>0</v>
      </c>
      <c r="P14" s="42">
        <f t="shared" si="2"/>
        <v>7</v>
      </c>
      <c r="Q14" s="43">
        <f t="shared" si="3"/>
        <v>17</v>
      </c>
      <c r="R14" s="7"/>
      <c r="S14" s="6"/>
      <c r="T14" s="17"/>
      <c r="U14" s="17"/>
      <c r="V14" s="18"/>
      <c r="W14" s="19">
        <v>17</v>
      </c>
      <c r="X14" s="17"/>
      <c r="Y14" s="20"/>
      <c r="Z14" s="20"/>
      <c r="AA14" s="21"/>
      <c r="AB14" s="8">
        <f t="shared" si="4"/>
        <v>1</v>
      </c>
      <c r="AC14" s="9">
        <f t="shared" si="5"/>
        <v>0.29166666666666669</v>
      </c>
      <c r="AD14" s="10">
        <f t="shared" si="6"/>
        <v>0.29166666666666669</v>
      </c>
      <c r="AE14" s="39">
        <f t="shared" si="7"/>
        <v>0.50975459785195865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334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L15+903</f>
        <v>903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0.50975459785195865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119</v>
      </c>
      <c r="D16" s="55" t="s">
        <v>126</v>
      </c>
      <c r="E16" s="56" t="s">
        <v>523</v>
      </c>
      <c r="F16" s="12">
        <v>7301</v>
      </c>
      <c r="G16" s="36">
        <v>1</v>
      </c>
      <c r="H16" s="38">
        <v>25</v>
      </c>
      <c r="I16" s="7">
        <v>40000</v>
      </c>
      <c r="J16" s="14">
        <v>4850</v>
      </c>
      <c r="K16" s="15">
        <f>L16+3005+5564</f>
        <v>13413</v>
      </c>
      <c r="L16" s="15">
        <f>2252+2592</f>
        <v>4844</v>
      </c>
      <c r="M16" s="16">
        <f t="shared" si="0"/>
        <v>4844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0.9987628865979381</v>
      </c>
      <c r="AC16" s="9">
        <f t="shared" si="5"/>
        <v>1</v>
      </c>
      <c r="AD16" s="10">
        <f t="shared" si="6"/>
        <v>0.9987628865979381</v>
      </c>
      <c r="AE16" s="39">
        <f t="shared" si="7"/>
        <v>0.50975459785195865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410</v>
      </c>
      <c r="D17" s="55" t="s">
        <v>411</v>
      </c>
      <c r="E17" s="56" t="s">
        <v>412</v>
      </c>
      <c r="F17" s="12">
        <v>8301</v>
      </c>
      <c r="G17" s="12">
        <v>1</v>
      </c>
      <c r="H17" s="13">
        <v>25</v>
      </c>
      <c r="I17" s="34">
        <v>500</v>
      </c>
      <c r="J17" s="5">
        <v>632</v>
      </c>
      <c r="K17" s="15">
        <f>L17+632</f>
        <v>632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0.50975459785195865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569</v>
      </c>
      <c r="D18" s="55" t="s">
        <v>570</v>
      </c>
      <c r="E18" s="57" t="s">
        <v>571</v>
      </c>
      <c r="F18" s="33" t="s">
        <v>572</v>
      </c>
      <c r="G18" s="12">
        <v>1</v>
      </c>
      <c r="H18" s="13">
        <v>25</v>
      </c>
      <c r="I18" s="34">
        <v>35000</v>
      </c>
      <c r="J18" s="5">
        <v>2980</v>
      </c>
      <c r="K18" s="15">
        <f>L18+2973</f>
        <v>6472</v>
      </c>
      <c r="L18" s="15">
        <f>2819+680</f>
        <v>3499</v>
      </c>
      <c r="M18" s="16">
        <f t="shared" si="0"/>
        <v>3499</v>
      </c>
      <c r="N18" s="16">
        <v>0</v>
      </c>
      <c r="O18" s="62">
        <f t="shared" si="1"/>
        <v>0</v>
      </c>
      <c r="P18" s="42">
        <f t="shared" si="2"/>
        <v>15</v>
      </c>
      <c r="Q18" s="43">
        <f t="shared" si="3"/>
        <v>9</v>
      </c>
      <c r="R18" s="7"/>
      <c r="S18" s="6">
        <v>9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1.1741610738255033</v>
      </c>
      <c r="AC18" s="9">
        <f t="shared" si="5"/>
        <v>0.625</v>
      </c>
      <c r="AD18" s="10">
        <f t="shared" si="6"/>
        <v>0.7338506711409396</v>
      </c>
      <c r="AE18" s="39">
        <f t="shared" si="7"/>
        <v>0.50975459785195865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119</v>
      </c>
      <c r="D19" s="55" t="s">
        <v>58</v>
      </c>
      <c r="E19" s="57" t="s">
        <v>134</v>
      </c>
      <c r="F19" s="33" t="s">
        <v>136</v>
      </c>
      <c r="G19" s="36">
        <v>1</v>
      </c>
      <c r="H19" s="38">
        <v>25</v>
      </c>
      <c r="I19" s="7">
        <v>40000</v>
      </c>
      <c r="J19" s="5">
        <v>4200</v>
      </c>
      <c r="K19" s="15">
        <f>L19+4891+5116+437+4687+2909+3071+5068+4913</f>
        <v>35289</v>
      </c>
      <c r="L19" s="15">
        <f>1188+3009</f>
        <v>4197</v>
      </c>
      <c r="M19" s="16">
        <f t="shared" si="0"/>
        <v>4197</v>
      </c>
      <c r="N19" s="16">
        <v>0</v>
      </c>
      <c r="O19" s="62">
        <f t="shared" si="1"/>
        <v>0</v>
      </c>
      <c r="P19" s="42">
        <f t="shared" si="2"/>
        <v>19</v>
      </c>
      <c r="Q19" s="43">
        <f t="shared" si="3"/>
        <v>5</v>
      </c>
      <c r="R19" s="7"/>
      <c r="S19" s="6">
        <v>5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0.99928571428571433</v>
      </c>
      <c r="AC19" s="9">
        <f t="shared" si="5"/>
        <v>0.79166666666666663</v>
      </c>
      <c r="AD19" s="10">
        <f t="shared" si="6"/>
        <v>0.79110119047619043</v>
      </c>
      <c r="AE19" s="39">
        <f t="shared" si="7"/>
        <v>0.50975459785195865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599</v>
      </c>
      <c r="F20" s="12" t="s">
        <v>117</v>
      </c>
      <c r="G20" s="12">
        <v>4</v>
      </c>
      <c r="H20" s="38">
        <v>20</v>
      </c>
      <c r="I20" s="7">
        <v>200000</v>
      </c>
      <c r="J20" s="14">
        <v>50220</v>
      </c>
      <c r="K20" s="15">
        <f>L20</f>
        <v>50220</v>
      </c>
      <c r="L20" s="15">
        <f>4428*4+8127*4</f>
        <v>50220</v>
      </c>
      <c r="M20" s="16">
        <f t="shared" si="0"/>
        <v>50220</v>
      </c>
      <c r="N20" s="16">
        <v>0</v>
      </c>
      <c r="O20" s="62">
        <f t="shared" si="1"/>
        <v>0</v>
      </c>
      <c r="P20" s="42">
        <f t="shared" si="2"/>
        <v>23</v>
      </c>
      <c r="Q20" s="43">
        <f t="shared" si="3"/>
        <v>1</v>
      </c>
      <c r="R20" s="7"/>
      <c r="S20" s="6"/>
      <c r="T20" s="17">
        <v>1</v>
      </c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0.95833333333333337</v>
      </c>
      <c r="AD20" s="10">
        <f t="shared" si="6"/>
        <v>0.95833333333333337</v>
      </c>
      <c r="AE20" s="39">
        <f t="shared" si="7"/>
        <v>0.50975459785195865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480250</v>
      </c>
      <c r="J21" s="22">
        <f t="shared" si="9"/>
        <v>87393</v>
      </c>
      <c r="K21" s="23">
        <f t="shared" si="9"/>
        <v>192051</v>
      </c>
      <c r="L21" s="24">
        <f t="shared" si="9"/>
        <v>82518</v>
      </c>
      <c r="M21" s="23">
        <f t="shared" si="9"/>
        <v>82518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181</v>
      </c>
      <c r="Q21" s="46">
        <f t="shared" si="10"/>
        <v>179</v>
      </c>
      <c r="R21" s="26">
        <f t="shared" si="10"/>
        <v>24</v>
      </c>
      <c r="S21" s="27">
        <f t="shared" si="10"/>
        <v>17</v>
      </c>
      <c r="T21" s="27">
        <f t="shared" si="10"/>
        <v>1</v>
      </c>
      <c r="U21" s="27">
        <f t="shared" si="10"/>
        <v>0</v>
      </c>
      <c r="V21" s="28">
        <f t="shared" si="10"/>
        <v>0</v>
      </c>
      <c r="W21" s="29">
        <f t="shared" si="10"/>
        <v>137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0.61131304606425152</v>
      </c>
      <c r="AC21" s="4">
        <f>SUM(AC6:AC20)/15</f>
        <v>0.50277777777777777</v>
      </c>
      <c r="AD21" s="4">
        <f>SUM(AD6:AD20)/15</f>
        <v>0.50975459785195865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600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613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269" t="s">
        <v>47</v>
      </c>
      <c r="D50" s="269" t="s">
        <v>48</v>
      </c>
      <c r="E50" s="269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269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119</v>
      </c>
      <c r="B51" s="446"/>
      <c r="C51" s="268" t="s">
        <v>496</v>
      </c>
      <c r="D51" s="265" t="s">
        <v>540</v>
      </c>
      <c r="E51" s="268" t="s">
        <v>541</v>
      </c>
      <c r="F51" s="447" t="s">
        <v>601</v>
      </c>
      <c r="G51" s="447"/>
      <c r="H51" s="447"/>
      <c r="I51" s="447"/>
      <c r="J51" s="447"/>
      <c r="K51" s="447"/>
      <c r="L51" s="447"/>
      <c r="M51" s="448"/>
      <c r="N51" s="264" t="s">
        <v>119</v>
      </c>
      <c r="O51" s="74" t="s">
        <v>142</v>
      </c>
      <c r="P51" s="449" t="s">
        <v>614</v>
      </c>
      <c r="Q51" s="450"/>
      <c r="R51" s="451" t="s">
        <v>615</v>
      </c>
      <c r="S51" s="451"/>
      <c r="T51" s="451"/>
      <c r="U51" s="451"/>
      <c r="V51" s="447" t="s">
        <v>616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52" t="s">
        <v>569</v>
      </c>
      <c r="B52" s="451"/>
      <c r="C52" s="265" t="s">
        <v>579</v>
      </c>
      <c r="D52" s="265" t="s">
        <v>580</v>
      </c>
      <c r="E52" s="268" t="s">
        <v>581</v>
      </c>
      <c r="F52" s="447" t="s">
        <v>602</v>
      </c>
      <c r="G52" s="447"/>
      <c r="H52" s="447"/>
      <c r="I52" s="447"/>
      <c r="J52" s="447"/>
      <c r="K52" s="447"/>
      <c r="L52" s="447"/>
      <c r="M52" s="448"/>
      <c r="N52" s="264" t="s">
        <v>119</v>
      </c>
      <c r="O52" s="74" t="s">
        <v>444</v>
      </c>
      <c r="P52" s="449" t="s">
        <v>617</v>
      </c>
      <c r="Q52" s="450"/>
      <c r="R52" s="451" t="s">
        <v>618</v>
      </c>
      <c r="S52" s="451"/>
      <c r="T52" s="451"/>
      <c r="U52" s="451"/>
      <c r="V52" s="447" t="s">
        <v>592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119</v>
      </c>
      <c r="B53" s="446"/>
      <c r="C53" s="268" t="s">
        <v>603</v>
      </c>
      <c r="D53" s="265" t="s">
        <v>604</v>
      </c>
      <c r="E53" s="268" t="s">
        <v>605</v>
      </c>
      <c r="F53" s="447" t="s">
        <v>606</v>
      </c>
      <c r="G53" s="447"/>
      <c r="H53" s="447"/>
      <c r="I53" s="447"/>
      <c r="J53" s="447"/>
      <c r="K53" s="447"/>
      <c r="L53" s="447"/>
      <c r="M53" s="448"/>
      <c r="N53" s="264" t="s">
        <v>619</v>
      </c>
      <c r="O53" s="74" t="s">
        <v>620</v>
      </c>
      <c r="P53" s="449" t="s">
        <v>621</v>
      </c>
      <c r="Q53" s="450"/>
      <c r="R53" s="451" t="s">
        <v>622</v>
      </c>
      <c r="S53" s="451"/>
      <c r="T53" s="451"/>
      <c r="U53" s="451"/>
      <c r="V53" s="447" t="s">
        <v>623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293</v>
      </c>
      <c r="B54" s="446"/>
      <c r="C54" s="268" t="s">
        <v>590</v>
      </c>
      <c r="D54" s="265" t="s">
        <v>604</v>
      </c>
      <c r="E54" s="268" t="s">
        <v>597</v>
      </c>
      <c r="F54" s="447" t="s">
        <v>607</v>
      </c>
      <c r="G54" s="447"/>
      <c r="H54" s="447"/>
      <c r="I54" s="447"/>
      <c r="J54" s="447"/>
      <c r="K54" s="447"/>
      <c r="L54" s="447"/>
      <c r="M54" s="448"/>
      <c r="N54" s="264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52" t="s">
        <v>609</v>
      </c>
      <c r="B55" s="451"/>
      <c r="C55" s="265" t="s">
        <v>610</v>
      </c>
      <c r="D55" s="265"/>
      <c r="E55" s="268" t="s">
        <v>611</v>
      </c>
      <c r="F55" s="447" t="s">
        <v>612</v>
      </c>
      <c r="G55" s="447"/>
      <c r="H55" s="447"/>
      <c r="I55" s="447"/>
      <c r="J55" s="447"/>
      <c r="K55" s="447"/>
      <c r="L55" s="447"/>
      <c r="M55" s="448"/>
      <c r="N55" s="264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268"/>
      <c r="D56" s="265"/>
      <c r="E56" s="268"/>
      <c r="F56" s="447"/>
      <c r="G56" s="447"/>
      <c r="H56" s="447"/>
      <c r="I56" s="447"/>
      <c r="J56" s="447"/>
      <c r="K56" s="447"/>
      <c r="L56" s="447"/>
      <c r="M56" s="448"/>
      <c r="N56" s="264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268"/>
      <c r="D57" s="265"/>
      <c r="E57" s="268"/>
      <c r="F57" s="447"/>
      <c r="G57" s="447"/>
      <c r="H57" s="447"/>
      <c r="I57" s="447"/>
      <c r="J57" s="447"/>
      <c r="K57" s="447"/>
      <c r="L57" s="447"/>
      <c r="M57" s="448"/>
      <c r="N57" s="264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268"/>
      <c r="D58" s="265"/>
      <c r="E58" s="268"/>
      <c r="F58" s="447"/>
      <c r="G58" s="447"/>
      <c r="H58" s="447"/>
      <c r="I58" s="447"/>
      <c r="J58" s="447"/>
      <c r="K58" s="447"/>
      <c r="L58" s="447"/>
      <c r="M58" s="448"/>
      <c r="N58" s="264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265"/>
      <c r="D59" s="265"/>
      <c r="E59" s="265"/>
      <c r="F59" s="447"/>
      <c r="G59" s="447"/>
      <c r="H59" s="447"/>
      <c r="I59" s="447"/>
      <c r="J59" s="447"/>
      <c r="K59" s="447"/>
      <c r="L59" s="447"/>
      <c r="M59" s="448"/>
      <c r="N59" s="264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267"/>
      <c r="D60" s="267"/>
      <c r="E60" s="267"/>
      <c r="F60" s="455"/>
      <c r="G60" s="455"/>
      <c r="H60" s="455"/>
      <c r="I60" s="455"/>
      <c r="J60" s="455"/>
      <c r="K60" s="455"/>
      <c r="L60" s="455"/>
      <c r="M60" s="456"/>
      <c r="N60" s="266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624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263" t="s">
        <v>2</v>
      </c>
      <c r="D62" s="263" t="s">
        <v>38</v>
      </c>
      <c r="E62" s="263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263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293</v>
      </c>
      <c r="D63" s="259"/>
      <c r="E63" s="261" t="s">
        <v>604</v>
      </c>
      <c r="F63" s="466" t="s">
        <v>608</v>
      </c>
      <c r="G63" s="467"/>
      <c r="H63" s="467"/>
      <c r="I63" s="467"/>
      <c r="J63" s="467"/>
      <c r="K63" s="467" t="s">
        <v>598</v>
      </c>
      <c r="L63" s="467"/>
      <c r="M63" s="54" t="s">
        <v>625</v>
      </c>
      <c r="N63" s="467">
        <v>8</v>
      </c>
      <c r="O63" s="467"/>
      <c r="P63" s="468">
        <v>50</v>
      </c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/>
      <c r="D64" s="259"/>
      <c r="E64" s="261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259"/>
      <c r="E65" s="261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259"/>
      <c r="E66" s="261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259"/>
      <c r="E67" s="261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259"/>
      <c r="E68" s="261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259"/>
      <c r="E69" s="261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259"/>
      <c r="E70" s="261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626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262" t="s">
        <v>2</v>
      </c>
      <c r="D72" s="262" t="s">
        <v>38</v>
      </c>
      <c r="E72" s="262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260" t="s">
        <v>118</v>
      </c>
      <c r="D73" s="260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259" t="s">
        <v>118</v>
      </c>
      <c r="D74" s="259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259" t="s">
        <v>144</v>
      </c>
      <c r="D75" s="259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259" t="s">
        <v>119</v>
      </c>
      <c r="D76" s="259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259"/>
      <c r="D77" s="259"/>
      <c r="E77" s="35"/>
      <c r="F77" s="478"/>
      <c r="G77" s="478"/>
      <c r="H77" s="478"/>
      <c r="I77" s="478"/>
      <c r="J77" s="478"/>
      <c r="K77" s="479"/>
      <c r="L77" s="480"/>
      <c r="M77" s="480"/>
      <c r="N77" s="480"/>
      <c r="O77" s="480"/>
      <c r="P77" s="480"/>
      <c r="Q77" s="480"/>
      <c r="R77" s="480"/>
      <c r="S77" s="481"/>
      <c r="T77" s="482"/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259"/>
      <c r="D78" s="259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259"/>
      <c r="D79" s="259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259"/>
      <c r="D80" s="259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259"/>
      <c r="D81" s="259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627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J87"/>
  <sheetViews>
    <sheetView topLeftCell="A52"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628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271" t="s">
        <v>17</v>
      </c>
      <c r="L5" s="271" t="s">
        <v>18</v>
      </c>
      <c r="M5" s="271" t="s">
        <v>19</v>
      </c>
      <c r="N5" s="27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0.56344125125260525</v>
      </c>
      <c r="AF6" s="94">
        <f t="shared" ref="AF6:AF21" si="8">A6</f>
        <v>1</v>
      </c>
    </row>
    <row r="7" spans="1:36" ht="27" customHeight="1">
      <c r="A7" s="108">
        <v>2</v>
      </c>
      <c r="B7" s="11" t="s">
        <v>164</v>
      </c>
      <c r="C7" s="37" t="s">
        <v>119</v>
      </c>
      <c r="D7" s="55" t="s">
        <v>151</v>
      </c>
      <c r="E7" s="57" t="s">
        <v>519</v>
      </c>
      <c r="F7" s="33" t="s">
        <v>133</v>
      </c>
      <c r="G7" s="12">
        <v>1</v>
      </c>
      <c r="H7" s="13">
        <v>25</v>
      </c>
      <c r="I7" s="34">
        <v>40000</v>
      </c>
      <c r="J7" s="5">
        <v>3960</v>
      </c>
      <c r="K7" s="15">
        <f>L7+2045+4660+4937</f>
        <v>15598</v>
      </c>
      <c r="L7" s="15">
        <f>2407+1549</f>
        <v>3956</v>
      </c>
      <c r="M7" s="16">
        <f t="shared" si="0"/>
        <v>3956</v>
      </c>
      <c r="N7" s="16">
        <v>0</v>
      </c>
      <c r="O7" s="62">
        <f t="shared" si="1"/>
        <v>0</v>
      </c>
      <c r="P7" s="42">
        <f t="shared" si="2"/>
        <v>23</v>
      </c>
      <c r="Q7" s="43">
        <f t="shared" si="3"/>
        <v>1</v>
      </c>
      <c r="R7" s="7"/>
      <c r="S7" s="6"/>
      <c r="T7" s="17"/>
      <c r="U7" s="17"/>
      <c r="V7" s="18">
        <v>1</v>
      </c>
      <c r="W7" s="19"/>
      <c r="X7" s="17"/>
      <c r="Y7" s="20"/>
      <c r="Z7" s="20"/>
      <c r="AA7" s="21"/>
      <c r="AB7" s="8">
        <f t="shared" si="4"/>
        <v>0.99898989898989898</v>
      </c>
      <c r="AC7" s="9">
        <f t="shared" si="5"/>
        <v>0.95833333333333337</v>
      </c>
      <c r="AD7" s="10">
        <f t="shared" si="6"/>
        <v>0.95736531986531992</v>
      </c>
      <c r="AE7" s="39">
        <f t="shared" si="7"/>
        <v>0.56344125125260525</v>
      </c>
      <c r="AF7" s="94">
        <f t="shared" si="8"/>
        <v>2</v>
      </c>
    </row>
    <row r="8" spans="1:36" ht="27" customHeight="1">
      <c r="A8" s="109">
        <v>3</v>
      </c>
      <c r="B8" s="11" t="s">
        <v>164</v>
      </c>
      <c r="C8" s="11" t="s">
        <v>119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40000</v>
      </c>
      <c r="J8" s="14">
        <v>4490</v>
      </c>
      <c r="K8" s="15">
        <f>8000+L8+4566+5171+2860+4516+3286+4226</f>
        <v>37112</v>
      </c>
      <c r="L8" s="15">
        <f>2568+1919</f>
        <v>4487</v>
      </c>
      <c r="M8" s="16">
        <f t="shared" si="0"/>
        <v>4487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0.99933184855233848</v>
      </c>
      <c r="AC8" s="9">
        <f t="shared" si="5"/>
        <v>1</v>
      </c>
      <c r="AD8" s="10">
        <f t="shared" si="6"/>
        <v>0.99933184855233848</v>
      </c>
      <c r="AE8" s="39">
        <f t="shared" si="7"/>
        <v>0.56344125125260525</v>
      </c>
      <c r="AF8" s="94">
        <f>A8</f>
        <v>3</v>
      </c>
    </row>
    <row r="9" spans="1:36" ht="27" customHeight="1">
      <c r="A9" s="110">
        <v>4</v>
      </c>
      <c r="B9" s="11" t="s">
        <v>164</v>
      </c>
      <c r="C9" s="11" t="s">
        <v>119</v>
      </c>
      <c r="D9" s="55" t="s">
        <v>150</v>
      </c>
      <c r="E9" s="56" t="s">
        <v>521</v>
      </c>
      <c r="F9" s="12" t="s">
        <v>213</v>
      </c>
      <c r="G9" s="36">
        <v>1</v>
      </c>
      <c r="H9" s="38">
        <v>25</v>
      </c>
      <c r="I9" s="34">
        <v>40000</v>
      </c>
      <c r="J9" s="5">
        <v>3590</v>
      </c>
      <c r="K9" s="15">
        <f>L9+2467+4801+5657</f>
        <v>16515</v>
      </c>
      <c r="L9" s="15">
        <f>2914+676</f>
        <v>3590</v>
      </c>
      <c r="M9" s="16">
        <f t="shared" si="0"/>
        <v>3590</v>
      </c>
      <c r="N9" s="16">
        <v>0</v>
      </c>
      <c r="O9" s="62">
        <f t="shared" si="1"/>
        <v>0</v>
      </c>
      <c r="P9" s="42">
        <f t="shared" si="2"/>
        <v>19</v>
      </c>
      <c r="Q9" s="43">
        <f t="shared" si="3"/>
        <v>5</v>
      </c>
      <c r="R9" s="7"/>
      <c r="S9" s="6">
        <v>5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0.79166666666666663</v>
      </c>
      <c r="AD9" s="10">
        <f t="shared" si="6"/>
        <v>0.79166666666666663</v>
      </c>
      <c r="AE9" s="39">
        <f t="shared" si="7"/>
        <v>0.56344125125260525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119</v>
      </c>
      <c r="D10" s="55" t="s">
        <v>405</v>
      </c>
      <c r="E10" s="57" t="s">
        <v>406</v>
      </c>
      <c r="F10" s="12" t="s">
        <v>407</v>
      </c>
      <c r="G10" s="12">
        <v>32</v>
      </c>
      <c r="H10" s="13">
        <v>25</v>
      </c>
      <c r="I10" s="34">
        <v>150000</v>
      </c>
      <c r="J10" s="14">
        <v>124400</v>
      </c>
      <c r="K10" s="15">
        <f>L10</f>
        <v>124384</v>
      </c>
      <c r="L10" s="15">
        <f>3244*32+643*32</f>
        <v>124384</v>
      </c>
      <c r="M10" s="16">
        <f t="shared" si="0"/>
        <v>124384</v>
      </c>
      <c r="N10" s="16">
        <v>0</v>
      </c>
      <c r="O10" s="62">
        <f t="shared" si="1"/>
        <v>0</v>
      </c>
      <c r="P10" s="42">
        <f t="shared" si="2"/>
        <v>20</v>
      </c>
      <c r="Q10" s="43">
        <f t="shared" si="3"/>
        <v>4</v>
      </c>
      <c r="R10" s="7"/>
      <c r="S10" s="6">
        <v>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0.99987138263665598</v>
      </c>
      <c r="AC10" s="9">
        <f t="shared" si="5"/>
        <v>0.83333333333333337</v>
      </c>
      <c r="AD10" s="10">
        <f t="shared" si="6"/>
        <v>0.8332261521972133</v>
      </c>
      <c r="AE10" s="39">
        <f t="shared" si="7"/>
        <v>0.56344125125260525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118</v>
      </c>
      <c r="D11" s="55" t="s">
        <v>485</v>
      </c>
      <c r="E11" s="56" t="s">
        <v>462</v>
      </c>
      <c r="F11" s="12">
        <v>8301</v>
      </c>
      <c r="G11" s="12">
        <v>1</v>
      </c>
      <c r="H11" s="13">
        <v>25</v>
      </c>
      <c r="I11" s="34">
        <v>5000</v>
      </c>
      <c r="J11" s="14">
        <v>700</v>
      </c>
      <c r="K11" s="15">
        <f>L11+4563+692</f>
        <v>5255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0.56344125125260525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228</v>
      </c>
      <c r="D12" s="55" t="s">
        <v>294</v>
      </c>
      <c r="E12" s="57" t="s">
        <v>295</v>
      </c>
      <c r="F12" s="12" t="s">
        <v>167</v>
      </c>
      <c r="G12" s="12">
        <v>1</v>
      </c>
      <c r="H12" s="13">
        <v>25</v>
      </c>
      <c r="I12" s="7">
        <v>35000</v>
      </c>
      <c r="J12" s="14">
        <v>4100</v>
      </c>
      <c r="K12" s="15">
        <f>L12+3048+3908+1500+3674+4638</f>
        <v>20866</v>
      </c>
      <c r="L12" s="15">
        <f>2371+1727</f>
        <v>4098</v>
      </c>
      <c r="M12" s="16">
        <f t="shared" si="0"/>
        <v>4098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0.99951219512195122</v>
      </c>
      <c r="AC12" s="9">
        <f t="shared" si="5"/>
        <v>1</v>
      </c>
      <c r="AD12" s="10">
        <f t="shared" si="6"/>
        <v>0.99951219512195122</v>
      </c>
      <c r="AE12" s="39">
        <f t="shared" si="7"/>
        <v>0.56344125125260525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228</v>
      </c>
      <c r="D13" s="55" t="s">
        <v>629</v>
      </c>
      <c r="E13" s="57" t="s">
        <v>630</v>
      </c>
      <c r="F13" s="12" t="s">
        <v>631</v>
      </c>
      <c r="G13" s="12">
        <v>1</v>
      </c>
      <c r="H13" s="13">
        <v>40</v>
      </c>
      <c r="I13" s="7">
        <v>500</v>
      </c>
      <c r="J13" s="14">
        <v>730</v>
      </c>
      <c r="K13" s="15">
        <f>L13</f>
        <v>727</v>
      </c>
      <c r="L13" s="15">
        <v>727</v>
      </c>
      <c r="M13" s="16">
        <f t="shared" si="0"/>
        <v>727</v>
      </c>
      <c r="N13" s="16">
        <v>0</v>
      </c>
      <c r="O13" s="62">
        <f t="shared" si="1"/>
        <v>0</v>
      </c>
      <c r="P13" s="42">
        <f t="shared" si="2"/>
        <v>8</v>
      </c>
      <c r="Q13" s="43">
        <f t="shared" si="3"/>
        <v>16</v>
      </c>
      <c r="R13" s="7"/>
      <c r="S13" s="6"/>
      <c r="T13" s="17"/>
      <c r="U13" s="17"/>
      <c r="V13" s="18"/>
      <c r="W13" s="19">
        <v>16</v>
      </c>
      <c r="X13" s="17"/>
      <c r="Y13" s="20"/>
      <c r="Z13" s="20"/>
      <c r="AA13" s="21"/>
      <c r="AB13" s="8">
        <f t="shared" si="4"/>
        <v>0.99589041095890407</v>
      </c>
      <c r="AC13" s="9">
        <f t="shared" si="5"/>
        <v>0.33333333333333331</v>
      </c>
      <c r="AD13" s="10">
        <f t="shared" si="6"/>
        <v>0.33196347031963469</v>
      </c>
      <c r="AE13" s="39">
        <f t="shared" si="7"/>
        <v>0.56344125125260525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632</v>
      </c>
      <c r="F14" s="33" t="s">
        <v>633</v>
      </c>
      <c r="G14" s="36">
        <v>1</v>
      </c>
      <c r="H14" s="38">
        <v>40</v>
      </c>
      <c r="I14" s="7">
        <v>500</v>
      </c>
      <c r="J14" s="5">
        <v>300</v>
      </c>
      <c r="K14" s="15">
        <f>L14</f>
        <v>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0.56344125125260525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334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L15+903</f>
        <v>903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0.56344125125260525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228</v>
      </c>
      <c r="D16" s="55" t="s">
        <v>634</v>
      </c>
      <c r="E16" s="56" t="s">
        <v>635</v>
      </c>
      <c r="F16" s="12">
        <v>7301</v>
      </c>
      <c r="G16" s="36">
        <v>1</v>
      </c>
      <c r="H16" s="38">
        <v>25</v>
      </c>
      <c r="I16" s="7">
        <v>500</v>
      </c>
      <c r="J16" s="14">
        <v>670</v>
      </c>
      <c r="K16" s="15">
        <f>L16</f>
        <v>667</v>
      </c>
      <c r="L16" s="15">
        <v>667</v>
      </c>
      <c r="M16" s="16">
        <f t="shared" ref="M16" si="9">L16-N16</f>
        <v>667</v>
      </c>
      <c r="N16" s="16">
        <v>0</v>
      </c>
      <c r="O16" s="62">
        <f t="shared" ref="O16" si="10">IF(L16=0,"0",N16/L16)</f>
        <v>0</v>
      </c>
      <c r="P16" s="42">
        <f t="shared" ref="P16" si="11">IF(L16=0,"0",(24-Q16))</f>
        <v>4</v>
      </c>
      <c r="Q16" s="43">
        <f t="shared" ref="Q16" si="12">SUM(R16:AA16)</f>
        <v>20</v>
      </c>
      <c r="R16" s="7"/>
      <c r="S16" s="6"/>
      <c r="T16" s="17"/>
      <c r="U16" s="17"/>
      <c r="V16" s="18"/>
      <c r="W16" s="19">
        <v>20</v>
      </c>
      <c r="X16" s="17"/>
      <c r="Y16" s="20"/>
      <c r="Z16" s="20"/>
      <c r="AA16" s="21"/>
      <c r="AB16" s="8">
        <f t="shared" ref="AB16" si="13">IF(J16=0,"0",(L16/J16))</f>
        <v>0.9955223880597015</v>
      </c>
      <c r="AC16" s="9">
        <f t="shared" ref="AC16" si="14">IF(P16=0,"0",(P16/24))</f>
        <v>0.16666666666666666</v>
      </c>
      <c r="AD16" s="10">
        <f t="shared" ref="AD16" si="15">AC16*AB16*(1-O16)</f>
        <v>0.16592039800995023</v>
      </c>
      <c r="AE16" s="39">
        <f t="shared" si="7"/>
        <v>0.56344125125260525</v>
      </c>
      <c r="AF16" s="94">
        <f>A16</f>
        <v>11</v>
      </c>
      <c r="AJ16" s="15"/>
    </row>
    <row r="17" spans="1:36" ht="27.75" customHeight="1">
      <c r="A17" s="109">
        <v>11</v>
      </c>
      <c r="B17" s="11" t="s">
        <v>59</v>
      </c>
      <c r="C17" s="11" t="s">
        <v>119</v>
      </c>
      <c r="D17" s="55" t="s">
        <v>126</v>
      </c>
      <c r="E17" s="56" t="s">
        <v>198</v>
      </c>
      <c r="F17" s="12">
        <v>7301</v>
      </c>
      <c r="G17" s="36">
        <v>1</v>
      </c>
      <c r="H17" s="38">
        <v>25</v>
      </c>
      <c r="I17" s="7">
        <v>40000</v>
      </c>
      <c r="J17" s="14">
        <v>1730</v>
      </c>
      <c r="K17" s="15">
        <f>L17+3005+5564+4844</f>
        <v>15141</v>
      </c>
      <c r="L17" s="15">
        <v>1728</v>
      </c>
      <c r="M17" s="16">
        <f t="shared" si="0"/>
        <v>1728</v>
      </c>
      <c r="N17" s="16">
        <v>0</v>
      </c>
      <c r="O17" s="62">
        <f t="shared" si="1"/>
        <v>0</v>
      </c>
      <c r="P17" s="42">
        <f t="shared" si="2"/>
        <v>10</v>
      </c>
      <c r="Q17" s="43">
        <f t="shared" si="3"/>
        <v>14</v>
      </c>
      <c r="R17" s="7"/>
      <c r="S17" s="6">
        <v>14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0.9988439306358381</v>
      </c>
      <c r="AC17" s="9">
        <f t="shared" si="5"/>
        <v>0.41666666666666669</v>
      </c>
      <c r="AD17" s="10">
        <f t="shared" si="6"/>
        <v>0.41618497109826591</v>
      </c>
      <c r="AE17" s="39">
        <f t="shared" si="7"/>
        <v>0.56344125125260525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59</v>
      </c>
      <c r="C18" s="37" t="s">
        <v>410</v>
      </c>
      <c r="D18" s="55" t="s">
        <v>411</v>
      </c>
      <c r="E18" s="56" t="s">
        <v>412</v>
      </c>
      <c r="F18" s="12">
        <v>8301</v>
      </c>
      <c r="G18" s="12">
        <v>1</v>
      </c>
      <c r="H18" s="13">
        <v>25</v>
      </c>
      <c r="I18" s="34">
        <v>500</v>
      </c>
      <c r="J18" s="5">
        <v>632</v>
      </c>
      <c r="K18" s="15">
        <f>L18+632</f>
        <v>632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0.56344125125260525</v>
      </c>
      <c r="AF18" s="94">
        <f t="shared" si="8"/>
        <v>12</v>
      </c>
    </row>
    <row r="19" spans="1:36" ht="27" customHeight="1">
      <c r="A19" s="110">
        <v>13</v>
      </c>
      <c r="B19" s="11" t="s">
        <v>59</v>
      </c>
      <c r="C19" s="37" t="s">
        <v>569</v>
      </c>
      <c r="D19" s="55" t="s">
        <v>570</v>
      </c>
      <c r="E19" s="57" t="s">
        <v>217</v>
      </c>
      <c r="F19" s="33" t="s">
        <v>218</v>
      </c>
      <c r="G19" s="12">
        <v>1</v>
      </c>
      <c r="H19" s="13">
        <v>25</v>
      </c>
      <c r="I19" s="34">
        <v>35000</v>
      </c>
      <c r="J19" s="5">
        <v>4610</v>
      </c>
      <c r="K19" s="15">
        <f>L19+2973+3499</f>
        <v>11076</v>
      </c>
      <c r="L19" s="15">
        <f>2734+1870</f>
        <v>4604</v>
      </c>
      <c r="M19" s="16">
        <f t="shared" si="0"/>
        <v>4604</v>
      </c>
      <c r="N19" s="16">
        <v>0</v>
      </c>
      <c r="O19" s="62">
        <f t="shared" si="1"/>
        <v>0</v>
      </c>
      <c r="P19" s="42">
        <f t="shared" si="2"/>
        <v>23</v>
      </c>
      <c r="Q19" s="43">
        <f t="shared" si="3"/>
        <v>1</v>
      </c>
      <c r="R19" s="7"/>
      <c r="S19" s="6"/>
      <c r="T19" s="17"/>
      <c r="U19" s="17"/>
      <c r="V19" s="18">
        <v>1</v>
      </c>
      <c r="W19" s="19"/>
      <c r="X19" s="17"/>
      <c r="Y19" s="20"/>
      <c r="Z19" s="20"/>
      <c r="AA19" s="21"/>
      <c r="AB19" s="8">
        <f t="shared" si="4"/>
        <v>0.99869848156182217</v>
      </c>
      <c r="AC19" s="9">
        <f t="shared" si="5"/>
        <v>0.95833333333333337</v>
      </c>
      <c r="AD19" s="10">
        <f t="shared" si="6"/>
        <v>0.95708604483007964</v>
      </c>
      <c r="AE19" s="39">
        <f t="shared" si="7"/>
        <v>0.56344125125260525</v>
      </c>
      <c r="AF19" s="94">
        <f t="shared" si="8"/>
        <v>13</v>
      </c>
    </row>
    <row r="20" spans="1:36" ht="27" customHeight="1">
      <c r="A20" s="110">
        <v>14</v>
      </c>
      <c r="B20" s="11" t="s">
        <v>59</v>
      </c>
      <c r="C20" s="37" t="s">
        <v>119</v>
      </c>
      <c r="D20" s="55" t="s">
        <v>58</v>
      </c>
      <c r="E20" s="57" t="s">
        <v>134</v>
      </c>
      <c r="F20" s="33" t="s">
        <v>136</v>
      </c>
      <c r="G20" s="36">
        <v>1</v>
      </c>
      <c r="H20" s="38">
        <v>25</v>
      </c>
      <c r="I20" s="7">
        <v>40000</v>
      </c>
      <c r="J20" s="5">
        <v>4700</v>
      </c>
      <c r="K20" s="15">
        <f>L20+4891+5116+437+4687+2909+3071+5068+4913+4197</f>
        <v>39986</v>
      </c>
      <c r="L20" s="15">
        <f>2654+2043</f>
        <v>4697</v>
      </c>
      <c r="M20" s="16">
        <f t="shared" si="0"/>
        <v>4697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0.99936170212765962</v>
      </c>
      <c r="AC20" s="9">
        <f t="shared" si="5"/>
        <v>1</v>
      </c>
      <c r="AD20" s="10">
        <f t="shared" si="6"/>
        <v>0.99936170212765962</v>
      </c>
      <c r="AE20" s="39">
        <f t="shared" si="7"/>
        <v>0.56344125125260525</v>
      </c>
      <c r="AF20" s="94">
        <f t="shared" si="8"/>
        <v>14</v>
      </c>
    </row>
    <row r="21" spans="1:36" ht="27" customHeight="1" thickBot="1">
      <c r="A21" s="110">
        <v>15</v>
      </c>
      <c r="B21" s="11" t="s">
        <v>59</v>
      </c>
      <c r="C21" s="11" t="s">
        <v>116</v>
      </c>
      <c r="D21" s="55"/>
      <c r="E21" s="56" t="s">
        <v>599</v>
      </c>
      <c r="F21" s="12" t="s">
        <v>117</v>
      </c>
      <c r="G21" s="12">
        <v>4</v>
      </c>
      <c r="H21" s="38">
        <v>20</v>
      </c>
      <c r="I21" s="7">
        <v>200000</v>
      </c>
      <c r="J21" s="14">
        <v>52380</v>
      </c>
      <c r="K21" s="15">
        <f>L21+50220</f>
        <v>102600</v>
      </c>
      <c r="L21" s="15">
        <f>7482*4+5613*4</f>
        <v>52380</v>
      </c>
      <c r="M21" s="16">
        <f t="shared" si="0"/>
        <v>52380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1</v>
      </c>
      <c r="AD21" s="10">
        <f t="shared" si="6"/>
        <v>1</v>
      </c>
      <c r="AE21" s="39">
        <f t="shared" si="7"/>
        <v>0.56344125125260525</v>
      </c>
      <c r="AF21" s="94">
        <f t="shared" si="8"/>
        <v>15</v>
      </c>
    </row>
    <row r="22" spans="1:36" ht="31.5" customHeight="1" thickBot="1">
      <c r="A22" s="418" t="s">
        <v>34</v>
      </c>
      <c r="B22" s="419"/>
      <c r="C22" s="419"/>
      <c r="D22" s="419"/>
      <c r="E22" s="419"/>
      <c r="F22" s="419"/>
      <c r="G22" s="419"/>
      <c r="H22" s="420"/>
      <c r="I22" s="25">
        <f t="shared" ref="I22:N22" si="16">SUM(I6:I21)</f>
        <v>628650</v>
      </c>
      <c r="J22" s="22">
        <f t="shared" si="16"/>
        <v>209872</v>
      </c>
      <c r="K22" s="23">
        <f t="shared" si="16"/>
        <v>393424</v>
      </c>
      <c r="L22" s="24">
        <f t="shared" si="16"/>
        <v>205318</v>
      </c>
      <c r="M22" s="23">
        <f t="shared" si="16"/>
        <v>205318</v>
      </c>
      <c r="N22" s="24">
        <f t="shared" si="16"/>
        <v>0</v>
      </c>
      <c r="O22" s="44">
        <f t="shared" si="1"/>
        <v>0</v>
      </c>
      <c r="P22" s="45">
        <f t="shared" ref="P22:AA22" si="17">SUM(P6:P21)</f>
        <v>203</v>
      </c>
      <c r="Q22" s="46">
        <f t="shared" si="17"/>
        <v>181</v>
      </c>
      <c r="R22" s="26">
        <f t="shared" si="17"/>
        <v>24</v>
      </c>
      <c r="S22" s="27">
        <f t="shared" si="17"/>
        <v>47</v>
      </c>
      <c r="T22" s="27">
        <f t="shared" si="17"/>
        <v>0</v>
      </c>
      <c r="U22" s="27">
        <f t="shared" si="17"/>
        <v>0</v>
      </c>
      <c r="V22" s="28">
        <f t="shared" si="17"/>
        <v>2</v>
      </c>
      <c r="W22" s="29">
        <f t="shared" si="17"/>
        <v>108</v>
      </c>
      <c r="X22" s="30">
        <f t="shared" si="17"/>
        <v>0</v>
      </c>
      <c r="Y22" s="30">
        <f t="shared" si="17"/>
        <v>0</v>
      </c>
      <c r="Z22" s="30">
        <f t="shared" si="17"/>
        <v>0</v>
      </c>
      <c r="AA22" s="30">
        <f t="shared" si="17"/>
        <v>0</v>
      </c>
      <c r="AB22" s="31">
        <f>SUM(AB6:AB21)/15</f>
        <v>0.73240148257631799</v>
      </c>
      <c r="AC22" s="4">
        <f>SUM(AC6:AC21)/15</f>
        <v>0.56388888888888888</v>
      </c>
      <c r="AD22" s="4">
        <f>SUM(AD6:AD21)/15</f>
        <v>0.56344125125260525</v>
      </c>
      <c r="AE22" s="32"/>
    </row>
    <row r="24" spans="1:36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21" t="s">
        <v>46</v>
      </c>
      <c r="B49" s="421"/>
      <c r="C49" s="421"/>
      <c r="D49" s="421"/>
      <c r="E49" s="42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22" t="s">
        <v>636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4"/>
      <c r="N50" s="425" t="s">
        <v>648</v>
      </c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26"/>
      <c r="AD50" s="427"/>
    </row>
    <row r="51" spans="1:32" ht="27" customHeight="1">
      <c r="A51" s="428" t="s">
        <v>2</v>
      </c>
      <c r="B51" s="429"/>
      <c r="C51" s="272" t="s">
        <v>47</v>
      </c>
      <c r="D51" s="272" t="s">
        <v>48</v>
      </c>
      <c r="E51" s="272" t="s">
        <v>110</v>
      </c>
      <c r="F51" s="429" t="s">
        <v>109</v>
      </c>
      <c r="G51" s="429"/>
      <c r="H51" s="429"/>
      <c r="I51" s="429"/>
      <c r="J51" s="429"/>
      <c r="K51" s="429"/>
      <c r="L51" s="429"/>
      <c r="M51" s="430"/>
      <c r="N51" s="73" t="s">
        <v>114</v>
      </c>
      <c r="O51" s="272" t="s">
        <v>47</v>
      </c>
      <c r="P51" s="431" t="s">
        <v>48</v>
      </c>
      <c r="Q51" s="432"/>
      <c r="R51" s="431" t="s">
        <v>39</v>
      </c>
      <c r="S51" s="433"/>
      <c r="T51" s="433"/>
      <c r="U51" s="432"/>
      <c r="V51" s="431" t="s">
        <v>49</v>
      </c>
      <c r="W51" s="433"/>
      <c r="X51" s="433"/>
      <c r="Y51" s="433"/>
      <c r="Z51" s="433"/>
      <c r="AA51" s="433"/>
      <c r="AB51" s="433"/>
      <c r="AC51" s="433"/>
      <c r="AD51" s="434"/>
    </row>
    <row r="52" spans="1:32" ht="27" customHeight="1">
      <c r="A52" s="445" t="s">
        <v>119</v>
      </c>
      <c r="B52" s="446"/>
      <c r="C52" s="273" t="s">
        <v>534</v>
      </c>
      <c r="D52" s="274" t="s">
        <v>637</v>
      </c>
      <c r="E52" s="273" t="s">
        <v>638</v>
      </c>
      <c r="F52" s="447" t="s">
        <v>639</v>
      </c>
      <c r="G52" s="447"/>
      <c r="H52" s="447"/>
      <c r="I52" s="447"/>
      <c r="J52" s="447"/>
      <c r="K52" s="447"/>
      <c r="L52" s="447"/>
      <c r="M52" s="448"/>
      <c r="N52" s="275" t="s">
        <v>119</v>
      </c>
      <c r="O52" s="74" t="s">
        <v>206</v>
      </c>
      <c r="P52" s="449" t="s">
        <v>649</v>
      </c>
      <c r="Q52" s="450"/>
      <c r="R52" s="451" t="s">
        <v>650</v>
      </c>
      <c r="S52" s="451"/>
      <c r="T52" s="451"/>
      <c r="U52" s="451"/>
      <c r="V52" s="447" t="s">
        <v>199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52" t="s">
        <v>569</v>
      </c>
      <c r="B53" s="451"/>
      <c r="C53" s="274" t="s">
        <v>579</v>
      </c>
      <c r="D53" s="274" t="s">
        <v>168</v>
      </c>
      <c r="E53" s="273" t="s">
        <v>581</v>
      </c>
      <c r="F53" s="447" t="s">
        <v>640</v>
      </c>
      <c r="G53" s="447"/>
      <c r="H53" s="447"/>
      <c r="I53" s="447"/>
      <c r="J53" s="447"/>
      <c r="K53" s="447"/>
      <c r="L53" s="447"/>
      <c r="M53" s="448"/>
      <c r="N53" s="275" t="s">
        <v>619</v>
      </c>
      <c r="O53" s="74" t="s">
        <v>590</v>
      </c>
      <c r="P53" s="449" t="s">
        <v>651</v>
      </c>
      <c r="Q53" s="450"/>
      <c r="R53" s="451" t="s">
        <v>652</v>
      </c>
      <c r="S53" s="451"/>
      <c r="T53" s="451"/>
      <c r="U53" s="451"/>
      <c r="V53" s="447" t="s">
        <v>653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641</v>
      </c>
      <c r="B54" s="446"/>
      <c r="C54" s="273" t="s">
        <v>149</v>
      </c>
      <c r="D54" s="274" t="s">
        <v>604</v>
      </c>
      <c r="E54" s="273" t="s">
        <v>630</v>
      </c>
      <c r="F54" s="447" t="s">
        <v>194</v>
      </c>
      <c r="G54" s="447"/>
      <c r="H54" s="447"/>
      <c r="I54" s="447"/>
      <c r="J54" s="447"/>
      <c r="K54" s="447"/>
      <c r="L54" s="447"/>
      <c r="M54" s="448"/>
      <c r="N54" s="275" t="s">
        <v>654</v>
      </c>
      <c r="O54" s="74" t="s">
        <v>655</v>
      </c>
      <c r="P54" s="449" t="s">
        <v>656</v>
      </c>
      <c r="Q54" s="450"/>
      <c r="R54" s="451" t="s">
        <v>657</v>
      </c>
      <c r="S54" s="451"/>
      <c r="T54" s="451"/>
      <c r="U54" s="451"/>
      <c r="V54" s="447" t="s">
        <v>658</v>
      </c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 t="s">
        <v>228</v>
      </c>
      <c r="B55" s="446"/>
      <c r="C55" s="273" t="s">
        <v>590</v>
      </c>
      <c r="D55" s="274" t="s">
        <v>604</v>
      </c>
      <c r="E55" s="273" t="s">
        <v>632</v>
      </c>
      <c r="F55" s="447" t="s">
        <v>642</v>
      </c>
      <c r="G55" s="447"/>
      <c r="H55" s="447"/>
      <c r="I55" s="447"/>
      <c r="J55" s="447"/>
      <c r="K55" s="447"/>
      <c r="L55" s="447"/>
      <c r="M55" s="448"/>
      <c r="N55" s="275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52" t="s">
        <v>228</v>
      </c>
      <c r="B56" s="451"/>
      <c r="C56" s="274" t="s">
        <v>269</v>
      </c>
      <c r="D56" s="274" t="s">
        <v>294</v>
      </c>
      <c r="E56" s="273" t="s">
        <v>635</v>
      </c>
      <c r="F56" s="447" t="s">
        <v>194</v>
      </c>
      <c r="G56" s="447"/>
      <c r="H56" s="447"/>
      <c r="I56" s="447"/>
      <c r="J56" s="447"/>
      <c r="K56" s="447"/>
      <c r="L56" s="447"/>
      <c r="M56" s="448"/>
      <c r="N56" s="275"/>
      <c r="O56" s="74"/>
      <c r="P56" s="449"/>
      <c r="Q56" s="450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 t="s">
        <v>146</v>
      </c>
      <c r="B57" s="446"/>
      <c r="C57" s="273" t="s">
        <v>240</v>
      </c>
      <c r="D57" s="274" t="s">
        <v>643</v>
      </c>
      <c r="E57" s="273" t="s">
        <v>644</v>
      </c>
      <c r="F57" s="447" t="s">
        <v>194</v>
      </c>
      <c r="G57" s="447"/>
      <c r="H57" s="447"/>
      <c r="I57" s="447"/>
      <c r="J57" s="447"/>
      <c r="K57" s="447"/>
      <c r="L57" s="447"/>
      <c r="M57" s="448"/>
      <c r="N57" s="275"/>
      <c r="O57" s="74"/>
      <c r="P57" s="451"/>
      <c r="Q57" s="451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 t="s">
        <v>146</v>
      </c>
      <c r="B58" s="446"/>
      <c r="C58" s="273" t="s">
        <v>645</v>
      </c>
      <c r="D58" s="274" t="s">
        <v>646</v>
      </c>
      <c r="E58" s="273" t="s">
        <v>647</v>
      </c>
      <c r="F58" s="447" t="s">
        <v>639</v>
      </c>
      <c r="G58" s="447"/>
      <c r="H58" s="447"/>
      <c r="I58" s="447"/>
      <c r="J58" s="447"/>
      <c r="K58" s="447"/>
      <c r="L58" s="447"/>
      <c r="M58" s="448"/>
      <c r="N58" s="275"/>
      <c r="O58" s="74"/>
      <c r="P58" s="449"/>
      <c r="Q58" s="450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45"/>
      <c r="B59" s="446"/>
      <c r="C59" s="273"/>
      <c r="D59" s="274"/>
      <c r="E59" s="273"/>
      <c r="F59" s="447"/>
      <c r="G59" s="447"/>
      <c r="H59" s="447"/>
      <c r="I59" s="447"/>
      <c r="J59" s="447"/>
      <c r="K59" s="447"/>
      <c r="L59" s="447"/>
      <c r="M59" s="448"/>
      <c r="N59" s="275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</row>
    <row r="60" spans="1:32" ht="27" customHeight="1">
      <c r="A60" s="452"/>
      <c r="B60" s="451"/>
      <c r="C60" s="274"/>
      <c r="D60" s="274"/>
      <c r="E60" s="274"/>
      <c r="F60" s="447"/>
      <c r="G60" s="447"/>
      <c r="H60" s="447"/>
      <c r="I60" s="447"/>
      <c r="J60" s="447"/>
      <c r="K60" s="447"/>
      <c r="L60" s="447"/>
      <c r="M60" s="448"/>
      <c r="N60" s="275"/>
      <c r="O60" s="74"/>
      <c r="P60" s="451"/>
      <c r="Q60" s="451"/>
      <c r="R60" s="451"/>
      <c r="S60" s="451"/>
      <c r="T60" s="451"/>
      <c r="U60" s="451"/>
      <c r="V60" s="447"/>
      <c r="W60" s="447"/>
      <c r="X60" s="447"/>
      <c r="Y60" s="447"/>
      <c r="Z60" s="447"/>
      <c r="AA60" s="447"/>
      <c r="AB60" s="447"/>
      <c r="AC60" s="447"/>
      <c r="AD60" s="448"/>
      <c r="AF60" s="94">
        <f>8*3000</f>
        <v>24000</v>
      </c>
    </row>
    <row r="61" spans="1:32" ht="27" customHeight="1" thickBot="1">
      <c r="A61" s="453"/>
      <c r="B61" s="454"/>
      <c r="C61" s="277"/>
      <c r="D61" s="277"/>
      <c r="E61" s="277"/>
      <c r="F61" s="455"/>
      <c r="G61" s="455"/>
      <c r="H61" s="455"/>
      <c r="I61" s="455"/>
      <c r="J61" s="455"/>
      <c r="K61" s="455"/>
      <c r="L61" s="455"/>
      <c r="M61" s="456"/>
      <c r="N61" s="276"/>
      <c r="O61" s="121"/>
      <c r="P61" s="454"/>
      <c r="Q61" s="454"/>
      <c r="R61" s="454"/>
      <c r="S61" s="454"/>
      <c r="T61" s="454"/>
      <c r="U61" s="454"/>
      <c r="V61" s="455"/>
      <c r="W61" s="455"/>
      <c r="X61" s="455"/>
      <c r="Y61" s="455"/>
      <c r="Z61" s="455"/>
      <c r="AA61" s="455"/>
      <c r="AB61" s="455"/>
      <c r="AC61" s="455"/>
      <c r="AD61" s="456"/>
      <c r="AF61" s="94">
        <f>16*3000</f>
        <v>48000</v>
      </c>
    </row>
    <row r="62" spans="1:32" ht="27.75" thickBot="1">
      <c r="A62" s="457" t="s">
        <v>659</v>
      </c>
      <c r="B62" s="457"/>
      <c r="C62" s="457"/>
      <c r="D62" s="457"/>
      <c r="E62" s="45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58" t="s">
        <v>115</v>
      </c>
      <c r="B63" s="459"/>
      <c r="C63" s="278" t="s">
        <v>2</v>
      </c>
      <c r="D63" s="278" t="s">
        <v>38</v>
      </c>
      <c r="E63" s="278" t="s">
        <v>3</v>
      </c>
      <c r="F63" s="459" t="s">
        <v>112</v>
      </c>
      <c r="G63" s="459"/>
      <c r="H63" s="459"/>
      <c r="I63" s="459"/>
      <c r="J63" s="459"/>
      <c r="K63" s="459" t="s">
        <v>40</v>
      </c>
      <c r="L63" s="459"/>
      <c r="M63" s="278" t="s">
        <v>41</v>
      </c>
      <c r="N63" s="459" t="s">
        <v>42</v>
      </c>
      <c r="O63" s="459"/>
      <c r="P63" s="460" t="s">
        <v>43</v>
      </c>
      <c r="Q63" s="461"/>
      <c r="R63" s="460" t="s">
        <v>44</v>
      </c>
      <c r="S63" s="462"/>
      <c r="T63" s="462"/>
      <c r="U63" s="462"/>
      <c r="V63" s="462"/>
      <c r="W63" s="462"/>
      <c r="X63" s="462"/>
      <c r="Y63" s="462"/>
      <c r="Z63" s="462"/>
      <c r="AA63" s="461"/>
      <c r="AB63" s="459" t="s">
        <v>45</v>
      </c>
      <c r="AC63" s="459"/>
      <c r="AD63" s="463"/>
      <c r="AF63" s="94">
        <f>SUM(AF60:AF62)</f>
        <v>96000</v>
      </c>
    </row>
    <row r="64" spans="1:32" ht="25.5" customHeight="1">
      <c r="A64" s="464">
        <v>1</v>
      </c>
      <c r="B64" s="465"/>
      <c r="C64" s="124" t="s">
        <v>144</v>
      </c>
      <c r="D64" s="281"/>
      <c r="E64" s="279" t="s">
        <v>660</v>
      </c>
      <c r="F64" s="466" t="s">
        <v>661</v>
      </c>
      <c r="G64" s="467"/>
      <c r="H64" s="467"/>
      <c r="I64" s="467"/>
      <c r="J64" s="467"/>
      <c r="K64" s="467" t="s">
        <v>395</v>
      </c>
      <c r="L64" s="467"/>
      <c r="M64" s="54" t="s">
        <v>662</v>
      </c>
      <c r="N64" s="467">
        <v>12</v>
      </c>
      <c r="O64" s="467"/>
      <c r="P64" s="468">
        <v>100</v>
      </c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2</v>
      </c>
      <c r="B65" s="465"/>
      <c r="C65" s="124"/>
      <c r="D65" s="281"/>
      <c r="E65" s="279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3</v>
      </c>
      <c r="B66" s="465"/>
      <c r="C66" s="124"/>
      <c r="D66" s="281"/>
      <c r="E66" s="279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4</v>
      </c>
      <c r="B67" s="465"/>
      <c r="C67" s="124"/>
      <c r="D67" s="281"/>
      <c r="E67" s="279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5</v>
      </c>
      <c r="B68" s="465"/>
      <c r="C68" s="124"/>
      <c r="D68" s="281"/>
      <c r="E68" s="279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6</v>
      </c>
      <c r="B69" s="465"/>
      <c r="C69" s="124"/>
      <c r="D69" s="281"/>
      <c r="E69" s="279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7</v>
      </c>
      <c r="B70" s="465"/>
      <c r="C70" s="124"/>
      <c r="D70" s="281"/>
      <c r="E70" s="279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5.5" customHeight="1">
      <c r="A71" s="464">
        <v>8</v>
      </c>
      <c r="B71" s="465"/>
      <c r="C71" s="124"/>
      <c r="D71" s="281"/>
      <c r="E71" s="279"/>
      <c r="F71" s="466"/>
      <c r="G71" s="467"/>
      <c r="H71" s="467"/>
      <c r="I71" s="467"/>
      <c r="J71" s="467"/>
      <c r="K71" s="467"/>
      <c r="L71" s="467"/>
      <c r="M71" s="54"/>
      <c r="N71" s="467"/>
      <c r="O71" s="467"/>
      <c r="P71" s="468"/>
      <c r="Q71" s="468"/>
      <c r="R71" s="447"/>
      <c r="S71" s="447"/>
      <c r="T71" s="447"/>
      <c r="U71" s="447"/>
      <c r="V71" s="447"/>
      <c r="W71" s="447"/>
      <c r="X71" s="447"/>
      <c r="Y71" s="447"/>
      <c r="Z71" s="447"/>
      <c r="AA71" s="447"/>
      <c r="AB71" s="467"/>
      <c r="AC71" s="467"/>
      <c r="AD71" s="469"/>
      <c r="AF71" s="53"/>
    </row>
    <row r="72" spans="1:32" ht="26.25" customHeight="1" thickBot="1">
      <c r="A72" s="470" t="s">
        <v>663</v>
      </c>
      <c r="B72" s="470"/>
      <c r="C72" s="470"/>
      <c r="D72" s="470"/>
      <c r="E72" s="470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71" t="s">
        <v>115</v>
      </c>
      <c r="B73" s="472"/>
      <c r="C73" s="280" t="s">
        <v>2</v>
      </c>
      <c r="D73" s="280" t="s">
        <v>38</v>
      </c>
      <c r="E73" s="280" t="s">
        <v>3</v>
      </c>
      <c r="F73" s="472" t="s">
        <v>39</v>
      </c>
      <c r="G73" s="472"/>
      <c r="H73" s="472"/>
      <c r="I73" s="472"/>
      <c r="J73" s="472"/>
      <c r="K73" s="473" t="s">
        <v>60</v>
      </c>
      <c r="L73" s="474"/>
      <c r="M73" s="474"/>
      <c r="N73" s="474"/>
      <c r="O73" s="474"/>
      <c r="P73" s="474"/>
      <c r="Q73" s="474"/>
      <c r="R73" s="474"/>
      <c r="S73" s="475"/>
      <c r="T73" s="472" t="s">
        <v>50</v>
      </c>
      <c r="U73" s="472"/>
      <c r="V73" s="473" t="s">
        <v>51</v>
      </c>
      <c r="W73" s="475"/>
      <c r="X73" s="474" t="s">
        <v>52</v>
      </c>
      <c r="Y73" s="474"/>
      <c r="Z73" s="474"/>
      <c r="AA73" s="474"/>
      <c r="AB73" s="474"/>
      <c r="AC73" s="474"/>
      <c r="AD73" s="476"/>
      <c r="AF73" s="53"/>
    </row>
    <row r="74" spans="1:32" ht="33.75" customHeight="1">
      <c r="A74" s="485">
        <v>1</v>
      </c>
      <c r="B74" s="486"/>
      <c r="C74" s="282" t="s">
        <v>118</v>
      </c>
      <c r="D74" s="282"/>
      <c r="E74" s="71" t="s">
        <v>124</v>
      </c>
      <c r="F74" s="487" t="s">
        <v>125</v>
      </c>
      <c r="G74" s="488"/>
      <c r="H74" s="488"/>
      <c r="I74" s="488"/>
      <c r="J74" s="489"/>
      <c r="K74" s="490" t="s">
        <v>120</v>
      </c>
      <c r="L74" s="491"/>
      <c r="M74" s="491"/>
      <c r="N74" s="491"/>
      <c r="O74" s="491"/>
      <c r="P74" s="491"/>
      <c r="Q74" s="491"/>
      <c r="R74" s="491"/>
      <c r="S74" s="492"/>
      <c r="T74" s="493">
        <v>42901</v>
      </c>
      <c r="U74" s="494"/>
      <c r="V74" s="495"/>
      <c r="W74" s="495"/>
      <c r="X74" s="496"/>
      <c r="Y74" s="496"/>
      <c r="Z74" s="496"/>
      <c r="AA74" s="496"/>
      <c r="AB74" s="496"/>
      <c r="AC74" s="496"/>
      <c r="AD74" s="497"/>
      <c r="AF74" s="53"/>
    </row>
    <row r="75" spans="1:32" ht="30" customHeight="1">
      <c r="A75" s="477">
        <f>A74+1</f>
        <v>2</v>
      </c>
      <c r="B75" s="478"/>
      <c r="C75" s="281" t="s">
        <v>118</v>
      </c>
      <c r="D75" s="281"/>
      <c r="E75" s="35" t="s">
        <v>121</v>
      </c>
      <c r="F75" s="478" t="s">
        <v>122</v>
      </c>
      <c r="G75" s="478"/>
      <c r="H75" s="478"/>
      <c r="I75" s="478"/>
      <c r="J75" s="478"/>
      <c r="K75" s="479" t="s">
        <v>123</v>
      </c>
      <c r="L75" s="480"/>
      <c r="M75" s="480"/>
      <c r="N75" s="480"/>
      <c r="O75" s="480"/>
      <c r="P75" s="480"/>
      <c r="Q75" s="480"/>
      <c r="R75" s="480"/>
      <c r="S75" s="481"/>
      <c r="T75" s="482">
        <v>42867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ref="A76:A82" si="18">A75+1</f>
        <v>3</v>
      </c>
      <c r="B76" s="478"/>
      <c r="C76" s="281" t="s">
        <v>144</v>
      </c>
      <c r="D76" s="281"/>
      <c r="E76" s="35" t="s">
        <v>139</v>
      </c>
      <c r="F76" s="478" t="s">
        <v>145</v>
      </c>
      <c r="G76" s="478"/>
      <c r="H76" s="478"/>
      <c r="I76" s="478"/>
      <c r="J76" s="478"/>
      <c r="K76" s="479" t="s">
        <v>120</v>
      </c>
      <c r="L76" s="480"/>
      <c r="M76" s="480"/>
      <c r="N76" s="480"/>
      <c r="O76" s="480"/>
      <c r="P76" s="480"/>
      <c r="Q76" s="480"/>
      <c r="R76" s="480"/>
      <c r="S76" s="481"/>
      <c r="T76" s="482">
        <v>42937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8"/>
        <v>4</v>
      </c>
      <c r="B77" s="478"/>
      <c r="C77" s="281" t="s">
        <v>119</v>
      </c>
      <c r="D77" s="281"/>
      <c r="E77" s="35" t="s">
        <v>137</v>
      </c>
      <c r="F77" s="478" t="s">
        <v>138</v>
      </c>
      <c r="G77" s="478"/>
      <c r="H77" s="478"/>
      <c r="I77" s="478"/>
      <c r="J77" s="478"/>
      <c r="K77" s="479" t="s">
        <v>140</v>
      </c>
      <c r="L77" s="480"/>
      <c r="M77" s="480"/>
      <c r="N77" s="480"/>
      <c r="O77" s="480"/>
      <c r="P77" s="480"/>
      <c r="Q77" s="480"/>
      <c r="R77" s="480"/>
      <c r="S77" s="481"/>
      <c r="T77" s="482">
        <v>42920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8"/>
        <v>5</v>
      </c>
      <c r="B78" s="478"/>
      <c r="C78" s="281"/>
      <c r="D78" s="281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8"/>
        <v>6</v>
      </c>
      <c r="B79" s="478"/>
      <c r="C79" s="281"/>
      <c r="D79" s="281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8"/>
        <v>7</v>
      </c>
      <c r="B80" s="478"/>
      <c r="C80" s="281"/>
      <c r="D80" s="281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8"/>
        <v>8</v>
      </c>
      <c r="B81" s="478"/>
      <c r="C81" s="281"/>
      <c r="D81" s="281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0" customHeight="1">
      <c r="A82" s="477">
        <f t="shared" si="18"/>
        <v>9</v>
      </c>
      <c r="B82" s="478"/>
      <c r="C82" s="281"/>
      <c r="D82" s="281"/>
      <c r="E82" s="35"/>
      <c r="F82" s="478"/>
      <c r="G82" s="478"/>
      <c r="H82" s="478"/>
      <c r="I82" s="478"/>
      <c r="J82" s="478"/>
      <c r="K82" s="479"/>
      <c r="L82" s="480"/>
      <c r="M82" s="480"/>
      <c r="N82" s="480"/>
      <c r="O82" s="480"/>
      <c r="P82" s="480"/>
      <c r="Q82" s="480"/>
      <c r="R82" s="480"/>
      <c r="S82" s="481"/>
      <c r="T82" s="482"/>
      <c r="U82" s="482"/>
      <c r="V82" s="482"/>
      <c r="W82" s="482"/>
      <c r="X82" s="483"/>
      <c r="Y82" s="483"/>
      <c r="Z82" s="483"/>
      <c r="AA82" s="483"/>
      <c r="AB82" s="483"/>
      <c r="AC82" s="483"/>
      <c r="AD82" s="484"/>
      <c r="AF82" s="53"/>
    </row>
    <row r="83" spans="1:32" ht="36" thickBot="1">
      <c r="A83" s="470" t="s">
        <v>664</v>
      </c>
      <c r="B83" s="470"/>
      <c r="C83" s="470"/>
      <c r="D83" s="470"/>
      <c r="E83" s="470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98" t="s">
        <v>37</v>
      </c>
      <c r="B84" s="499"/>
      <c r="C84" s="499" t="s">
        <v>53</v>
      </c>
      <c r="D84" s="499"/>
      <c r="E84" s="499" t="s">
        <v>54</v>
      </c>
      <c r="F84" s="499"/>
      <c r="G84" s="499"/>
      <c r="H84" s="499"/>
      <c r="I84" s="499"/>
      <c r="J84" s="499"/>
      <c r="K84" s="499" t="s">
        <v>55</v>
      </c>
      <c r="L84" s="499"/>
      <c r="M84" s="499"/>
      <c r="N84" s="499"/>
      <c r="O84" s="499"/>
      <c r="P84" s="499"/>
      <c r="Q84" s="499"/>
      <c r="R84" s="499"/>
      <c r="S84" s="499"/>
      <c r="T84" s="499" t="s">
        <v>56</v>
      </c>
      <c r="U84" s="499"/>
      <c r="V84" s="499" t="s">
        <v>57</v>
      </c>
      <c r="W84" s="499"/>
      <c r="X84" s="499"/>
      <c r="Y84" s="499" t="s">
        <v>52</v>
      </c>
      <c r="Z84" s="499"/>
      <c r="AA84" s="499"/>
      <c r="AB84" s="499"/>
      <c r="AC84" s="499"/>
      <c r="AD84" s="500"/>
      <c r="AF84" s="53"/>
    </row>
    <row r="85" spans="1:32" ht="30.75" customHeight="1">
      <c r="A85" s="485">
        <v>1</v>
      </c>
      <c r="B85" s="486"/>
      <c r="C85" s="501">
        <v>1</v>
      </c>
      <c r="D85" s="501"/>
      <c r="E85" s="501" t="s">
        <v>129</v>
      </c>
      <c r="F85" s="501"/>
      <c r="G85" s="501"/>
      <c r="H85" s="501"/>
      <c r="I85" s="501"/>
      <c r="J85" s="501"/>
      <c r="K85" s="501" t="s">
        <v>130</v>
      </c>
      <c r="L85" s="501"/>
      <c r="M85" s="501"/>
      <c r="N85" s="501"/>
      <c r="O85" s="501"/>
      <c r="P85" s="501"/>
      <c r="Q85" s="501"/>
      <c r="R85" s="501"/>
      <c r="S85" s="501"/>
      <c r="T85" s="501" t="s">
        <v>131</v>
      </c>
      <c r="U85" s="501"/>
      <c r="V85" s="502">
        <v>1500000</v>
      </c>
      <c r="W85" s="502"/>
      <c r="X85" s="502"/>
      <c r="Y85" s="503" t="s">
        <v>132</v>
      </c>
      <c r="Z85" s="503"/>
      <c r="AA85" s="503"/>
      <c r="AB85" s="503"/>
      <c r="AC85" s="503"/>
      <c r="AD85" s="504"/>
      <c r="AF85" s="53"/>
    </row>
    <row r="86" spans="1:32" ht="30.75" customHeight="1">
      <c r="A86" s="477">
        <v>2</v>
      </c>
      <c r="B86" s="478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512"/>
      <c r="R86" s="512"/>
      <c r="S86" s="512"/>
      <c r="T86" s="513"/>
      <c r="U86" s="513"/>
      <c r="V86" s="514"/>
      <c r="W86" s="514"/>
      <c r="X86" s="514"/>
      <c r="Y86" s="505"/>
      <c r="Z86" s="505"/>
      <c r="AA86" s="505"/>
      <c r="AB86" s="505"/>
      <c r="AC86" s="505"/>
      <c r="AD86" s="506"/>
      <c r="AF86" s="53"/>
    </row>
    <row r="87" spans="1:32" ht="30.75" customHeight="1" thickBot="1">
      <c r="A87" s="507">
        <v>3</v>
      </c>
      <c r="B87" s="508"/>
      <c r="C87" s="509"/>
      <c r="D87" s="509"/>
      <c r="E87" s="509"/>
      <c r="F87" s="509"/>
      <c r="G87" s="509"/>
      <c r="H87" s="509"/>
      <c r="I87" s="509"/>
      <c r="J87" s="509"/>
      <c r="K87" s="509"/>
      <c r="L87" s="509"/>
      <c r="M87" s="509"/>
      <c r="N87" s="509"/>
      <c r="O87" s="509"/>
      <c r="P87" s="509"/>
      <c r="Q87" s="509"/>
      <c r="R87" s="509"/>
      <c r="S87" s="509"/>
      <c r="T87" s="509"/>
      <c r="U87" s="509"/>
      <c r="V87" s="509"/>
      <c r="W87" s="509"/>
      <c r="X87" s="509"/>
      <c r="Y87" s="510"/>
      <c r="Z87" s="510"/>
      <c r="AA87" s="510"/>
      <c r="AB87" s="510"/>
      <c r="AC87" s="510"/>
      <c r="AD87" s="511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J86"/>
  <sheetViews>
    <sheetView topLeftCell="A52"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665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294" t="s">
        <v>17</v>
      </c>
      <c r="L5" s="294" t="s">
        <v>18</v>
      </c>
      <c r="M5" s="294" t="s">
        <v>19</v>
      </c>
      <c r="N5" s="29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0.58556427613144713</v>
      </c>
      <c r="AF6" s="94">
        <f t="shared" ref="AF6:AF20" si="8">A6</f>
        <v>1</v>
      </c>
    </row>
    <row r="7" spans="1:36" ht="27" customHeight="1">
      <c r="A7" s="108">
        <v>2</v>
      </c>
      <c r="B7" s="11" t="s">
        <v>164</v>
      </c>
      <c r="C7" s="37" t="s">
        <v>119</v>
      </c>
      <c r="D7" s="55" t="s">
        <v>151</v>
      </c>
      <c r="E7" s="57" t="s">
        <v>519</v>
      </c>
      <c r="F7" s="33" t="s">
        <v>133</v>
      </c>
      <c r="G7" s="12">
        <v>1</v>
      </c>
      <c r="H7" s="13">
        <v>25</v>
      </c>
      <c r="I7" s="34">
        <v>40000</v>
      </c>
      <c r="J7" s="5">
        <v>4530</v>
      </c>
      <c r="K7" s="15">
        <f>L7+2045+4660+4937+3956</f>
        <v>20120</v>
      </c>
      <c r="L7" s="15">
        <f>2239+2283</f>
        <v>4522</v>
      </c>
      <c r="M7" s="16">
        <f t="shared" si="0"/>
        <v>4522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0.99823399558498893</v>
      </c>
      <c r="AC7" s="9">
        <f t="shared" si="5"/>
        <v>1</v>
      </c>
      <c r="AD7" s="10">
        <f t="shared" si="6"/>
        <v>0.99823399558498893</v>
      </c>
      <c r="AE7" s="39">
        <f t="shared" si="7"/>
        <v>0.58556427613144713</v>
      </c>
      <c r="AF7" s="94">
        <f t="shared" si="8"/>
        <v>2</v>
      </c>
    </row>
    <row r="8" spans="1:36" ht="27" customHeight="1">
      <c r="A8" s="109">
        <v>3</v>
      </c>
      <c r="B8" s="11" t="s">
        <v>164</v>
      </c>
      <c r="C8" s="11" t="s">
        <v>119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40000</v>
      </c>
      <c r="J8" s="14">
        <v>3760</v>
      </c>
      <c r="K8" s="15">
        <f>8000+L8+4566+5171+2860+4516+3286+4226+4487</f>
        <v>40865</v>
      </c>
      <c r="L8" s="15">
        <f>2200+1553</f>
        <v>3753</v>
      </c>
      <c r="M8" s="16">
        <f t="shared" si="0"/>
        <v>3753</v>
      </c>
      <c r="N8" s="16">
        <v>0</v>
      </c>
      <c r="O8" s="62">
        <f t="shared" si="1"/>
        <v>0</v>
      </c>
      <c r="P8" s="42">
        <f t="shared" si="2"/>
        <v>16</v>
      </c>
      <c r="Q8" s="43">
        <f t="shared" si="3"/>
        <v>8</v>
      </c>
      <c r="R8" s="7"/>
      <c r="S8" s="6">
        <v>8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0.99813829787234043</v>
      </c>
      <c r="AC8" s="9">
        <f t="shared" si="5"/>
        <v>0.66666666666666663</v>
      </c>
      <c r="AD8" s="10">
        <f t="shared" si="6"/>
        <v>0.66542553191489362</v>
      </c>
      <c r="AE8" s="39">
        <f t="shared" si="7"/>
        <v>0.58556427613144713</v>
      </c>
      <c r="AF8" s="94">
        <f>A8</f>
        <v>3</v>
      </c>
    </row>
    <row r="9" spans="1:36" ht="27" customHeight="1">
      <c r="A9" s="110">
        <v>4</v>
      </c>
      <c r="B9" s="11" t="s">
        <v>164</v>
      </c>
      <c r="C9" s="11" t="s">
        <v>119</v>
      </c>
      <c r="D9" s="55" t="s">
        <v>150</v>
      </c>
      <c r="E9" s="56" t="s">
        <v>521</v>
      </c>
      <c r="F9" s="12" t="s">
        <v>213</v>
      </c>
      <c r="G9" s="36">
        <v>1</v>
      </c>
      <c r="H9" s="38">
        <v>25</v>
      </c>
      <c r="I9" s="34">
        <v>40000</v>
      </c>
      <c r="J9" s="5">
        <v>5670</v>
      </c>
      <c r="K9" s="15">
        <f>L9+2467+4801+5657+3590</f>
        <v>22180</v>
      </c>
      <c r="L9" s="15">
        <f>2912+2753</f>
        <v>5665</v>
      </c>
      <c r="M9" s="16">
        <f t="shared" si="0"/>
        <v>5665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0.99911816578483248</v>
      </c>
      <c r="AC9" s="9">
        <f t="shared" si="5"/>
        <v>1</v>
      </c>
      <c r="AD9" s="10">
        <f t="shared" si="6"/>
        <v>0.99911816578483248</v>
      </c>
      <c r="AE9" s="39">
        <f t="shared" si="7"/>
        <v>0.58556427613144713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119</v>
      </c>
      <c r="D10" s="55" t="s">
        <v>405</v>
      </c>
      <c r="E10" s="57" t="s">
        <v>406</v>
      </c>
      <c r="F10" s="12" t="s">
        <v>407</v>
      </c>
      <c r="G10" s="12">
        <v>32</v>
      </c>
      <c r="H10" s="13">
        <v>25</v>
      </c>
      <c r="I10" s="34">
        <v>150000</v>
      </c>
      <c r="J10" s="14">
        <v>170020</v>
      </c>
      <c r="K10" s="15">
        <f>L10+124384</f>
        <v>294400</v>
      </c>
      <c r="L10" s="15">
        <f>2278*32+3035*32</f>
        <v>170016</v>
      </c>
      <c r="M10" s="16">
        <f t="shared" si="0"/>
        <v>170016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0.99997647335607576</v>
      </c>
      <c r="AC10" s="9">
        <f t="shared" si="5"/>
        <v>1</v>
      </c>
      <c r="AD10" s="10">
        <f t="shared" si="6"/>
        <v>0.99997647335607576</v>
      </c>
      <c r="AE10" s="39">
        <f t="shared" si="7"/>
        <v>0.58556427613144713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666</v>
      </c>
      <c r="D11" s="55" t="s">
        <v>667</v>
      </c>
      <c r="E11" s="56" t="s">
        <v>668</v>
      </c>
      <c r="F11" s="12" t="s">
        <v>669</v>
      </c>
      <c r="G11" s="12">
        <v>4</v>
      </c>
      <c r="H11" s="13">
        <v>25</v>
      </c>
      <c r="I11" s="34">
        <v>5000</v>
      </c>
      <c r="J11" s="14">
        <v>5600</v>
      </c>
      <c r="K11" s="15">
        <f>L11</f>
        <v>5600</v>
      </c>
      <c r="L11" s="15">
        <f>1400*4</f>
        <v>5600</v>
      </c>
      <c r="M11" s="16">
        <f t="shared" si="0"/>
        <v>5600</v>
      </c>
      <c r="N11" s="16">
        <v>0</v>
      </c>
      <c r="O11" s="62">
        <f t="shared" si="1"/>
        <v>0</v>
      </c>
      <c r="P11" s="42">
        <f t="shared" si="2"/>
        <v>8</v>
      </c>
      <c r="Q11" s="43">
        <f t="shared" si="3"/>
        <v>16</v>
      </c>
      <c r="R11" s="7"/>
      <c r="S11" s="6"/>
      <c r="T11" s="17"/>
      <c r="U11" s="17"/>
      <c r="V11" s="18"/>
      <c r="W11" s="19">
        <v>16</v>
      </c>
      <c r="X11" s="17"/>
      <c r="Y11" s="20"/>
      <c r="Z11" s="20"/>
      <c r="AA11" s="21"/>
      <c r="AB11" s="8">
        <f t="shared" si="4"/>
        <v>1</v>
      </c>
      <c r="AC11" s="9">
        <f t="shared" si="5"/>
        <v>0.33333333333333331</v>
      </c>
      <c r="AD11" s="10">
        <f t="shared" si="6"/>
        <v>0.33333333333333331</v>
      </c>
      <c r="AE11" s="39">
        <f t="shared" si="7"/>
        <v>0.58556427613144713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228</v>
      </c>
      <c r="D12" s="55" t="s">
        <v>294</v>
      </c>
      <c r="E12" s="57" t="s">
        <v>295</v>
      </c>
      <c r="F12" s="12" t="s">
        <v>167</v>
      </c>
      <c r="G12" s="12">
        <v>1</v>
      </c>
      <c r="H12" s="13">
        <v>25</v>
      </c>
      <c r="I12" s="7">
        <v>35000</v>
      </c>
      <c r="J12" s="14">
        <v>3330</v>
      </c>
      <c r="K12" s="15">
        <f>L12+3048+3908+1500+3674+4638+4098</f>
        <v>24193</v>
      </c>
      <c r="L12" s="15">
        <f>2050+1277</f>
        <v>3327</v>
      </c>
      <c r="M12" s="16">
        <f t="shared" si="0"/>
        <v>3327</v>
      </c>
      <c r="N12" s="16">
        <v>0</v>
      </c>
      <c r="O12" s="62">
        <f t="shared" si="1"/>
        <v>0</v>
      </c>
      <c r="P12" s="42">
        <f t="shared" si="2"/>
        <v>19</v>
      </c>
      <c r="Q12" s="43">
        <f t="shared" si="3"/>
        <v>5</v>
      </c>
      <c r="R12" s="7"/>
      <c r="S12" s="6">
        <v>5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0.99909909909909911</v>
      </c>
      <c r="AC12" s="9">
        <f t="shared" si="5"/>
        <v>0.79166666666666663</v>
      </c>
      <c r="AD12" s="10">
        <f t="shared" si="6"/>
        <v>0.79095345345345347</v>
      </c>
      <c r="AE12" s="39">
        <f t="shared" si="7"/>
        <v>0.58556427613144713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228</v>
      </c>
      <c r="D13" s="55" t="s">
        <v>629</v>
      </c>
      <c r="E13" s="57" t="s">
        <v>630</v>
      </c>
      <c r="F13" s="12" t="s">
        <v>631</v>
      </c>
      <c r="G13" s="12">
        <v>1</v>
      </c>
      <c r="H13" s="13">
        <v>40</v>
      </c>
      <c r="I13" s="7">
        <v>500</v>
      </c>
      <c r="J13" s="14">
        <v>730</v>
      </c>
      <c r="K13" s="15">
        <f>L13+727</f>
        <v>727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/>
      <c r="X13" s="17"/>
      <c r="Y13" s="20"/>
      <c r="Z13" s="20"/>
      <c r="AA13" s="21">
        <v>24</v>
      </c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0.58556427613144713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632</v>
      </c>
      <c r="F14" s="33" t="s">
        <v>633</v>
      </c>
      <c r="G14" s="36">
        <v>1</v>
      </c>
      <c r="H14" s="38">
        <v>40</v>
      </c>
      <c r="I14" s="7">
        <v>500</v>
      </c>
      <c r="J14" s="5">
        <v>300</v>
      </c>
      <c r="K14" s="15">
        <f>L14</f>
        <v>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0.58556427613144713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334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L15+903</f>
        <v>903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0.58556427613144713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119</v>
      </c>
      <c r="D16" s="55" t="s">
        <v>126</v>
      </c>
      <c r="E16" s="56" t="s">
        <v>198</v>
      </c>
      <c r="F16" s="12">
        <v>7301</v>
      </c>
      <c r="G16" s="36">
        <v>1</v>
      </c>
      <c r="H16" s="38">
        <v>25</v>
      </c>
      <c r="I16" s="7">
        <v>40000</v>
      </c>
      <c r="J16" s="14">
        <v>5790</v>
      </c>
      <c r="K16" s="15">
        <f>L16+3005+5564+4844+1728</f>
        <v>20926</v>
      </c>
      <c r="L16" s="15">
        <f>2971+2814</f>
        <v>5785</v>
      </c>
      <c r="M16" s="16">
        <f t="shared" si="0"/>
        <v>5785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0.99913644214162345</v>
      </c>
      <c r="AC16" s="9">
        <f t="shared" si="5"/>
        <v>1</v>
      </c>
      <c r="AD16" s="10">
        <f t="shared" si="6"/>
        <v>0.99913644214162345</v>
      </c>
      <c r="AE16" s="39">
        <f t="shared" si="7"/>
        <v>0.58556427613144713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410</v>
      </c>
      <c r="D17" s="55" t="s">
        <v>411</v>
      </c>
      <c r="E17" s="56" t="s">
        <v>412</v>
      </c>
      <c r="F17" s="12">
        <v>8301</v>
      </c>
      <c r="G17" s="12">
        <v>1</v>
      </c>
      <c r="H17" s="13">
        <v>25</v>
      </c>
      <c r="I17" s="34">
        <v>500</v>
      </c>
      <c r="J17" s="5">
        <v>632</v>
      </c>
      <c r="K17" s="15">
        <f>L17+632</f>
        <v>632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0.58556427613144713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550</v>
      </c>
      <c r="D18" s="55" t="s">
        <v>570</v>
      </c>
      <c r="E18" s="57" t="s">
        <v>217</v>
      </c>
      <c r="F18" s="33" t="s">
        <v>218</v>
      </c>
      <c r="G18" s="12">
        <v>1</v>
      </c>
      <c r="H18" s="13">
        <v>25</v>
      </c>
      <c r="I18" s="34">
        <v>35000</v>
      </c>
      <c r="J18" s="5">
        <v>5300</v>
      </c>
      <c r="K18" s="15">
        <f>L18+2973+3499+4604</f>
        <v>16368</v>
      </c>
      <c r="L18" s="15">
        <f>2719+2573</f>
        <v>5292</v>
      </c>
      <c r="M18" s="16">
        <f t="shared" si="0"/>
        <v>5292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0.99849056603773589</v>
      </c>
      <c r="AC18" s="9">
        <f t="shared" si="5"/>
        <v>1</v>
      </c>
      <c r="AD18" s="10">
        <f t="shared" si="6"/>
        <v>0.99849056603773589</v>
      </c>
      <c r="AE18" s="39">
        <f t="shared" si="7"/>
        <v>0.58556427613144713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119</v>
      </c>
      <c r="D19" s="55" t="s">
        <v>58</v>
      </c>
      <c r="E19" s="57" t="s">
        <v>134</v>
      </c>
      <c r="F19" s="33" t="s">
        <v>136</v>
      </c>
      <c r="G19" s="36">
        <v>1</v>
      </c>
      <c r="H19" s="38">
        <v>25</v>
      </c>
      <c r="I19" s="7">
        <v>40000</v>
      </c>
      <c r="J19" s="5">
        <v>5130</v>
      </c>
      <c r="K19" s="15">
        <f>L19+4891+5116+437+4687+2909+3071+5068+4913+4197+4697</f>
        <v>45110</v>
      </c>
      <c r="L19" s="15">
        <f>2633+2491</f>
        <v>5124</v>
      </c>
      <c r="M19" s="16">
        <f t="shared" si="0"/>
        <v>5124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0.99883040935672518</v>
      </c>
      <c r="AC19" s="9">
        <f t="shared" si="5"/>
        <v>1</v>
      </c>
      <c r="AD19" s="10">
        <f t="shared" si="6"/>
        <v>0.99883040935672518</v>
      </c>
      <c r="AE19" s="39">
        <f t="shared" si="7"/>
        <v>0.58556427613144713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599</v>
      </c>
      <c r="F20" s="12" t="s">
        <v>117</v>
      </c>
      <c r="G20" s="12">
        <v>4</v>
      </c>
      <c r="H20" s="38">
        <v>20</v>
      </c>
      <c r="I20" s="7">
        <v>200000</v>
      </c>
      <c r="J20" s="14">
        <v>58430</v>
      </c>
      <c r="K20" s="15">
        <f>L20+50220+52380</f>
        <v>161028</v>
      </c>
      <c r="L20" s="15">
        <f>6886*4+7721*4</f>
        <v>58428</v>
      </c>
      <c r="M20" s="16">
        <f t="shared" si="0"/>
        <v>58428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0.99996577100804385</v>
      </c>
      <c r="AC20" s="9">
        <f t="shared" si="5"/>
        <v>1</v>
      </c>
      <c r="AD20" s="10">
        <f t="shared" si="6"/>
        <v>0.99996577100804385</v>
      </c>
      <c r="AE20" s="39">
        <f t="shared" si="7"/>
        <v>0.58556427613144713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628150</v>
      </c>
      <c r="J21" s="22">
        <f t="shared" si="9"/>
        <v>272102</v>
      </c>
      <c r="K21" s="23">
        <f t="shared" si="9"/>
        <v>655014</v>
      </c>
      <c r="L21" s="24">
        <f t="shared" si="9"/>
        <v>267512</v>
      </c>
      <c r="M21" s="23">
        <f t="shared" si="9"/>
        <v>267512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211</v>
      </c>
      <c r="Q21" s="46">
        <f t="shared" si="10"/>
        <v>149</v>
      </c>
      <c r="R21" s="26">
        <f t="shared" si="10"/>
        <v>24</v>
      </c>
      <c r="S21" s="27">
        <f t="shared" si="10"/>
        <v>37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64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24</v>
      </c>
      <c r="AB21" s="31">
        <f>SUM(AB6:AB20)/15</f>
        <v>0.66606594801609764</v>
      </c>
      <c r="AC21" s="4">
        <f>SUM(AC6:AC20)/15</f>
        <v>0.58611111111111114</v>
      </c>
      <c r="AD21" s="4">
        <f>SUM(AD6:AD20)/15</f>
        <v>0.58556427613144713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670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681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293" t="s">
        <v>47</v>
      </c>
      <c r="D50" s="293" t="s">
        <v>48</v>
      </c>
      <c r="E50" s="293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293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119</v>
      </c>
      <c r="B51" s="446"/>
      <c r="C51" s="292" t="s">
        <v>671</v>
      </c>
      <c r="D51" s="289" t="s">
        <v>672</v>
      </c>
      <c r="E51" s="292" t="s">
        <v>673</v>
      </c>
      <c r="F51" s="447" t="s">
        <v>674</v>
      </c>
      <c r="G51" s="447"/>
      <c r="H51" s="447"/>
      <c r="I51" s="447"/>
      <c r="J51" s="447"/>
      <c r="K51" s="447"/>
      <c r="L51" s="447"/>
      <c r="M51" s="448"/>
      <c r="N51" s="288" t="s">
        <v>119</v>
      </c>
      <c r="O51" s="74" t="s">
        <v>206</v>
      </c>
      <c r="P51" s="449" t="s">
        <v>649</v>
      </c>
      <c r="Q51" s="450"/>
      <c r="R51" s="451" t="s">
        <v>650</v>
      </c>
      <c r="S51" s="451"/>
      <c r="T51" s="451"/>
      <c r="U51" s="451"/>
      <c r="V51" s="447" t="s">
        <v>682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228</v>
      </c>
      <c r="B52" s="446"/>
      <c r="C52" s="292" t="s">
        <v>590</v>
      </c>
      <c r="D52" s="289" t="s">
        <v>604</v>
      </c>
      <c r="E52" s="292" t="s">
        <v>632</v>
      </c>
      <c r="F52" s="447" t="s">
        <v>675</v>
      </c>
      <c r="G52" s="447"/>
      <c r="H52" s="447"/>
      <c r="I52" s="447"/>
      <c r="J52" s="447"/>
      <c r="K52" s="447"/>
      <c r="L52" s="447"/>
      <c r="M52" s="448"/>
      <c r="N52" s="288" t="s">
        <v>688</v>
      </c>
      <c r="O52" s="74" t="s">
        <v>689</v>
      </c>
      <c r="P52" s="449" t="s">
        <v>629</v>
      </c>
      <c r="Q52" s="450"/>
      <c r="R52" s="451" t="s">
        <v>687</v>
      </c>
      <c r="S52" s="451"/>
      <c r="T52" s="451"/>
      <c r="U52" s="451"/>
      <c r="V52" s="447" t="s">
        <v>690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676</v>
      </c>
      <c r="B53" s="446"/>
      <c r="C53" s="292" t="s">
        <v>677</v>
      </c>
      <c r="D53" s="289" t="s">
        <v>678</v>
      </c>
      <c r="E53" s="292" t="s">
        <v>679</v>
      </c>
      <c r="F53" s="447" t="s">
        <v>680</v>
      </c>
      <c r="G53" s="447"/>
      <c r="H53" s="447"/>
      <c r="I53" s="447"/>
      <c r="J53" s="447"/>
      <c r="K53" s="447"/>
      <c r="L53" s="447"/>
      <c r="M53" s="448"/>
      <c r="N53" s="288" t="s">
        <v>692</v>
      </c>
      <c r="O53" s="74" t="s">
        <v>693</v>
      </c>
      <c r="P53" s="449" t="s">
        <v>694</v>
      </c>
      <c r="Q53" s="450"/>
      <c r="R53" s="451" t="s">
        <v>691</v>
      </c>
      <c r="S53" s="451"/>
      <c r="T53" s="451"/>
      <c r="U53" s="451"/>
      <c r="V53" s="447" t="s">
        <v>686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666</v>
      </c>
      <c r="B54" s="446"/>
      <c r="C54" s="292" t="s">
        <v>684</v>
      </c>
      <c r="D54" s="289" t="s">
        <v>685</v>
      </c>
      <c r="E54" s="292" t="s">
        <v>683</v>
      </c>
      <c r="F54" s="447" t="s">
        <v>686</v>
      </c>
      <c r="G54" s="447"/>
      <c r="H54" s="447"/>
      <c r="I54" s="447"/>
      <c r="J54" s="447"/>
      <c r="K54" s="447"/>
      <c r="L54" s="447"/>
      <c r="M54" s="448"/>
      <c r="N54" s="288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52"/>
      <c r="B55" s="451"/>
      <c r="C55" s="289"/>
      <c r="D55" s="289"/>
      <c r="E55" s="292"/>
      <c r="F55" s="447"/>
      <c r="G55" s="447"/>
      <c r="H55" s="447"/>
      <c r="I55" s="447"/>
      <c r="J55" s="447"/>
      <c r="K55" s="447"/>
      <c r="L55" s="447"/>
      <c r="M55" s="448"/>
      <c r="N55" s="288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292"/>
      <c r="D56" s="289"/>
      <c r="E56" s="292"/>
      <c r="F56" s="447"/>
      <c r="G56" s="447"/>
      <c r="H56" s="447"/>
      <c r="I56" s="447"/>
      <c r="J56" s="447"/>
      <c r="K56" s="447"/>
      <c r="L56" s="447"/>
      <c r="M56" s="448"/>
      <c r="N56" s="288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292"/>
      <c r="D57" s="289"/>
      <c r="E57" s="292"/>
      <c r="F57" s="447"/>
      <c r="G57" s="447"/>
      <c r="H57" s="447"/>
      <c r="I57" s="447"/>
      <c r="J57" s="447"/>
      <c r="K57" s="447"/>
      <c r="L57" s="447"/>
      <c r="M57" s="448"/>
      <c r="N57" s="288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292"/>
      <c r="D58" s="289"/>
      <c r="E58" s="292"/>
      <c r="F58" s="447"/>
      <c r="G58" s="447"/>
      <c r="H58" s="447"/>
      <c r="I58" s="447"/>
      <c r="J58" s="447"/>
      <c r="K58" s="447"/>
      <c r="L58" s="447"/>
      <c r="M58" s="448"/>
      <c r="N58" s="288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289"/>
      <c r="D59" s="289"/>
      <c r="E59" s="289"/>
      <c r="F59" s="447"/>
      <c r="G59" s="447"/>
      <c r="H59" s="447"/>
      <c r="I59" s="447"/>
      <c r="J59" s="447"/>
      <c r="K59" s="447"/>
      <c r="L59" s="447"/>
      <c r="M59" s="448"/>
      <c r="N59" s="288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291"/>
      <c r="D60" s="291"/>
      <c r="E60" s="291"/>
      <c r="F60" s="455"/>
      <c r="G60" s="455"/>
      <c r="H60" s="455"/>
      <c r="I60" s="455"/>
      <c r="J60" s="455"/>
      <c r="K60" s="455"/>
      <c r="L60" s="455"/>
      <c r="M60" s="456"/>
      <c r="N60" s="290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695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287" t="s">
        <v>2</v>
      </c>
      <c r="D62" s="287" t="s">
        <v>38</v>
      </c>
      <c r="E62" s="287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287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676</v>
      </c>
      <c r="D63" s="283"/>
      <c r="E63" s="285" t="s">
        <v>696</v>
      </c>
      <c r="F63" s="466" t="s">
        <v>697</v>
      </c>
      <c r="G63" s="467"/>
      <c r="H63" s="467"/>
      <c r="I63" s="467"/>
      <c r="J63" s="467"/>
      <c r="K63" s="467">
        <v>7301</v>
      </c>
      <c r="L63" s="467"/>
      <c r="M63" s="54" t="s">
        <v>698</v>
      </c>
      <c r="N63" s="467">
        <v>9</v>
      </c>
      <c r="O63" s="467"/>
      <c r="P63" s="468">
        <v>30</v>
      </c>
      <c r="Q63" s="468"/>
      <c r="R63" s="447" t="s">
        <v>699</v>
      </c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 t="s">
        <v>700</v>
      </c>
      <c r="D64" s="283"/>
      <c r="E64" s="285" t="s">
        <v>701</v>
      </c>
      <c r="F64" s="466" t="s">
        <v>702</v>
      </c>
      <c r="G64" s="467"/>
      <c r="H64" s="467"/>
      <c r="I64" s="467"/>
      <c r="J64" s="467"/>
      <c r="K64" s="467" t="s">
        <v>703</v>
      </c>
      <c r="L64" s="467"/>
      <c r="M64" s="54" t="s">
        <v>704</v>
      </c>
      <c r="N64" s="467">
        <v>8</v>
      </c>
      <c r="O64" s="467"/>
      <c r="P64" s="468">
        <v>50</v>
      </c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 t="s">
        <v>700</v>
      </c>
      <c r="D65" s="283"/>
      <c r="E65" s="285" t="s">
        <v>705</v>
      </c>
      <c r="F65" s="466" t="s">
        <v>706</v>
      </c>
      <c r="G65" s="467"/>
      <c r="H65" s="467"/>
      <c r="I65" s="467"/>
      <c r="J65" s="467"/>
      <c r="K65" s="467" t="s">
        <v>703</v>
      </c>
      <c r="L65" s="467"/>
      <c r="M65" s="54" t="s">
        <v>704</v>
      </c>
      <c r="N65" s="467">
        <v>8</v>
      </c>
      <c r="O65" s="467"/>
      <c r="P65" s="468" t="s">
        <v>707</v>
      </c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283"/>
      <c r="E66" s="285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283"/>
      <c r="E67" s="285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283"/>
      <c r="E68" s="285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283"/>
      <c r="E69" s="285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283"/>
      <c r="E70" s="285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708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286" t="s">
        <v>2</v>
      </c>
      <c r="D72" s="286" t="s">
        <v>38</v>
      </c>
      <c r="E72" s="286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284" t="s">
        <v>118</v>
      </c>
      <c r="D73" s="284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283" t="s">
        <v>118</v>
      </c>
      <c r="D74" s="283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283" t="s">
        <v>144</v>
      </c>
      <c r="D75" s="283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283" t="s">
        <v>119</v>
      </c>
      <c r="D76" s="283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283"/>
      <c r="D77" s="283"/>
      <c r="E77" s="35"/>
      <c r="F77" s="478"/>
      <c r="G77" s="478"/>
      <c r="H77" s="478"/>
      <c r="I77" s="478"/>
      <c r="J77" s="478"/>
      <c r="K77" s="479"/>
      <c r="L77" s="480"/>
      <c r="M77" s="480"/>
      <c r="N77" s="480"/>
      <c r="O77" s="480"/>
      <c r="P77" s="480"/>
      <c r="Q77" s="480"/>
      <c r="R77" s="480"/>
      <c r="S77" s="481"/>
      <c r="T77" s="482"/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283"/>
      <c r="D78" s="283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283"/>
      <c r="D79" s="283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283"/>
      <c r="D80" s="283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283"/>
      <c r="D81" s="283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709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J87"/>
  <sheetViews>
    <sheetView topLeftCell="A46" zoomScale="72" zoomScaleNormal="72" zoomScaleSheetLayoutView="70" workbookViewId="0">
      <selection activeCell="F64" sqref="F64:J6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04" t="s">
        <v>710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2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295" t="s">
        <v>17</v>
      </c>
      <c r="L5" s="295" t="s">
        <v>18</v>
      </c>
      <c r="M5" s="295" t="s">
        <v>19</v>
      </c>
      <c r="N5" s="29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2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0.55500358959791662</v>
      </c>
      <c r="AF6" s="94">
        <f t="shared" ref="AF6:AF21" si="8">A6</f>
        <v>1</v>
      </c>
    </row>
    <row r="7" spans="1:32" ht="27" customHeight="1">
      <c r="A7" s="108">
        <v>2</v>
      </c>
      <c r="B7" s="11" t="s">
        <v>164</v>
      </c>
      <c r="C7" s="37" t="s">
        <v>119</v>
      </c>
      <c r="D7" s="55" t="s">
        <v>151</v>
      </c>
      <c r="E7" s="57" t="s">
        <v>519</v>
      </c>
      <c r="F7" s="33" t="s">
        <v>133</v>
      </c>
      <c r="G7" s="12">
        <v>1</v>
      </c>
      <c r="H7" s="13">
        <v>25</v>
      </c>
      <c r="I7" s="34">
        <v>40000</v>
      </c>
      <c r="J7" s="5">
        <v>4670</v>
      </c>
      <c r="K7" s="15">
        <f>L7+2045+4660+4937+3956+4522</f>
        <v>24785</v>
      </c>
      <c r="L7" s="15">
        <f>2467+2198</f>
        <v>4665</v>
      </c>
      <c r="M7" s="16">
        <f t="shared" si="0"/>
        <v>4665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0.99892933618843682</v>
      </c>
      <c r="AC7" s="9">
        <f t="shared" si="5"/>
        <v>1</v>
      </c>
      <c r="AD7" s="10">
        <f t="shared" si="6"/>
        <v>0.99892933618843682</v>
      </c>
      <c r="AE7" s="39">
        <f t="shared" si="7"/>
        <v>0.55500358959791662</v>
      </c>
      <c r="AF7" s="94">
        <f t="shared" si="8"/>
        <v>2</v>
      </c>
    </row>
    <row r="8" spans="1:32" ht="27" customHeight="1">
      <c r="A8" s="109">
        <v>3</v>
      </c>
      <c r="B8" s="11" t="s">
        <v>164</v>
      </c>
      <c r="C8" s="11" t="s">
        <v>119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40000</v>
      </c>
      <c r="J8" s="14">
        <v>3000</v>
      </c>
      <c r="K8" s="15">
        <f>8000+L8+4566+5171+2860+4516+3286+4226+4487+3753</f>
        <v>43859</v>
      </c>
      <c r="L8" s="15">
        <f>1742+1252</f>
        <v>2994</v>
      </c>
      <c r="M8" s="16">
        <f t="shared" si="0"/>
        <v>2994</v>
      </c>
      <c r="N8" s="16">
        <v>0</v>
      </c>
      <c r="O8" s="62">
        <f t="shared" si="1"/>
        <v>0</v>
      </c>
      <c r="P8" s="42">
        <f t="shared" si="2"/>
        <v>16</v>
      </c>
      <c r="Q8" s="43">
        <f t="shared" si="3"/>
        <v>8</v>
      </c>
      <c r="R8" s="7"/>
      <c r="S8" s="6">
        <v>8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0.998</v>
      </c>
      <c r="AC8" s="9">
        <f t="shared" si="5"/>
        <v>0.66666666666666663</v>
      </c>
      <c r="AD8" s="10">
        <f t="shared" si="6"/>
        <v>0.66533333333333333</v>
      </c>
      <c r="AE8" s="39">
        <f t="shared" si="7"/>
        <v>0.55500358959791662</v>
      </c>
      <c r="AF8" s="94">
        <f>A8</f>
        <v>3</v>
      </c>
    </row>
    <row r="9" spans="1:32" ht="27" customHeight="1">
      <c r="A9" s="110">
        <v>4</v>
      </c>
      <c r="B9" s="11" t="s">
        <v>164</v>
      </c>
      <c r="C9" s="11" t="s">
        <v>119</v>
      </c>
      <c r="D9" s="55" t="s">
        <v>150</v>
      </c>
      <c r="E9" s="56" t="s">
        <v>521</v>
      </c>
      <c r="F9" s="12" t="s">
        <v>213</v>
      </c>
      <c r="G9" s="36">
        <v>1</v>
      </c>
      <c r="H9" s="38">
        <v>25</v>
      </c>
      <c r="I9" s="34">
        <v>40000</v>
      </c>
      <c r="J9" s="5">
        <v>5870</v>
      </c>
      <c r="K9" s="15">
        <f>L9+2467+4801+5657+3590+5665</f>
        <v>28045</v>
      </c>
      <c r="L9" s="15">
        <f>3210+2655</f>
        <v>5865</v>
      </c>
      <c r="M9" s="16">
        <f t="shared" si="0"/>
        <v>5865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0.99914821124361164</v>
      </c>
      <c r="AC9" s="9">
        <f t="shared" si="5"/>
        <v>1</v>
      </c>
      <c r="AD9" s="10">
        <f t="shared" si="6"/>
        <v>0.99914821124361164</v>
      </c>
      <c r="AE9" s="39">
        <f t="shared" si="7"/>
        <v>0.55500358959791662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711</v>
      </c>
      <c r="D10" s="55"/>
      <c r="E10" s="57" t="s">
        <v>712</v>
      </c>
      <c r="F10" s="12">
        <v>7301</v>
      </c>
      <c r="G10" s="12">
        <v>1</v>
      </c>
      <c r="H10" s="13">
        <v>25</v>
      </c>
      <c r="I10" s="34">
        <v>1000</v>
      </c>
      <c r="J10" s="14">
        <v>1110</v>
      </c>
      <c r="K10" s="15">
        <f>L10</f>
        <v>1101</v>
      </c>
      <c r="L10" s="15">
        <v>1101</v>
      </c>
      <c r="M10" s="16">
        <f t="shared" si="0"/>
        <v>1101</v>
      </c>
      <c r="N10" s="16">
        <v>0</v>
      </c>
      <c r="O10" s="62">
        <f t="shared" si="1"/>
        <v>0</v>
      </c>
      <c r="P10" s="42">
        <f t="shared" si="2"/>
        <v>7</v>
      </c>
      <c r="Q10" s="43">
        <f t="shared" si="3"/>
        <v>17</v>
      </c>
      <c r="R10" s="7"/>
      <c r="S10" s="6"/>
      <c r="T10" s="17"/>
      <c r="U10" s="17"/>
      <c r="V10" s="18"/>
      <c r="W10" s="19"/>
      <c r="X10" s="17"/>
      <c r="Y10" s="20"/>
      <c r="Z10" s="20"/>
      <c r="AA10" s="21">
        <v>17</v>
      </c>
      <c r="AB10" s="8">
        <f t="shared" si="4"/>
        <v>0.99189189189189186</v>
      </c>
      <c r="AC10" s="9">
        <f t="shared" si="5"/>
        <v>0.29166666666666669</v>
      </c>
      <c r="AD10" s="10">
        <f t="shared" si="6"/>
        <v>0.28930180180180182</v>
      </c>
      <c r="AE10" s="39">
        <f t="shared" si="7"/>
        <v>0.55500358959791662</v>
      </c>
      <c r="AF10" s="94">
        <f t="shared" si="8"/>
        <v>5</v>
      </c>
    </row>
    <row r="11" spans="1:32" ht="27" customHeight="1">
      <c r="A11" s="110">
        <v>5</v>
      </c>
      <c r="B11" s="11" t="s">
        <v>59</v>
      </c>
      <c r="C11" s="11" t="s">
        <v>711</v>
      </c>
      <c r="D11" s="55"/>
      <c r="E11" s="57" t="s">
        <v>712</v>
      </c>
      <c r="F11" s="12">
        <v>7301</v>
      </c>
      <c r="G11" s="12">
        <v>1</v>
      </c>
      <c r="H11" s="13">
        <v>25</v>
      </c>
      <c r="I11" s="34">
        <v>1000</v>
      </c>
      <c r="J11" s="14">
        <v>1220</v>
      </c>
      <c r="K11" s="15">
        <f>L11</f>
        <v>1220</v>
      </c>
      <c r="L11" s="15">
        <v>1220</v>
      </c>
      <c r="M11" s="16">
        <f t="shared" ref="M11" si="9">L11-N11</f>
        <v>1220</v>
      </c>
      <c r="N11" s="16">
        <v>0</v>
      </c>
      <c r="O11" s="62">
        <f t="shared" ref="O11" si="10">IF(L11=0,"0",N11/L11)</f>
        <v>0</v>
      </c>
      <c r="P11" s="42">
        <f t="shared" ref="P11" si="11">IF(L11=0,"0",(24-Q11))</f>
        <v>7</v>
      </c>
      <c r="Q11" s="43">
        <f t="shared" ref="Q11" si="12">SUM(R11:AA11)</f>
        <v>17</v>
      </c>
      <c r="R11" s="7"/>
      <c r="S11" s="6"/>
      <c r="T11" s="17"/>
      <c r="U11" s="17"/>
      <c r="V11" s="18"/>
      <c r="W11" s="19"/>
      <c r="X11" s="17"/>
      <c r="Y11" s="20"/>
      <c r="Z11" s="20"/>
      <c r="AA11" s="21">
        <v>17</v>
      </c>
      <c r="AB11" s="8">
        <f t="shared" ref="AB11" si="13">IF(J11=0,"0",(L11/J11))</f>
        <v>1</v>
      </c>
      <c r="AC11" s="9">
        <f t="shared" ref="AC11" si="14">IF(P11=0,"0",(P11/24))</f>
        <v>0.29166666666666669</v>
      </c>
      <c r="AD11" s="10">
        <f t="shared" ref="AD11" si="15">AC11*AB11*(1-O11)</f>
        <v>0.29166666666666669</v>
      </c>
      <c r="AE11" s="39">
        <f t="shared" si="7"/>
        <v>0.55500358959791662</v>
      </c>
      <c r="AF11" s="94">
        <f t="shared" ref="AF11" si="16">A11</f>
        <v>5</v>
      </c>
    </row>
    <row r="12" spans="1:32" ht="27" customHeight="1">
      <c r="A12" s="110">
        <v>6</v>
      </c>
      <c r="B12" s="11" t="s">
        <v>59</v>
      </c>
      <c r="C12" s="11" t="s">
        <v>666</v>
      </c>
      <c r="D12" s="55" t="s">
        <v>713</v>
      </c>
      <c r="E12" s="56" t="s">
        <v>731</v>
      </c>
      <c r="F12" s="12" t="s">
        <v>714</v>
      </c>
      <c r="G12" s="12" t="s">
        <v>715</v>
      </c>
      <c r="H12" s="13">
        <v>25</v>
      </c>
      <c r="I12" s="34">
        <v>3200</v>
      </c>
      <c r="J12" s="14">
        <v>668</v>
      </c>
      <c r="K12" s="15">
        <f>L12</f>
        <v>668</v>
      </c>
      <c r="L12" s="15">
        <f>668</f>
        <v>668</v>
      </c>
      <c r="M12" s="16">
        <f t="shared" si="0"/>
        <v>668</v>
      </c>
      <c r="N12" s="16">
        <v>0</v>
      </c>
      <c r="O12" s="62">
        <f t="shared" si="1"/>
        <v>0</v>
      </c>
      <c r="P12" s="42">
        <f t="shared" si="2"/>
        <v>6</v>
      </c>
      <c r="Q12" s="43">
        <f t="shared" si="3"/>
        <v>18</v>
      </c>
      <c r="R12" s="7"/>
      <c r="S12" s="6">
        <v>18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0.25</v>
      </c>
      <c r="AD12" s="10">
        <f t="shared" si="6"/>
        <v>0.25</v>
      </c>
      <c r="AE12" s="39">
        <f t="shared" si="7"/>
        <v>0.55500358959791662</v>
      </c>
      <c r="AF12" s="94">
        <f t="shared" si="8"/>
        <v>6</v>
      </c>
    </row>
    <row r="13" spans="1:32" ht="27" customHeight="1">
      <c r="A13" s="110">
        <v>7</v>
      </c>
      <c r="B13" s="11" t="s">
        <v>59</v>
      </c>
      <c r="C13" s="11" t="s">
        <v>228</v>
      </c>
      <c r="D13" s="55" t="s">
        <v>294</v>
      </c>
      <c r="E13" s="57" t="s">
        <v>295</v>
      </c>
      <c r="F13" s="12" t="s">
        <v>167</v>
      </c>
      <c r="G13" s="12">
        <v>1</v>
      </c>
      <c r="H13" s="13">
        <v>25</v>
      </c>
      <c r="I13" s="7">
        <v>35000</v>
      </c>
      <c r="J13" s="14">
        <v>1990</v>
      </c>
      <c r="K13" s="15">
        <f>L13+3048+3908+1500+3674+4638+4098+3327</f>
        <v>26183</v>
      </c>
      <c r="L13" s="15">
        <f>1990</f>
        <v>1990</v>
      </c>
      <c r="M13" s="16">
        <f t="shared" si="0"/>
        <v>1990</v>
      </c>
      <c r="N13" s="16">
        <v>0</v>
      </c>
      <c r="O13" s="62">
        <f t="shared" si="1"/>
        <v>0</v>
      </c>
      <c r="P13" s="42">
        <f t="shared" si="2"/>
        <v>6</v>
      </c>
      <c r="Q13" s="43">
        <f t="shared" si="3"/>
        <v>18</v>
      </c>
      <c r="R13" s="7"/>
      <c r="S13" s="6">
        <v>18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0.25</v>
      </c>
      <c r="AD13" s="10">
        <f t="shared" si="6"/>
        <v>0.25</v>
      </c>
      <c r="AE13" s="39">
        <f t="shared" si="7"/>
        <v>0.55500358959791662</v>
      </c>
      <c r="AF13" s="94">
        <f t="shared" si="8"/>
        <v>7</v>
      </c>
    </row>
    <row r="14" spans="1:32" ht="27" customHeight="1">
      <c r="A14" s="110">
        <v>8</v>
      </c>
      <c r="B14" s="11" t="s">
        <v>59</v>
      </c>
      <c r="C14" s="11" t="s">
        <v>228</v>
      </c>
      <c r="D14" s="55" t="s">
        <v>716</v>
      </c>
      <c r="E14" s="57" t="s">
        <v>717</v>
      </c>
      <c r="F14" s="12" t="s">
        <v>718</v>
      </c>
      <c r="G14" s="12">
        <v>1</v>
      </c>
      <c r="H14" s="13">
        <v>25</v>
      </c>
      <c r="I14" s="7">
        <v>6000</v>
      </c>
      <c r="J14" s="14">
        <v>8690</v>
      </c>
      <c r="K14" s="15">
        <f>L14</f>
        <v>8682</v>
      </c>
      <c r="L14" s="15">
        <f>2993*2+1348*2</f>
        <v>8682</v>
      </c>
      <c r="M14" s="16">
        <f t="shared" si="0"/>
        <v>8682</v>
      </c>
      <c r="N14" s="16">
        <v>0</v>
      </c>
      <c r="O14" s="62">
        <f t="shared" si="1"/>
        <v>0</v>
      </c>
      <c r="P14" s="42">
        <f t="shared" si="2"/>
        <v>20</v>
      </c>
      <c r="Q14" s="43">
        <f t="shared" si="3"/>
        <v>4</v>
      </c>
      <c r="R14" s="7"/>
      <c r="S14" s="6"/>
      <c r="T14" s="17"/>
      <c r="U14" s="17"/>
      <c r="V14" s="18"/>
      <c r="W14" s="19"/>
      <c r="X14" s="17"/>
      <c r="Y14" s="20"/>
      <c r="Z14" s="20"/>
      <c r="AA14" s="21">
        <v>4</v>
      </c>
      <c r="AB14" s="8">
        <f t="shared" si="4"/>
        <v>0.99907940161104714</v>
      </c>
      <c r="AC14" s="9">
        <f t="shared" si="5"/>
        <v>0.83333333333333337</v>
      </c>
      <c r="AD14" s="10">
        <f t="shared" si="6"/>
        <v>0.83256616800920602</v>
      </c>
      <c r="AE14" s="39">
        <f t="shared" si="7"/>
        <v>0.55500358959791662</v>
      </c>
      <c r="AF14" s="94">
        <f t="shared" si="8"/>
        <v>8</v>
      </c>
    </row>
    <row r="15" spans="1:32" ht="27" customHeight="1">
      <c r="A15" s="109">
        <v>9</v>
      </c>
      <c r="B15" s="11" t="s">
        <v>59</v>
      </c>
      <c r="C15" s="37" t="s">
        <v>118</v>
      </c>
      <c r="D15" s="55" t="s">
        <v>58</v>
      </c>
      <c r="E15" s="57" t="s">
        <v>632</v>
      </c>
      <c r="F15" s="33" t="s">
        <v>633</v>
      </c>
      <c r="G15" s="36">
        <v>1</v>
      </c>
      <c r="H15" s="38">
        <v>40</v>
      </c>
      <c r="I15" s="7">
        <v>500</v>
      </c>
      <c r="J15" s="5">
        <v>300</v>
      </c>
      <c r="K15" s="15">
        <f>L15</f>
        <v>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>
        <v>24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0.55500358959791662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11" t="s">
        <v>141</v>
      </c>
      <c r="D16" s="55" t="s">
        <v>137</v>
      </c>
      <c r="E16" s="57" t="s">
        <v>334</v>
      </c>
      <c r="F16" s="12" t="s">
        <v>143</v>
      </c>
      <c r="G16" s="12">
        <v>1</v>
      </c>
      <c r="H16" s="13">
        <v>25</v>
      </c>
      <c r="I16" s="34">
        <v>650</v>
      </c>
      <c r="J16" s="14">
        <v>910</v>
      </c>
      <c r="K16" s="15">
        <f>L16+903</f>
        <v>903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0.55500358959791662</v>
      </c>
      <c r="AF16" s="94">
        <f t="shared" si="8"/>
        <v>10</v>
      </c>
    </row>
    <row r="17" spans="1:36" ht="27.75" customHeight="1">
      <c r="A17" s="109">
        <v>11</v>
      </c>
      <c r="B17" s="11" t="s">
        <v>59</v>
      </c>
      <c r="C17" s="11" t="s">
        <v>119</v>
      </c>
      <c r="D17" s="55" t="s">
        <v>126</v>
      </c>
      <c r="E17" s="56" t="s">
        <v>198</v>
      </c>
      <c r="F17" s="12">
        <v>7301</v>
      </c>
      <c r="G17" s="36">
        <v>1</v>
      </c>
      <c r="H17" s="38">
        <v>25</v>
      </c>
      <c r="I17" s="7">
        <v>40000</v>
      </c>
      <c r="J17" s="14">
        <v>5750</v>
      </c>
      <c r="K17" s="15">
        <f>L17+3005+5564+4844+1728+5785</f>
        <v>26674</v>
      </c>
      <c r="L17" s="15">
        <f>3043+2705</f>
        <v>5748</v>
      </c>
      <c r="M17" s="16">
        <f t="shared" si="0"/>
        <v>5748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0.99965217391304351</v>
      </c>
      <c r="AC17" s="9">
        <f t="shared" si="5"/>
        <v>1</v>
      </c>
      <c r="AD17" s="10">
        <f t="shared" si="6"/>
        <v>0.99965217391304351</v>
      </c>
      <c r="AE17" s="39">
        <f t="shared" si="7"/>
        <v>0.55500358959791662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59</v>
      </c>
      <c r="C18" s="37" t="s">
        <v>410</v>
      </c>
      <c r="D18" s="55" t="s">
        <v>411</v>
      </c>
      <c r="E18" s="56" t="s">
        <v>412</v>
      </c>
      <c r="F18" s="12">
        <v>8301</v>
      </c>
      <c r="G18" s="12">
        <v>1</v>
      </c>
      <c r="H18" s="13">
        <v>25</v>
      </c>
      <c r="I18" s="34">
        <v>500</v>
      </c>
      <c r="J18" s="5">
        <v>632</v>
      </c>
      <c r="K18" s="15">
        <f>L18+632</f>
        <v>632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0.55500358959791662</v>
      </c>
      <c r="AF18" s="94">
        <f t="shared" si="8"/>
        <v>12</v>
      </c>
    </row>
    <row r="19" spans="1:36" ht="27" customHeight="1">
      <c r="A19" s="110">
        <v>13</v>
      </c>
      <c r="B19" s="11" t="s">
        <v>59</v>
      </c>
      <c r="C19" s="37" t="s">
        <v>550</v>
      </c>
      <c r="D19" s="55" t="s">
        <v>570</v>
      </c>
      <c r="E19" s="57" t="s">
        <v>217</v>
      </c>
      <c r="F19" s="33" t="s">
        <v>218</v>
      </c>
      <c r="G19" s="12">
        <v>1</v>
      </c>
      <c r="H19" s="13">
        <v>25</v>
      </c>
      <c r="I19" s="34">
        <v>35000</v>
      </c>
      <c r="J19" s="5">
        <v>5640</v>
      </c>
      <c r="K19" s="15">
        <f>L19+2973+3499+4604+5292</f>
        <v>22004</v>
      </c>
      <c r="L19" s="15">
        <f>3157+2479</f>
        <v>5636</v>
      </c>
      <c r="M19" s="16">
        <f t="shared" si="0"/>
        <v>5636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0.99929078014184403</v>
      </c>
      <c r="AC19" s="9">
        <f t="shared" si="5"/>
        <v>1</v>
      </c>
      <c r="AD19" s="10">
        <f t="shared" si="6"/>
        <v>0.99929078014184403</v>
      </c>
      <c r="AE19" s="39">
        <f t="shared" si="7"/>
        <v>0.55500358959791662</v>
      </c>
      <c r="AF19" s="94">
        <f t="shared" si="8"/>
        <v>13</v>
      </c>
    </row>
    <row r="20" spans="1:36" ht="27" customHeight="1">
      <c r="A20" s="110">
        <v>14</v>
      </c>
      <c r="B20" s="11" t="s">
        <v>59</v>
      </c>
      <c r="C20" s="37" t="s">
        <v>119</v>
      </c>
      <c r="D20" s="55" t="s">
        <v>58</v>
      </c>
      <c r="E20" s="57" t="s">
        <v>134</v>
      </c>
      <c r="F20" s="33" t="s">
        <v>136</v>
      </c>
      <c r="G20" s="36">
        <v>1</v>
      </c>
      <c r="H20" s="38">
        <v>25</v>
      </c>
      <c r="I20" s="7">
        <v>40000</v>
      </c>
      <c r="J20" s="5">
        <v>3220</v>
      </c>
      <c r="K20" s="15">
        <f>L20+4891+5116+437+4687+2909+3071+5068+4913+4197+4697+5124</f>
        <v>48327</v>
      </c>
      <c r="L20" s="15">
        <f>2701+516</f>
        <v>3217</v>
      </c>
      <c r="M20" s="16">
        <f t="shared" si="0"/>
        <v>3217</v>
      </c>
      <c r="N20" s="16">
        <v>0</v>
      </c>
      <c r="O20" s="62">
        <f t="shared" si="1"/>
        <v>0</v>
      </c>
      <c r="P20" s="42">
        <f t="shared" si="2"/>
        <v>18</v>
      </c>
      <c r="Q20" s="43">
        <f t="shared" si="3"/>
        <v>6</v>
      </c>
      <c r="R20" s="7"/>
      <c r="S20" s="6">
        <v>6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0.9990683229813665</v>
      </c>
      <c r="AC20" s="9">
        <f t="shared" si="5"/>
        <v>0.75</v>
      </c>
      <c r="AD20" s="10">
        <f t="shared" si="6"/>
        <v>0.7493012422360249</v>
      </c>
      <c r="AE20" s="39">
        <f t="shared" si="7"/>
        <v>0.55500358959791662</v>
      </c>
      <c r="AF20" s="94">
        <f t="shared" si="8"/>
        <v>14</v>
      </c>
    </row>
    <row r="21" spans="1:36" ht="27" customHeight="1" thickBot="1">
      <c r="A21" s="110">
        <v>15</v>
      </c>
      <c r="B21" s="11" t="s">
        <v>59</v>
      </c>
      <c r="C21" s="11" t="s">
        <v>116</v>
      </c>
      <c r="D21" s="55"/>
      <c r="E21" s="56" t="s">
        <v>599</v>
      </c>
      <c r="F21" s="12" t="s">
        <v>117</v>
      </c>
      <c r="G21" s="12">
        <v>4</v>
      </c>
      <c r="H21" s="38">
        <v>20</v>
      </c>
      <c r="I21" s="7">
        <v>200000</v>
      </c>
      <c r="J21" s="14">
        <v>58880</v>
      </c>
      <c r="K21" s="15">
        <f>L21+50220+52380+58428</f>
        <v>219900</v>
      </c>
      <c r="L21" s="15">
        <f>8253*4+6465*4</f>
        <v>58872</v>
      </c>
      <c r="M21" s="16">
        <f t="shared" si="0"/>
        <v>58872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0.99986413043478262</v>
      </c>
      <c r="AC21" s="9">
        <f t="shared" si="5"/>
        <v>1</v>
      </c>
      <c r="AD21" s="10">
        <f t="shared" si="6"/>
        <v>0.99986413043478262</v>
      </c>
      <c r="AE21" s="39">
        <f t="shared" si="7"/>
        <v>0.55500358959791662</v>
      </c>
      <c r="AF21" s="94">
        <f t="shared" si="8"/>
        <v>15</v>
      </c>
    </row>
    <row r="22" spans="1:36" ht="31.5" customHeight="1" thickBot="1">
      <c r="A22" s="418" t="s">
        <v>34</v>
      </c>
      <c r="B22" s="419"/>
      <c r="C22" s="419"/>
      <c r="D22" s="419"/>
      <c r="E22" s="419"/>
      <c r="F22" s="419"/>
      <c r="G22" s="419"/>
      <c r="H22" s="420"/>
      <c r="I22" s="25">
        <f t="shared" ref="I22:N22" si="17">SUM(I6:I21)</f>
        <v>483850</v>
      </c>
      <c r="J22" s="22">
        <f t="shared" si="17"/>
        <v>104520</v>
      </c>
      <c r="K22" s="23">
        <f t="shared" si="17"/>
        <v>454945</v>
      </c>
      <c r="L22" s="24">
        <f t="shared" si="17"/>
        <v>100658</v>
      </c>
      <c r="M22" s="23">
        <f t="shared" si="17"/>
        <v>100658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200</v>
      </c>
      <c r="Q22" s="46">
        <f t="shared" si="18"/>
        <v>184</v>
      </c>
      <c r="R22" s="26">
        <f t="shared" si="18"/>
        <v>24</v>
      </c>
      <c r="S22" s="27">
        <f t="shared" si="18"/>
        <v>74</v>
      </c>
      <c r="T22" s="27">
        <f t="shared" si="18"/>
        <v>0</v>
      </c>
      <c r="U22" s="27">
        <f t="shared" si="18"/>
        <v>0</v>
      </c>
      <c r="V22" s="28">
        <f t="shared" si="18"/>
        <v>0</v>
      </c>
      <c r="W22" s="29">
        <f t="shared" si="18"/>
        <v>48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38</v>
      </c>
      <c r="AB22" s="31">
        <f>SUM(AB6:AB21)/15</f>
        <v>0.79899494989373498</v>
      </c>
      <c r="AC22" s="4">
        <f>SUM(AC6:AC21)/15</f>
        <v>0.55555555555555547</v>
      </c>
      <c r="AD22" s="4">
        <f>SUM(AD6:AD21)/15</f>
        <v>0.55500358959791662</v>
      </c>
      <c r="AE22" s="32"/>
    </row>
    <row r="24" spans="1:36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21" t="s">
        <v>46</v>
      </c>
      <c r="B49" s="421"/>
      <c r="C49" s="421"/>
      <c r="D49" s="421"/>
      <c r="E49" s="42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22" t="s">
        <v>719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4"/>
      <c r="N50" s="425" t="s">
        <v>733</v>
      </c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26"/>
      <c r="AD50" s="427"/>
    </row>
    <row r="51" spans="1:32" ht="27" customHeight="1">
      <c r="A51" s="428" t="s">
        <v>2</v>
      </c>
      <c r="B51" s="429"/>
      <c r="C51" s="296" t="s">
        <v>47</v>
      </c>
      <c r="D51" s="296" t="s">
        <v>48</v>
      </c>
      <c r="E51" s="296" t="s">
        <v>110</v>
      </c>
      <c r="F51" s="429" t="s">
        <v>109</v>
      </c>
      <c r="G51" s="429"/>
      <c r="H51" s="429"/>
      <c r="I51" s="429"/>
      <c r="J51" s="429"/>
      <c r="K51" s="429"/>
      <c r="L51" s="429"/>
      <c r="M51" s="430"/>
      <c r="N51" s="73" t="s">
        <v>114</v>
      </c>
      <c r="O51" s="296" t="s">
        <v>47</v>
      </c>
      <c r="P51" s="431" t="s">
        <v>48</v>
      </c>
      <c r="Q51" s="432"/>
      <c r="R51" s="431" t="s">
        <v>39</v>
      </c>
      <c r="S51" s="433"/>
      <c r="T51" s="433"/>
      <c r="U51" s="432"/>
      <c r="V51" s="431" t="s">
        <v>49</v>
      </c>
      <c r="W51" s="433"/>
      <c r="X51" s="433"/>
      <c r="Y51" s="433"/>
      <c r="Z51" s="433"/>
      <c r="AA51" s="433"/>
      <c r="AB51" s="433"/>
      <c r="AC51" s="433"/>
      <c r="AD51" s="434"/>
    </row>
    <row r="52" spans="1:32" ht="27" customHeight="1">
      <c r="A52" s="445" t="s">
        <v>119</v>
      </c>
      <c r="B52" s="446"/>
      <c r="C52" s="297" t="s">
        <v>671</v>
      </c>
      <c r="D52" s="298" t="s">
        <v>672</v>
      </c>
      <c r="E52" s="297" t="s">
        <v>673</v>
      </c>
      <c r="F52" s="447" t="s">
        <v>674</v>
      </c>
      <c r="G52" s="447"/>
      <c r="H52" s="447"/>
      <c r="I52" s="447"/>
      <c r="J52" s="447"/>
      <c r="K52" s="447"/>
      <c r="L52" s="447"/>
      <c r="M52" s="448"/>
      <c r="N52" s="299" t="s">
        <v>119</v>
      </c>
      <c r="O52" s="74" t="s">
        <v>206</v>
      </c>
      <c r="P52" s="449" t="s">
        <v>649</v>
      </c>
      <c r="Q52" s="450"/>
      <c r="R52" s="451" t="s">
        <v>650</v>
      </c>
      <c r="S52" s="451"/>
      <c r="T52" s="451"/>
      <c r="U52" s="451"/>
      <c r="V52" s="447" t="s">
        <v>682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420</v>
      </c>
      <c r="B53" s="446"/>
      <c r="C53" s="297" t="s">
        <v>421</v>
      </c>
      <c r="D53" s="298" t="s">
        <v>426</v>
      </c>
      <c r="E53" s="297" t="s">
        <v>427</v>
      </c>
      <c r="F53" s="447" t="s">
        <v>720</v>
      </c>
      <c r="G53" s="447"/>
      <c r="H53" s="447"/>
      <c r="I53" s="447"/>
      <c r="J53" s="447"/>
      <c r="K53" s="447"/>
      <c r="L53" s="447"/>
      <c r="M53" s="448"/>
      <c r="N53" s="299" t="s">
        <v>734</v>
      </c>
      <c r="O53" s="74" t="s">
        <v>735</v>
      </c>
      <c r="P53" s="449" t="s">
        <v>736</v>
      </c>
      <c r="Q53" s="450"/>
      <c r="R53" s="451" t="s">
        <v>737</v>
      </c>
      <c r="S53" s="451"/>
      <c r="T53" s="451"/>
      <c r="U53" s="451"/>
      <c r="V53" s="447" t="s">
        <v>738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721</v>
      </c>
      <c r="B54" s="446"/>
      <c r="C54" s="297" t="s">
        <v>722</v>
      </c>
      <c r="D54" s="298" t="s">
        <v>716</v>
      </c>
      <c r="E54" s="297" t="s">
        <v>717</v>
      </c>
      <c r="F54" s="447" t="s">
        <v>723</v>
      </c>
      <c r="G54" s="447"/>
      <c r="H54" s="447"/>
      <c r="I54" s="447"/>
      <c r="J54" s="447"/>
      <c r="K54" s="447"/>
      <c r="L54" s="447"/>
      <c r="M54" s="448"/>
      <c r="N54" s="299" t="s">
        <v>728</v>
      </c>
      <c r="O54" s="74" t="s">
        <v>729</v>
      </c>
      <c r="P54" s="449" t="s">
        <v>713</v>
      </c>
      <c r="Q54" s="450"/>
      <c r="R54" s="451" t="s">
        <v>731</v>
      </c>
      <c r="S54" s="451"/>
      <c r="T54" s="451"/>
      <c r="U54" s="451"/>
      <c r="V54" s="447" t="s">
        <v>739</v>
      </c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 t="s">
        <v>724</v>
      </c>
      <c r="B55" s="446"/>
      <c r="C55" s="297" t="s">
        <v>725</v>
      </c>
      <c r="D55" s="298"/>
      <c r="E55" s="297" t="s">
        <v>726</v>
      </c>
      <c r="F55" s="447" t="s">
        <v>686</v>
      </c>
      <c r="G55" s="447"/>
      <c r="H55" s="447"/>
      <c r="I55" s="447"/>
      <c r="J55" s="447"/>
      <c r="K55" s="447"/>
      <c r="L55" s="447"/>
      <c r="M55" s="448"/>
      <c r="N55" s="299" t="s">
        <v>740</v>
      </c>
      <c r="O55" s="74" t="s">
        <v>741</v>
      </c>
      <c r="P55" s="449" t="s">
        <v>742</v>
      </c>
      <c r="Q55" s="450"/>
      <c r="R55" s="451" t="s">
        <v>743</v>
      </c>
      <c r="S55" s="451"/>
      <c r="T55" s="451"/>
      <c r="U55" s="451"/>
      <c r="V55" s="447" t="s">
        <v>739</v>
      </c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 t="s">
        <v>724</v>
      </c>
      <c r="B56" s="446"/>
      <c r="C56" s="297" t="s">
        <v>725</v>
      </c>
      <c r="D56" s="298"/>
      <c r="E56" s="297" t="s">
        <v>727</v>
      </c>
      <c r="F56" s="447" t="s">
        <v>686</v>
      </c>
      <c r="G56" s="447"/>
      <c r="H56" s="447"/>
      <c r="I56" s="447"/>
      <c r="J56" s="447"/>
      <c r="K56" s="447"/>
      <c r="L56" s="447"/>
      <c r="M56" s="448"/>
      <c r="N56" s="299" t="s">
        <v>721</v>
      </c>
      <c r="O56" s="74" t="s">
        <v>744</v>
      </c>
      <c r="P56" s="449" t="s">
        <v>745</v>
      </c>
      <c r="Q56" s="450"/>
      <c r="R56" s="451" t="s">
        <v>746</v>
      </c>
      <c r="S56" s="451"/>
      <c r="T56" s="451"/>
      <c r="U56" s="451"/>
      <c r="V56" s="447" t="s">
        <v>747</v>
      </c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 t="s">
        <v>728</v>
      </c>
      <c r="B57" s="446"/>
      <c r="C57" s="297" t="s">
        <v>729</v>
      </c>
      <c r="D57" s="298" t="s">
        <v>730</v>
      </c>
      <c r="E57" s="297" t="s">
        <v>731</v>
      </c>
      <c r="F57" s="447" t="s">
        <v>732</v>
      </c>
      <c r="G57" s="447"/>
      <c r="H57" s="447"/>
      <c r="I57" s="447"/>
      <c r="J57" s="447"/>
      <c r="K57" s="447"/>
      <c r="L57" s="447"/>
      <c r="M57" s="448"/>
      <c r="N57" s="299"/>
      <c r="O57" s="74"/>
      <c r="P57" s="451"/>
      <c r="Q57" s="451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297"/>
      <c r="D58" s="298"/>
      <c r="E58" s="297"/>
      <c r="F58" s="447"/>
      <c r="G58" s="447"/>
      <c r="H58" s="447"/>
      <c r="I58" s="447"/>
      <c r="J58" s="447"/>
      <c r="K58" s="447"/>
      <c r="L58" s="447"/>
      <c r="M58" s="448"/>
      <c r="N58" s="299"/>
      <c r="O58" s="74"/>
      <c r="P58" s="449"/>
      <c r="Q58" s="450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45"/>
      <c r="B59" s="446"/>
      <c r="C59" s="297"/>
      <c r="D59" s="298"/>
      <c r="E59" s="297"/>
      <c r="F59" s="447"/>
      <c r="G59" s="447"/>
      <c r="H59" s="447"/>
      <c r="I59" s="447"/>
      <c r="J59" s="447"/>
      <c r="K59" s="447"/>
      <c r="L59" s="447"/>
      <c r="M59" s="448"/>
      <c r="N59" s="299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</row>
    <row r="60" spans="1:32" ht="27" customHeight="1">
      <c r="A60" s="452"/>
      <c r="B60" s="451"/>
      <c r="C60" s="298"/>
      <c r="D60" s="298"/>
      <c r="E60" s="298"/>
      <c r="F60" s="447"/>
      <c r="G60" s="447"/>
      <c r="H60" s="447"/>
      <c r="I60" s="447"/>
      <c r="J60" s="447"/>
      <c r="K60" s="447"/>
      <c r="L60" s="447"/>
      <c r="M60" s="448"/>
      <c r="N60" s="299"/>
      <c r="O60" s="74"/>
      <c r="P60" s="451"/>
      <c r="Q60" s="451"/>
      <c r="R60" s="451"/>
      <c r="S60" s="451"/>
      <c r="T60" s="451"/>
      <c r="U60" s="451"/>
      <c r="V60" s="447"/>
      <c r="W60" s="447"/>
      <c r="X60" s="447"/>
      <c r="Y60" s="447"/>
      <c r="Z60" s="447"/>
      <c r="AA60" s="447"/>
      <c r="AB60" s="447"/>
      <c r="AC60" s="447"/>
      <c r="AD60" s="448"/>
      <c r="AF60" s="94">
        <f>8*3000</f>
        <v>24000</v>
      </c>
    </row>
    <row r="61" spans="1:32" ht="27" customHeight="1" thickBot="1">
      <c r="A61" s="453"/>
      <c r="B61" s="454"/>
      <c r="C61" s="301"/>
      <c r="D61" s="301"/>
      <c r="E61" s="301"/>
      <c r="F61" s="455"/>
      <c r="G61" s="455"/>
      <c r="H61" s="455"/>
      <c r="I61" s="455"/>
      <c r="J61" s="455"/>
      <c r="K61" s="455"/>
      <c r="L61" s="455"/>
      <c r="M61" s="456"/>
      <c r="N61" s="300"/>
      <c r="O61" s="121"/>
      <c r="P61" s="454"/>
      <c r="Q61" s="454"/>
      <c r="R61" s="454"/>
      <c r="S61" s="454"/>
      <c r="T61" s="454"/>
      <c r="U61" s="454"/>
      <c r="V61" s="455"/>
      <c r="W61" s="455"/>
      <c r="X61" s="455"/>
      <c r="Y61" s="455"/>
      <c r="Z61" s="455"/>
      <c r="AA61" s="455"/>
      <c r="AB61" s="455"/>
      <c r="AC61" s="455"/>
      <c r="AD61" s="456"/>
      <c r="AF61" s="94">
        <f>16*3000</f>
        <v>48000</v>
      </c>
    </row>
    <row r="62" spans="1:32" ht="27.75" thickBot="1">
      <c r="A62" s="457" t="s">
        <v>748</v>
      </c>
      <c r="B62" s="457"/>
      <c r="C62" s="457"/>
      <c r="D62" s="457"/>
      <c r="E62" s="45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58" t="s">
        <v>115</v>
      </c>
      <c r="B63" s="459"/>
      <c r="C63" s="302" t="s">
        <v>2</v>
      </c>
      <c r="D63" s="302" t="s">
        <v>38</v>
      </c>
      <c r="E63" s="302" t="s">
        <v>3</v>
      </c>
      <c r="F63" s="459" t="s">
        <v>112</v>
      </c>
      <c r="G63" s="459"/>
      <c r="H63" s="459"/>
      <c r="I63" s="459"/>
      <c r="J63" s="459"/>
      <c r="K63" s="459" t="s">
        <v>40</v>
      </c>
      <c r="L63" s="459"/>
      <c r="M63" s="302" t="s">
        <v>41</v>
      </c>
      <c r="N63" s="459" t="s">
        <v>42</v>
      </c>
      <c r="O63" s="459"/>
      <c r="P63" s="460" t="s">
        <v>43</v>
      </c>
      <c r="Q63" s="461"/>
      <c r="R63" s="460" t="s">
        <v>44</v>
      </c>
      <c r="S63" s="462"/>
      <c r="T63" s="462"/>
      <c r="U63" s="462"/>
      <c r="V63" s="462"/>
      <c r="W63" s="462"/>
      <c r="X63" s="462"/>
      <c r="Y63" s="462"/>
      <c r="Z63" s="462"/>
      <c r="AA63" s="461"/>
      <c r="AB63" s="459" t="s">
        <v>45</v>
      </c>
      <c r="AC63" s="459"/>
      <c r="AD63" s="463"/>
      <c r="AF63" s="94">
        <f>SUM(AF60:AF62)</f>
        <v>96000</v>
      </c>
    </row>
    <row r="64" spans="1:32" ht="25.5" customHeight="1">
      <c r="A64" s="464">
        <v>1</v>
      </c>
      <c r="B64" s="465"/>
      <c r="C64" s="124" t="s">
        <v>666</v>
      </c>
      <c r="D64" s="305"/>
      <c r="E64" s="303" t="s">
        <v>749</v>
      </c>
      <c r="F64" s="466" t="s">
        <v>750</v>
      </c>
      <c r="G64" s="467"/>
      <c r="H64" s="467"/>
      <c r="I64" s="467"/>
      <c r="J64" s="467"/>
      <c r="K64" s="467" t="s">
        <v>703</v>
      </c>
      <c r="L64" s="467"/>
      <c r="M64" s="54" t="s">
        <v>704</v>
      </c>
      <c r="N64" s="467">
        <v>8</v>
      </c>
      <c r="O64" s="467"/>
      <c r="P64" s="468" t="s">
        <v>707</v>
      </c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2</v>
      </c>
      <c r="B65" s="465"/>
      <c r="C65" s="124"/>
      <c r="D65" s="305"/>
      <c r="E65" s="303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3</v>
      </c>
      <c r="B66" s="465"/>
      <c r="C66" s="124"/>
      <c r="D66" s="305"/>
      <c r="E66" s="303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4</v>
      </c>
      <c r="B67" s="465"/>
      <c r="C67" s="124"/>
      <c r="D67" s="305"/>
      <c r="E67" s="303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5</v>
      </c>
      <c r="B68" s="465"/>
      <c r="C68" s="124"/>
      <c r="D68" s="305"/>
      <c r="E68" s="303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6</v>
      </c>
      <c r="B69" s="465"/>
      <c r="C69" s="124"/>
      <c r="D69" s="305"/>
      <c r="E69" s="303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7</v>
      </c>
      <c r="B70" s="465"/>
      <c r="C70" s="124"/>
      <c r="D70" s="305"/>
      <c r="E70" s="303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5.5" customHeight="1">
      <c r="A71" s="464">
        <v>8</v>
      </c>
      <c r="B71" s="465"/>
      <c r="C71" s="124"/>
      <c r="D71" s="305"/>
      <c r="E71" s="303"/>
      <c r="F71" s="466"/>
      <c r="G71" s="467"/>
      <c r="H71" s="467"/>
      <c r="I71" s="467"/>
      <c r="J71" s="467"/>
      <c r="K71" s="467"/>
      <c r="L71" s="467"/>
      <c r="M71" s="54"/>
      <c r="N71" s="467"/>
      <c r="O71" s="467"/>
      <c r="P71" s="468"/>
      <c r="Q71" s="468"/>
      <c r="R71" s="447"/>
      <c r="S71" s="447"/>
      <c r="T71" s="447"/>
      <c r="U71" s="447"/>
      <c r="V71" s="447"/>
      <c r="W71" s="447"/>
      <c r="X71" s="447"/>
      <c r="Y71" s="447"/>
      <c r="Z71" s="447"/>
      <c r="AA71" s="447"/>
      <c r="AB71" s="467"/>
      <c r="AC71" s="467"/>
      <c r="AD71" s="469"/>
      <c r="AF71" s="53"/>
    </row>
    <row r="72" spans="1:32" ht="26.25" customHeight="1" thickBot="1">
      <c r="A72" s="470" t="s">
        <v>751</v>
      </c>
      <c r="B72" s="470"/>
      <c r="C72" s="470"/>
      <c r="D72" s="470"/>
      <c r="E72" s="470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71" t="s">
        <v>115</v>
      </c>
      <c r="B73" s="472"/>
      <c r="C73" s="304" t="s">
        <v>2</v>
      </c>
      <c r="D73" s="304" t="s">
        <v>38</v>
      </c>
      <c r="E73" s="304" t="s">
        <v>3</v>
      </c>
      <c r="F73" s="472" t="s">
        <v>39</v>
      </c>
      <c r="G73" s="472"/>
      <c r="H73" s="472"/>
      <c r="I73" s="472"/>
      <c r="J73" s="472"/>
      <c r="K73" s="473" t="s">
        <v>60</v>
      </c>
      <c r="L73" s="474"/>
      <c r="M73" s="474"/>
      <c r="N73" s="474"/>
      <c r="O73" s="474"/>
      <c r="P73" s="474"/>
      <c r="Q73" s="474"/>
      <c r="R73" s="474"/>
      <c r="S73" s="475"/>
      <c r="T73" s="472" t="s">
        <v>50</v>
      </c>
      <c r="U73" s="472"/>
      <c r="V73" s="473" t="s">
        <v>51</v>
      </c>
      <c r="W73" s="475"/>
      <c r="X73" s="474" t="s">
        <v>52</v>
      </c>
      <c r="Y73" s="474"/>
      <c r="Z73" s="474"/>
      <c r="AA73" s="474"/>
      <c r="AB73" s="474"/>
      <c r="AC73" s="474"/>
      <c r="AD73" s="476"/>
      <c r="AF73" s="53"/>
    </row>
    <row r="74" spans="1:32" ht="33.75" customHeight="1">
      <c r="A74" s="485">
        <v>1</v>
      </c>
      <c r="B74" s="486"/>
      <c r="C74" s="306" t="s">
        <v>118</v>
      </c>
      <c r="D74" s="306"/>
      <c r="E74" s="71" t="s">
        <v>124</v>
      </c>
      <c r="F74" s="487" t="s">
        <v>125</v>
      </c>
      <c r="G74" s="488"/>
      <c r="H74" s="488"/>
      <c r="I74" s="488"/>
      <c r="J74" s="489"/>
      <c r="K74" s="490" t="s">
        <v>120</v>
      </c>
      <c r="L74" s="491"/>
      <c r="M74" s="491"/>
      <c r="N74" s="491"/>
      <c r="O74" s="491"/>
      <c r="P74" s="491"/>
      <c r="Q74" s="491"/>
      <c r="R74" s="491"/>
      <c r="S74" s="492"/>
      <c r="T74" s="493">
        <v>42901</v>
      </c>
      <c r="U74" s="494"/>
      <c r="V74" s="495"/>
      <c r="W74" s="495"/>
      <c r="X74" s="496"/>
      <c r="Y74" s="496"/>
      <c r="Z74" s="496"/>
      <c r="AA74" s="496"/>
      <c r="AB74" s="496"/>
      <c r="AC74" s="496"/>
      <c r="AD74" s="497"/>
      <c r="AF74" s="53"/>
    </row>
    <row r="75" spans="1:32" ht="30" customHeight="1">
      <c r="A75" s="477">
        <f>A74+1</f>
        <v>2</v>
      </c>
      <c r="B75" s="478"/>
      <c r="C75" s="305" t="s">
        <v>118</v>
      </c>
      <c r="D75" s="305"/>
      <c r="E75" s="35" t="s">
        <v>121</v>
      </c>
      <c r="F75" s="478" t="s">
        <v>122</v>
      </c>
      <c r="G75" s="478"/>
      <c r="H75" s="478"/>
      <c r="I75" s="478"/>
      <c r="J75" s="478"/>
      <c r="K75" s="479" t="s">
        <v>123</v>
      </c>
      <c r="L75" s="480"/>
      <c r="M75" s="480"/>
      <c r="N75" s="480"/>
      <c r="O75" s="480"/>
      <c r="P75" s="480"/>
      <c r="Q75" s="480"/>
      <c r="R75" s="480"/>
      <c r="S75" s="481"/>
      <c r="T75" s="482">
        <v>42867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ref="A76:A82" si="19">A75+1</f>
        <v>3</v>
      </c>
      <c r="B76" s="478"/>
      <c r="C76" s="305" t="s">
        <v>144</v>
      </c>
      <c r="D76" s="305"/>
      <c r="E76" s="35" t="s">
        <v>139</v>
      </c>
      <c r="F76" s="478" t="s">
        <v>145</v>
      </c>
      <c r="G76" s="478"/>
      <c r="H76" s="478"/>
      <c r="I76" s="478"/>
      <c r="J76" s="478"/>
      <c r="K76" s="479" t="s">
        <v>120</v>
      </c>
      <c r="L76" s="480"/>
      <c r="M76" s="480"/>
      <c r="N76" s="480"/>
      <c r="O76" s="480"/>
      <c r="P76" s="480"/>
      <c r="Q76" s="480"/>
      <c r="R76" s="480"/>
      <c r="S76" s="481"/>
      <c r="T76" s="482">
        <v>42937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9"/>
        <v>4</v>
      </c>
      <c r="B77" s="478"/>
      <c r="C77" s="305" t="s">
        <v>119</v>
      </c>
      <c r="D77" s="305"/>
      <c r="E77" s="35" t="s">
        <v>137</v>
      </c>
      <c r="F77" s="478" t="s">
        <v>138</v>
      </c>
      <c r="G77" s="478"/>
      <c r="H77" s="478"/>
      <c r="I77" s="478"/>
      <c r="J77" s="478"/>
      <c r="K77" s="479" t="s">
        <v>140</v>
      </c>
      <c r="L77" s="480"/>
      <c r="M77" s="480"/>
      <c r="N77" s="480"/>
      <c r="O77" s="480"/>
      <c r="P77" s="480"/>
      <c r="Q77" s="480"/>
      <c r="R77" s="480"/>
      <c r="S77" s="481"/>
      <c r="T77" s="482">
        <v>42920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9"/>
        <v>5</v>
      </c>
      <c r="B78" s="478"/>
      <c r="C78" s="305"/>
      <c r="D78" s="305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9"/>
        <v>6</v>
      </c>
      <c r="B79" s="478"/>
      <c r="C79" s="305"/>
      <c r="D79" s="305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9"/>
        <v>7</v>
      </c>
      <c r="B80" s="478"/>
      <c r="C80" s="305"/>
      <c r="D80" s="305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9"/>
        <v>8</v>
      </c>
      <c r="B81" s="478"/>
      <c r="C81" s="305"/>
      <c r="D81" s="305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0" customHeight="1">
      <c r="A82" s="477">
        <f t="shared" si="19"/>
        <v>9</v>
      </c>
      <c r="B82" s="478"/>
      <c r="C82" s="305"/>
      <c r="D82" s="305"/>
      <c r="E82" s="35"/>
      <c r="F82" s="478"/>
      <c r="G82" s="478"/>
      <c r="H82" s="478"/>
      <c r="I82" s="478"/>
      <c r="J82" s="478"/>
      <c r="K82" s="479"/>
      <c r="L82" s="480"/>
      <c r="M82" s="480"/>
      <c r="N82" s="480"/>
      <c r="O82" s="480"/>
      <c r="P82" s="480"/>
      <c r="Q82" s="480"/>
      <c r="R82" s="480"/>
      <c r="S82" s="481"/>
      <c r="T82" s="482"/>
      <c r="U82" s="482"/>
      <c r="V82" s="482"/>
      <c r="W82" s="482"/>
      <c r="X82" s="483"/>
      <c r="Y82" s="483"/>
      <c r="Z82" s="483"/>
      <c r="AA82" s="483"/>
      <c r="AB82" s="483"/>
      <c r="AC82" s="483"/>
      <c r="AD82" s="484"/>
      <c r="AF82" s="53"/>
    </row>
    <row r="83" spans="1:32" ht="36" thickBot="1">
      <c r="A83" s="470" t="s">
        <v>752</v>
      </c>
      <c r="B83" s="470"/>
      <c r="C83" s="470"/>
      <c r="D83" s="470"/>
      <c r="E83" s="470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98" t="s">
        <v>37</v>
      </c>
      <c r="B84" s="499"/>
      <c r="C84" s="499" t="s">
        <v>53</v>
      </c>
      <c r="D84" s="499"/>
      <c r="E84" s="499" t="s">
        <v>54</v>
      </c>
      <c r="F84" s="499"/>
      <c r="G84" s="499"/>
      <c r="H84" s="499"/>
      <c r="I84" s="499"/>
      <c r="J84" s="499"/>
      <c r="K84" s="499" t="s">
        <v>55</v>
      </c>
      <c r="L84" s="499"/>
      <c r="M84" s="499"/>
      <c r="N84" s="499"/>
      <c r="O84" s="499"/>
      <c r="P84" s="499"/>
      <c r="Q84" s="499"/>
      <c r="R84" s="499"/>
      <c r="S84" s="499"/>
      <c r="T84" s="499" t="s">
        <v>56</v>
      </c>
      <c r="U84" s="499"/>
      <c r="V84" s="499" t="s">
        <v>57</v>
      </c>
      <c r="W84" s="499"/>
      <c r="X84" s="499"/>
      <c r="Y84" s="499" t="s">
        <v>52</v>
      </c>
      <c r="Z84" s="499"/>
      <c r="AA84" s="499"/>
      <c r="AB84" s="499"/>
      <c r="AC84" s="499"/>
      <c r="AD84" s="500"/>
      <c r="AF84" s="53"/>
    </row>
    <row r="85" spans="1:32" ht="30.75" customHeight="1">
      <c r="A85" s="485">
        <v>1</v>
      </c>
      <c r="B85" s="486"/>
      <c r="C85" s="501">
        <v>1</v>
      </c>
      <c r="D85" s="501"/>
      <c r="E85" s="501" t="s">
        <v>129</v>
      </c>
      <c r="F85" s="501"/>
      <c r="G85" s="501"/>
      <c r="H85" s="501"/>
      <c r="I85" s="501"/>
      <c r="J85" s="501"/>
      <c r="K85" s="501" t="s">
        <v>130</v>
      </c>
      <c r="L85" s="501"/>
      <c r="M85" s="501"/>
      <c r="N85" s="501"/>
      <c r="O85" s="501"/>
      <c r="P85" s="501"/>
      <c r="Q85" s="501"/>
      <c r="R85" s="501"/>
      <c r="S85" s="501"/>
      <c r="T85" s="501" t="s">
        <v>131</v>
      </c>
      <c r="U85" s="501"/>
      <c r="V85" s="502">
        <v>1500000</v>
      </c>
      <c r="W85" s="502"/>
      <c r="X85" s="502"/>
      <c r="Y85" s="503" t="s">
        <v>132</v>
      </c>
      <c r="Z85" s="503"/>
      <c r="AA85" s="503"/>
      <c r="AB85" s="503"/>
      <c r="AC85" s="503"/>
      <c r="AD85" s="504"/>
      <c r="AF85" s="53"/>
    </row>
    <row r="86" spans="1:32" ht="30.75" customHeight="1">
      <c r="A86" s="477">
        <v>2</v>
      </c>
      <c r="B86" s="478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512"/>
      <c r="R86" s="512"/>
      <c r="S86" s="512"/>
      <c r="T86" s="513"/>
      <c r="U86" s="513"/>
      <c r="V86" s="514"/>
      <c r="W86" s="514"/>
      <c r="X86" s="514"/>
      <c r="Y86" s="505"/>
      <c r="Z86" s="505"/>
      <c r="AA86" s="505"/>
      <c r="AB86" s="505"/>
      <c r="AC86" s="505"/>
      <c r="AD86" s="506"/>
      <c r="AF86" s="53"/>
    </row>
    <row r="87" spans="1:32" ht="30.75" customHeight="1" thickBot="1">
      <c r="A87" s="507">
        <v>3</v>
      </c>
      <c r="B87" s="508"/>
      <c r="C87" s="509"/>
      <c r="D87" s="509"/>
      <c r="E87" s="509"/>
      <c r="F87" s="509"/>
      <c r="G87" s="509"/>
      <c r="H87" s="509"/>
      <c r="I87" s="509"/>
      <c r="J87" s="509"/>
      <c r="K87" s="509"/>
      <c r="L87" s="509"/>
      <c r="M87" s="509"/>
      <c r="N87" s="509"/>
      <c r="O87" s="509"/>
      <c r="P87" s="509"/>
      <c r="Q87" s="509"/>
      <c r="R87" s="509"/>
      <c r="S87" s="509"/>
      <c r="T87" s="509"/>
      <c r="U87" s="509"/>
      <c r="V87" s="509"/>
      <c r="W87" s="509"/>
      <c r="X87" s="509"/>
      <c r="Y87" s="510"/>
      <c r="Z87" s="510"/>
      <c r="AA87" s="510"/>
      <c r="AB87" s="510"/>
      <c r="AC87" s="510"/>
      <c r="AD87" s="511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J87"/>
  <sheetViews>
    <sheetView topLeftCell="A40" zoomScale="72" zoomScaleNormal="72" zoomScaleSheetLayoutView="70" workbookViewId="0">
      <selection activeCell="F68" sqref="F68:J6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04" t="s">
        <v>753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2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318" t="s">
        <v>17</v>
      </c>
      <c r="L5" s="318" t="s">
        <v>18</v>
      </c>
      <c r="M5" s="318" t="s">
        <v>19</v>
      </c>
      <c r="N5" s="31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2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>$AD$22</f>
        <v>0.53117083733139259</v>
      </c>
      <c r="AF6" s="94">
        <f t="shared" ref="AF6:AF21" si="7">A6</f>
        <v>1</v>
      </c>
    </row>
    <row r="7" spans="1:32" ht="27" customHeight="1">
      <c r="A7" s="108">
        <v>2</v>
      </c>
      <c r="B7" s="11" t="s">
        <v>164</v>
      </c>
      <c r="C7" s="37" t="s">
        <v>119</v>
      </c>
      <c r="D7" s="55" t="s">
        <v>151</v>
      </c>
      <c r="E7" s="57" t="s">
        <v>519</v>
      </c>
      <c r="F7" s="33" t="s">
        <v>133</v>
      </c>
      <c r="G7" s="12">
        <v>1</v>
      </c>
      <c r="H7" s="13">
        <v>25</v>
      </c>
      <c r="I7" s="34">
        <v>40000</v>
      </c>
      <c r="J7" s="5">
        <v>4660</v>
      </c>
      <c r="K7" s="15">
        <f>L7+2045+4660+4937+3956+4522+4665</f>
        <v>29437</v>
      </c>
      <c r="L7" s="15">
        <f>2211+2441</f>
        <v>4652</v>
      </c>
      <c r="M7" s="16">
        <f t="shared" si="0"/>
        <v>4652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0.99828326180257509</v>
      </c>
      <c r="AC7" s="9">
        <f t="shared" si="5"/>
        <v>1</v>
      </c>
      <c r="AD7" s="10">
        <f t="shared" si="6"/>
        <v>0.99828326180257509</v>
      </c>
      <c r="AE7" s="39">
        <f>$AD$22</f>
        <v>0.53117083733139259</v>
      </c>
      <c r="AF7" s="94">
        <f t="shared" si="7"/>
        <v>2</v>
      </c>
    </row>
    <row r="8" spans="1:32" ht="27" customHeight="1">
      <c r="A8" s="109">
        <v>3</v>
      </c>
      <c r="B8" s="11" t="s">
        <v>164</v>
      </c>
      <c r="C8" s="11" t="s">
        <v>754</v>
      </c>
      <c r="D8" s="55" t="s">
        <v>755</v>
      </c>
      <c r="E8" s="56" t="s">
        <v>756</v>
      </c>
      <c r="F8" s="12" t="s">
        <v>757</v>
      </c>
      <c r="G8" s="36" t="s">
        <v>764</v>
      </c>
      <c r="H8" s="38">
        <v>25</v>
      </c>
      <c r="I8" s="7">
        <v>3200</v>
      </c>
      <c r="J8" s="14">
        <v>2810</v>
      </c>
      <c r="K8" s="15">
        <f>L8</f>
        <v>2808</v>
      </c>
      <c r="L8" s="15">
        <f>855+1953</f>
        <v>2808</v>
      </c>
      <c r="M8" s="16">
        <f t="shared" si="0"/>
        <v>2808</v>
      </c>
      <c r="N8" s="16">
        <v>0</v>
      </c>
      <c r="O8" s="62">
        <f t="shared" si="1"/>
        <v>0</v>
      </c>
      <c r="P8" s="42">
        <f t="shared" si="2"/>
        <v>18</v>
      </c>
      <c r="Q8" s="43">
        <f t="shared" si="3"/>
        <v>6</v>
      </c>
      <c r="R8" s="7"/>
      <c r="S8" s="6"/>
      <c r="T8" s="17">
        <v>6</v>
      </c>
      <c r="U8" s="17"/>
      <c r="V8" s="18"/>
      <c r="W8" s="19"/>
      <c r="X8" s="17"/>
      <c r="Y8" s="20"/>
      <c r="Z8" s="20"/>
      <c r="AA8" s="21"/>
      <c r="AB8" s="8">
        <f t="shared" si="4"/>
        <v>0.99928825622775797</v>
      </c>
      <c r="AC8" s="9">
        <f t="shared" si="5"/>
        <v>0.75</v>
      </c>
      <c r="AD8" s="10">
        <f t="shared" si="6"/>
        <v>0.74946619217081845</v>
      </c>
      <c r="AE8" s="39">
        <f>$AD$22</f>
        <v>0.53117083733139259</v>
      </c>
      <c r="AF8" s="94">
        <f>A8</f>
        <v>3</v>
      </c>
    </row>
    <row r="9" spans="1:32" ht="27" customHeight="1">
      <c r="A9" s="110">
        <v>4</v>
      </c>
      <c r="B9" s="11" t="s">
        <v>164</v>
      </c>
      <c r="C9" s="11" t="s">
        <v>119</v>
      </c>
      <c r="D9" s="55" t="s">
        <v>150</v>
      </c>
      <c r="E9" s="56" t="s">
        <v>521</v>
      </c>
      <c r="F9" s="12" t="s">
        <v>213</v>
      </c>
      <c r="G9" s="36">
        <v>1</v>
      </c>
      <c r="H9" s="38">
        <v>25</v>
      </c>
      <c r="I9" s="34">
        <v>40000</v>
      </c>
      <c r="J9" s="5">
        <v>3700</v>
      </c>
      <c r="K9" s="15">
        <f>L9+2467+4801+5657+3590+5665+5865</f>
        <v>31741</v>
      </c>
      <c r="L9" s="15">
        <f>735+2961</f>
        <v>3696</v>
      </c>
      <c r="M9" s="16">
        <f t="shared" si="0"/>
        <v>3696</v>
      </c>
      <c r="N9" s="16">
        <v>0</v>
      </c>
      <c r="O9" s="62">
        <f t="shared" si="1"/>
        <v>0</v>
      </c>
      <c r="P9" s="42">
        <f t="shared" si="2"/>
        <v>19</v>
      </c>
      <c r="Q9" s="43">
        <f t="shared" si="3"/>
        <v>5</v>
      </c>
      <c r="R9" s="7"/>
      <c r="S9" s="6">
        <v>5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0.99891891891891893</v>
      </c>
      <c r="AC9" s="9">
        <f t="shared" si="5"/>
        <v>0.79166666666666663</v>
      </c>
      <c r="AD9" s="10">
        <f t="shared" si="6"/>
        <v>0.79081081081081084</v>
      </c>
      <c r="AE9" s="39">
        <f>$AD$22</f>
        <v>0.53117083733139259</v>
      </c>
      <c r="AF9" s="94">
        <f t="shared" si="7"/>
        <v>4</v>
      </c>
    </row>
    <row r="10" spans="1:32" ht="27" customHeight="1">
      <c r="A10" s="110">
        <v>5</v>
      </c>
      <c r="B10" s="11" t="s">
        <v>59</v>
      </c>
      <c r="C10" s="11" t="s">
        <v>758</v>
      </c>
      <c r="D10" s="55" t="s">
        <v>759</v>
      </c>
      <c r="E10" s="57" t="s">
        <v>760</v>
      </c>
      <c r="F10" s="12">
        <v>7301</v>
      </c>
      <c r="G10" s="12">
        <v>1</v>
      </c>
      <c r="H10" s="13">
        <v>25</v>
      </c>
      <c r="I10" s="34">
        <v>25000</v>
      </c>
      <c r="J10" s="14">
        <v>2760</v>
      </c>
      <c r="K10" s="15">
        <f>L10</f>
        <v>2754</v>
      </c>
      <c r="L10" s="15">
        <f>2754</f>
        <v>2754</v>
      </c>
      <c r="M10" s="16">
        <f t="shared" si="0"/>
        <v>2754</v>
      </c>
      <c r="N10" s="16">
        <v>0</v>
      </c>
      <c r="O10" s="62">
        <f t="shared" si="1"/>
        <v>0</v>
      </c>
      <c r="P10" s="42">
        <f t="shared" si="2"/>
        <v>18</v>
      </c>
      <c r="Q10" s="43">
        <f t="shared" si="3"/>
        <v>6</v>
      </c>
      <c r="R10" s="7"/>
      <c r="S10" s="6">
        <v>6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0.99782608695652175</v>
      </c>
      <c r="AC10" s="9">
        <f t="shared" si="5"/>
        <v>0.75</v>
      </c>
      <c r="AD10" s="10">
        <f t="shared" si="6"/>
        <v>0.74836956521739129</v>
      </c>
      <c r="AE10" s="39">
        <f>$AD$22</f>
        <v>0.53117083733139259</v>
      </c>
      <c r="AF10" s="94">
        <f t="shared" si="7"/>
        <v>5</v>
      </c>
    </row>
    <row r="11" spans="1:32" ht="27" customHeight="1">
      <c r="A11" s="110">
        <v>6</v>
      </c>
      <c r="B11" s="11" t="s">
        <v>59</v>
      </c>
      <c r="C11" s="11" t="s">
        <v>765</v>
      </c>
      <c r="D11" s="55" t="s">
        <v>766</v>
      </c>
      <c r="E11" s="57" t="s">
        <v>767</v>
      </c>
      <c r="F11" s="12" t="s">
        <v>768</v>
      </c>
      <c r="G11" s="12">
        <v>1</v>
      </c>
      <c r="H11" s="13">
        <v>35</v>
      </c>
      <c r="I11" s="34">
        <v>500</v>
      </c>
      <c r="J11" s="14">
        <v>1220</v>
      </c>
      <c r="K11" s="15">
        <f>L11</f>
        <v>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>
        <v>24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ref="AE11" si="8">$AD$22</f>
        <v>0.53117083733139259</v>
      </c>
      <c r="AF11" s="94">
        <f t="shared" si="7"/>
        <v>6</v>
      </c>
    </row>
    <row r="12" spans="1:32" ht="27" customHeight="1">
      <c r="A12" s="110">
        <v>7</v>
      </c>
      <c r="B12" s="11" t="s">
        <v>59</v>
      </c>
      <c r="C12" s="11" t="s">
        <v>666</v>
      </c>
      <c r="D12" s="55" t="s">
        <v>713</v>
      </c>
      <c r="E12" s="56" t="s">
        <v>731</v>
      </c>
      <c r="F12" s="12" t="s">
        <v>714</v>
      </c>
      <c r="G12" s="12" t="s">
        <v>715</v>
      </c>
      <c r="H12" s="13">
        <v>25</v>
      </c>
      <c r="I12" s="34">
        <v>3200</v>
      </c>
      <c r="J12" s="14">
        <v>2020</v>
      </c>
      <c r="K12" s="15">
        <f>L12+668</f>
        <v>2681</v>
      </c>
      <c r="L12" s="15">
        <v>2013</v>
      </c>
      <c r="M12" s="16">
        <f t="shared" si="0"/>
        <v>2013</v>
      </c>
      <c r="N12" s="16">
        <v>0</v>
      </c>
      <c r="O12" s="62">
        <f t="shared" si="1"/>
        <v>0</v>
      </c>
      <c r="P12" s="42">
        <f t="shared" si="2"/>
        <v>12</v>
      </c>
      <c r="Q12" s="43">
        <f t="shared" si="3"/>
        <v>12</v>
      </c>
      <c r="R12" s="7"/>
      <c r="S12" s="6"/>
      <c r="T12" s="17"/>
      <c r="U12" s="17"/>
      <c r="V12" s="18"/>
      <c r="W12" s="19">
        <v>12</v>
      </c>
      <c r="X12" s="17"/>
      <c r="Y12" s="20"/>
      <c r="Z12" s="20"/>
      <c r="AA12" s="21"/>
      <c r="AB12" s="8">
        <f t="shared" si="4"/>
        <v>0.99653465346534653</v>
      </c>
      <c r="AC12" s="9">
        <f t="shared" si="5"/>
        <v>0.5</v>
      </c>
      <c r="AD12" s="10">
        <f t="shared" si="6"/>
        <v>0.49826732673267327</v>
      </c>
      <c r="AE12" s="39">
        <f t="shared" ref="AE12:AE21" si="9">$AD$22</f>
        <v>0.53117083733139259</v>
      </c>
      <c r="AF12" s="94">
        <f t="shared" si="7"/>
        <v>7</v>
      </c>
    </row>
    <row r="13" spans="1:32" ht="27" customHeight="1">
      <c r="A13" s="110">
        <v>7</v>
      </c>
      <c r="B13" s="11" t="s">
        <v>59</v>
      </c>
      <c r="C13" s="11" t="s">
        <v>754</v>
      </c>
      <c r="D13" s="55" t="s">
        <v>761</v>
      </c>
      <c r="E13" s="56" t="s">
        <v>762</v>
      </c>
      <c r="F13" s="12" t="s">
        <v>763</v>
      </c>
      <c r="G13" s="12">
        <v>1</v>
      </c>
      <c r="H13" s="13">
        <v>25</v>
      </c>
      <c r="I13" s="7">
        <v>3200</v>
      </c>
      <c r="J13" s="14">
        <v>1990</v>
      </c>
      <c r="K13" s="15">
        <f>L13</f>
        <v>1096</v>
      </c>
      <c r="L13" s="15">
        <v>1096</v>
      </c>
      <c r="M13" s="16">
        <f t="shared" si="0"/>
        <v>1096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/>
      <c r="T13" s="17"/>
      <c r="U13" s="17"/>
      <c r="V13" s="18"/>
      <c r="W13" s="19">
        <v>14</v>
      </c>
      <c r="X13" s="17"/>
      <c r="Y13" s="20"/>
      <c r="Z13" s="20"/>
      <c r="AA13" s="21"/>
      <c r="AB13" s="8">
        <f t="shared" si="4"/>
        <v>0.55075376884422111</v>
      </c>
      <c r="AC13" s="9">
        <f t="shared" si="5"/>
        <v>0.41666666666666669</v>
      </c>
      <c r="AD13" s="10">
        <f t="shared" si="6"/>
        <v>0.22948073701842547</v>
      </c>
      <c r="AE13" s="39">
        <f t="shared" si="9"/>
        <v>0.53117083733139259</v>
      </c>
      <c r="AF13" s="94">
        <f t="shared" si="7"/>
        <v>7</v>
      </c>
    </row>
    <row r="14" spans="1:32" ht="27" customHeight="1">
      <c r="A14" s="110">
        <v>8</v>
      </c>
      <c r="B14" s="11" t="s">
        <v>59</v>
      </c>
      <c r="C14" s="11" t="s">
        <v>228</v>
      </c>
      <c r="D14" s="55" t="s">
        <v>716</v>
      </c>
      <c r="E14" s="57" t="s">
        <v>717</v>
      </c>
      <c r="F14" s="12" t="s">
        <v>718</v>
      </c>
      <c r="G14" s="12">
        <v>1</v>
      </c>
      <c r="H14" s="13">
        <v>25</v>
      </c>
      <c r="I14" s="7">
        <v>6000</v>
      </c>
      <c r="J14" s="14">
        <v>1450</v>
      </c>
      <c r="K14" s="15">
        <f>L14+8682</f>
        <v>10128</v>
      </c>
      <c r="L14" s="15">
        <f>723*2</f>
        <v>1446</v>
      </c>
      <c r="M14" s="16">
        <f t="shared" si="0"/>
        <v>1446</v>
      </c>
      <c r="N14" s="16">
        <v>0</v>
      </c>
      <c r="O14" s="62">
        <f t="shared" si="1"/>
        <v>0</v>
      </c>
      <c r="P14" s="42">
        <f t="shared" si="2"/>
        <v>4</v>
      </c>
      <c r="Q14" s="43">
        <f t="shared" si="3"/>
        <v>20</v>
      </c>
      <c r="R14" s="7"/>
      <c r="S14" s="6"/>
      <c r="T14" s="17"/>
      <c r="U14" s="17"/>
      <c r="V14" s="18"/>
      <c r="W14" s="19">
        <v>20</v>
      </c>
      <c r="X14" s="17"/>
      <c r="Y14" s="20"/>
      <c r="Z14" s="20"/>
      <c r="AA14" s="21"/>
      <c r="AB14" s="8">
        <f t="shared" si="4"/>
        <v>0.99724137931034484</v>
      </c>
      <c r="AC14" s="9">
        <f t="shared" si="5"/>
        <v>0.16666666666666666</v>
      </c>
      <c r="AD14" s="10">
        <f t="shared" si="6"/>
        <v>0.16620689655172413</v>
      </c>
      <c r="AE14" s="39">
        <f t="shared" si="9"/>
        <v>0.53117083733139259</v>
      </c>
      <c r="AF14" s="94">
        <f t="shared" si="7"/>
        <v>8</v>
      </c>
    </row>
    <row r="15" spans="1:32" ht="27" customHeight="1">
      <c r="A15" s="109">
        <v>9</v>
      </c>
      <c r="B15" s="11" t="s">
        <v>59</v>
      </c>
      <c r="C15" s="37" t="s">
        <v>118</v>
      </c>
      <c r="D15" s="55" t="s">
        <v>58</v>
      </c>
      <c r="E15" s="57" t="s">
        <v>632</v>
      </c>
      <c r="F15" s="33" t="s">
        <v>633</v>
      </c>
      <c r="G15" s="36">
        <v>1</v>
      </c>
      <c r="H15" s="38">
        <v>40</v>
      </c>
      <c r="I15" s="7">
        <v>500</v>
      </c>
      <c r="J15" s="5">
        <v>300</v>
      </c>
      <c r="K15" s="15">
        <f>L15</f>
        <v>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>
        <v>24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9"/>
        <v>0.53117083733139259</v>
      </c>
      <c r="AF15" s="94">
        <f t="shared" si="7"/>
        <v>9</v>
      </c>
    </row>
    <row r="16" spans="1:32" ht="27" customHeight="1">
      <c r="A16" s="109">
        <v>10</v>
      </c>
      <c r="B16" s="11" t="s">
        <v>59</v>
      </c>
      <c r="C16" s="11" t="s">
        <v>141</v>
      </c>
      <c r="D16" s="55" t="s">
        <v>137</v>
      </c>
      <c r="E16" s="57" t="s">
        <v>334</v>
      </c>
      <c r="F16" s="12" t="s">
        <v>143</v>
      </c>
      <c r="G16" s="12">
        <v>1</v>
      </c>
      <c r="H16" s="13">
        <v>25</v>
      </c>
      <c r="I16" s="34">
        <v>650</v>
      </c>
      <c r="J16" s="14">
        <v>910</v>
      </c>
      <c r="K16" s="15">
        <f>L16+903</f>
        <v>903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9"/>
        <v>0.53117083733139259</v>
      </c>
      <c r="AF16" s="94">
        <f t="shared" si="7"/>
        <v>10</v>
      </c>
    </row>
    <row r="17" spans="1:36" ht="27.75" customHeight="1">
      <c r="A17" s="109">
        <v>11</v>
      </c>
      <c r="B17" s="11" t="s">
        <v>59</v>
      </c>
      <c r="C17" s="11" t="s">
        <v>119</v>
      </c>
      <c r="D17" s="55" t="s">
        <v>126</v>
      </c>
      <c r="E17" s="56" t="s">
        <v>198</v>
      </c>
      <c r="F17" s="12">
        <v>7301</v>
      </c>
      <c r="G17" s="36">
        <v>1</v>
      </c>
      <c r="H17" s="38">
        <v>25</v>
      </c>
      <c r="I17" s="7">
        <v>40000</v>
      </c>
      <c r="J17" s="14">
        <v>5750</v>
      </c>
      <c r="K17" s="15">
        <f>L17+3005+5564+4844+1728+5785+5748</f>
        <v>32416</v>
      </c>
      <c r="L17" s="15">
        <f>2723+3019</f>
        <v>5742</v>
      </c>
      <c r="M17" s="16">
        <f t="shared" si="0"/>
        <v>5742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0.99860869565217392</v>
      </c>
      <c r="AC17" s="9">
        <f t="shared" si="5"/>
        <v>1</v>
      </c>
      <c r="AD17" s="10">
        <f t="shared" si="6"/>
        <v>0.99860869565217392</v>
      </c>
      <c r="AE17" s="39">
        <f t="shared" si="9"/>
        <v>0.53117083733139259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59</v>
      </c>
      <c r="C18" s="37" t="s">
        <v>410</v>
      </c>
      <c r="D18" s="55" t="s">
        <v>411</v>
      </c>
      <c r="E18" s="56" t="s">
        <v>412</v>
      </c>
      <c r="F18" s="12">
        <v>8301</v>
      </c>
      <c r="G18" s="12">
        <v>1</v>
      </c>
      <c r="H18" s="13">
        <v>25</v>
      </c>
      <c r="I18" s="34">
        <v>500</v>
      </c>
      <c r="J18" s="5">
        <v>632</v>
      </c>
      <c r="K18" s="15">
        <f>L18+632</f>
        <v>632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9"/>
        <v>0.53117083733139259</v>
      </c>
      <c r="AF18" s="94">
        <f t="shared" si="7"/>
        <v>12</v>
      </c>
    </row>
    <row r="19" spans="1:36" ht="27" customHeight="1">
      <c r="A19" s="110">
        <v>13</v>
      </c>
      <c r="B19" s="11" t="s">
        <v>59</v>
      </c>
      <c r="C19" s="37" t="s">
        <v>550</v>
      </c>
      <c r="D19" s="55" t="s">
        <v>570</v>
      </c>
      <c r="E19" s="57" t="s">
        <v>217</v>
      </c>
      <c r="F19" s="33" t="s">
        <v>218</v>
      </c>
      <c r="G19" s="12">
        <v>1</v>
      </c>
      <c r="H19" s="13">
        <v>25</v>
      </c>
      <c r="I19" s="34">
        <v>35000</v>
      </c>
      <c r="J19" s="5">
        <v>3880</v>
      </c>
      <c r="K19" s="15">
        <f>L19+2973+3499+4604+5292+5636</f>
        <v>25875</v>
      </c>
      <c r="L19" s="15">
        <f>1111+2760</f>
        <v>3871</v>
      </c>
      <c r="M19" s="16">
        <f t="shared" si="0"/>
        <v>3871</v>
      </c>
      <c r="N19" s="16">
        <v>0</v>
      </c>
      <c r="O19" s="62">
        <f t="shared" si="1"/>
        <v>0</v>
      </c>
      <c r="P19" s="42">
        <f t="shared" si="2"/>
        <v>19</v>
      </c>
      <c r="Q19" s="43">
        <f t="shared" si="3"/>
        <v>5</v>
      </c>
      <c r="R19" s="7"/>
      <c r="S19" s="6">
        <v>5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0.99768041237113403</v>
      </c>
      <c r="AC19" s="9">
        <f t="shared" si="5"/>
        <v>0.79166666666666663</v>
      </c>
      <c r="AD19" s="10">
        <f t="shared" si="6"/>
        <v>0.78983032646048112</v>
      </c>
      <c r="AE19" s="39">
        <f t="shared" si="9"/>
        <v>0.53117083733139259</v>
      </c>
      <c r="AF19" s="94">
        <f t="shared" si="7"/>
        <v>13</v>
      </c>
    </row>
    <row r="20" spans="1:36" ht="27" customHeight="1">
      <c r="A20" s="110">
        <v>14</v>
      </c>
      <c r="B20" s="11" t="s">
        <v>59</v>
      </c>
      <c r="C20" s="37" t="s">
        <v>119</v>
      </c>
      <c r="D20" s="55" t="s">
        <v>58</v>
      </c>
      <c r="E20" s="57" t="s">
        <v>134</v>
      </c>
      <c r="F20" s="33" t="s">
        <v>136</v>
      </c>
      <c r="G20" s="36">
        <v>1</v>
      </c>
      <c r="H20" s="38">
        <v>25</v>
      </c>
      <c r="I20" s="7">
        <v>40000</v>
      </c>
      <c r="J20" s="5">
        <v>5110</v>
      </c>
      <c r="K20" s="15">
        <f>L20+4891+5116+437+4687+2909+3071+5068+4913+4197+4697+5124+3217</f>
        <v>53428</v>
      </c>
      <c r="L20" s="15">
        <f>2419+2682</f>
        <v>5101</v>
      </c>
      <c r="M20" s="16">
        <f t="shared" si="0"/>
        <v>5101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0.99823874755381603</v>
      </c>
      <c r="AC20" s="9">
        <f t="shared" si="5"/>
        <v>1</v>
      </c>
      <c r="AD20" s="10">
        <f t="shared" si="6"/>
        <v>0.99823874755381603</v>
      </c>
      <c r="AE20" s="39">
        <f t="shared" si="9"/>
        <v>0.53117083733139259</v>
      </c>
      <c r="AF20" s="94">
        <f t="shared" si="7"/>
        <v>14</v>
      </c>
    </row>
    <row r="21" spans="1:36" ht="27" customHeight="1" thickBot="1">
      <c r="A21" s="110">
        <v>15</v>
      </c>
      <c r="B21" s="11" t="s">
        <v>59</v>
      </c>
      <c r="C21" s="11" t="s">
        <v>116</v>
      </c>
      <c r="D21" s="55"/>
      <c r="E21" s="56" t="s">
        <v>599</v>
      </c>
      <c r="F21" s="12" t="s">
        <v>117</v>
      </c>
      <c r="G21" s="12">
        <v>4</v>
      </c>
      <c r="H21" s="38">
        <v>20</v>
      </c>
      <c r="I21" s="7">
        <v>200000</v>
      </c>
      <c r="J21" s="14">
        <v>64080</v>
      </c>
      <c r="K21" s="15">
        <f>L21+50220+52380+58428+58872</f>
        <v>283980</v>
      </c>
      <c r="L21" s="15">
        <f>7669*4+8351*4</f>
        <v>64080</v>
      </c>
      <c r="M21" s="16">
        <f t="shared" si="0"/>
        <v>64080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1</v>
      </c>
      <c r="AD21" s="10">
        <f t="shared" si="6"/>
        <v>1</v>
      </c>
      <c r="AE21" s="39">
        <f t="shared" si="9"/>
        <v>0.53117083733139259</v>
      </c>
      <c r="AF21" s="94">
        <f t="shared" si="7"/>
        <v>15</v>
      </c>
    </row>
    <row r="22" spans="1:36" ht="31.5" customHeight="1" thickBot="1">
      <c r="A22" s="418" t="s">
        <v>34</v>
      </c>
      <c r="B22" s="419"/>
      <c r="C22" s="419"/>
      <c r="D22" s="419"/>
      <c r="E22" s="419"/>
      <c r="F22" s="419"/>
      <c r="G22" s="419"/>
      <c r="H22" s="420"/>
      <c r="I22" s="25">
        <f t="shared" ref="I22:N22" si="10">SUM(I6:I21)</f>
        <v>438750</v>
      </c>
      <c r="J22" s="22">
        <f t="shared" si="10"/>
        <v>103242</v>
      </c>
      <c r="K22" s="23">
        <f t="shared" si="10"/>
        <v>479841</v>
      </c>
      <c r="L22" s="24">
        <f t="shared" si="10"/>
        <v>97259</v>
      </c>
      <c r="M22" s="23">
        <f t="shared" si="10"/>
        <v>97259</v>
      </c>
      <c r="N22" s="24">
        <f t="shared" si="10"/>
        <v>0</v>
      </c>
      <c r="O22" s="44">
        <f t="shared" si="1"/>
        <v>0</v>
      </c>
      <c r="P22" s="45">
        <f t="shared" ref="P22:AA22" si="11">SUM(P6:P21)</f>
        <v>196</v>
      </c>
      <c r="Q22" s="46">
        <f t="shared" si="11"/>
        <v>188</v>
      </c>
      <c r="R22" s="26">
        <f t="shared" si="11"/>
        <v>24</v>
      </c>
      <c r="S22" s="27">
        <f t="shared" si="11"/>
        <v>64</v>
      </c>
      <c r="T22" s="27">
        <f t="shared" si="11"/>
        <v>6</v>
      </c>
      <c r="U22" s="27">
        <f t="shared" si="11"/>
        <v>0</v>
      </c>
      <c r="V22" s="28">
        <f t="shared" si="11"/>
        <v>0</v>
      </c>
      <c r="W22" s="29">
        <f t="shared" si="11"/>
        <v>94</v>
      </c>
      <c r="X22" s="30">
        <f t="shared" si="11"/>
        <v>0</v>
      </c>
      <c r="Y22" s="30">
        <f t="shared" si="11"/>
        <v>0</v>
      </c>
      <c r="Z22" s="30">
        <f t="shared" si="11"/>
        <v>0</v>
      </c>
      <c r="AA22" s="30">
        <f t="shared" si="11"/>
        <v>0</v>
      </c>
      <c r="AB22" s="31">
        <f>SUM(AB6:AB21)/15</f>
        <v>0.7022249454068541</v>
      </c>
      <c r="AC22" s="4">
        <f>SUM(AC6:AC21)/15</f>
        <v>0.54444444444444451</v>
      </c>
      <c r="AD22" s="4">
        <f>SUM(AD6:AD21)/15</f>
        <v>0.53117083733139259</v>
      </c>
      <c r="AE22" s="32"/>
    </row>
    <row r="24" spans="1:36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21" t="s">
        <v>46</v>
      </c>
      <c r="B49" s="421"/>
      <c r="C49" s="421"/>
      <c r="D49" s="421"/>
      <c r="E49" s="42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22" t="s">
        <v>769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4"/>
      <c r="N50" s="425" t="s">
        <v>800</v>
      </c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26"/>
      <c r="AD50" s="427"/>
    </row>
    <row r="51" spans="1:32" ht="27" customHeight="1">
      <c r="A51" s="428" t="s">
        <v>2</v>
      </c>
      <c r="B51" s="429"/>
      <c r="C51" s="317" t="s">
        <v>47</v>
      </c>
      <c r="D51" s="317" t="s">
        <v>48</v>
      </c>
      <c r="E51" s="317" t="s">
        <v>110</v>
      </c>
      <c r="F51" s="429" t="s">
        <v>109</v>
      </c>
      <c r="G51" s="429"/>
      <c r="H51" s="429"/>
      <c r="I51" s="429"/>
      <c r="J51" s="429"/>
      <c r="K51" s="429"/>
      <c r="L51" s="429"/>
      <c r="M51" s="430"/>
      <c r="N51" s="73" t="s">
        <v>114</v>
      </c>
      <c r="O51" s="317" t="s">
        <v>47</v>
      </c>
      <c r="P51" s="431" t="s">
        <v>48</v>
      </c>
      <c r="Q51" s="432"/>
      <c r="R51" s="431" t="s">
        <v>39</v>
      </c>
      <c r="S51" s="433"/>
      <c r="T51" s="433"/>
      <c r="U51" s="432"/>
      <c r="V51" s="431" t="s">
        <v>49</v>
      </c>
      <c r="W51" s="433"/>
      <c r="X51" s="433"/>
      <c r="Y51" s="433"/>
      <c r="Z51" s="433"/>
      <c r="AA51" s="433"/>
      <c r="AB51" s="433"/>
      <c r="AC51" s="433"/>
      <c r="AD51" s="434"/>
    </row>
    <row r="52" spans="1:32" ht="27" customHeight="1">
      <c r="A52" s="445" t="s">
        <v>770</v>
      </c>
      <c r="B52" s="446"/>
      <c r="C52" s="316" t="s">
        <v>671</v>
      </c>
      <c r="D52" s="313" t="s">
        <v>771</v>
      </c>
      <c r="E52" s="316" t="s">
        <v>756</v>
      </c>
      <c r="F52" s="447" t="s">
        <v>772</v>
      </c>
      <c r="G52" s="447"/>
      <c r="H52" s="447"/>
      <c r="I52" s="447"/>
      <c r="J52" s="447"/>
      <c r="K52" s="447"/>
      <c r="L52" s="447"/>
      <c r="M52" s="448"/>
      <c r="N52" s="312" t="s">
        <v>119</v>
      </c>
      <c r="O52" s="74" t="s">
        <v>206</v>
      </c>
      <c r="P52" s="449" t="s">
        <v>649</v>
      </c>
      <c r="Q52" s="450"/>
      <c r="R52" s="451" t="s">
        <v>801</v>
      </c>
      <c r="S52" s="451"/>
      <c r="T52" s="451"/>
      <c r="U52" s="451"/>
      <c r="V52" s="447" t="s">
        <v>772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774</v>
      </c>
      <c r="B53" s="446"/>
      <c r="C53" s="316" t="s">
        <v>142</v>
      </c>
      <c r="D53" s="313" t="s">
        <v>775</v>
      </c>
      <c r="E53" s="316" t="s">
        <v>773</v>
      </c>
      <c r="F53" s="447" t="s">
        <v>776</v>
      </c>
      <c r="G53" s="447"/>
      <c r="H53" s="447"/>
      <c r="I53" s="447"/>
      <c r="J53" s="447"/>
      <c r="K53" s="447"/>
      <c r="L53" s="447"/>
      <c r="M53" s="448"/>
      <c r="N53" s="312" t="s">
        <v>740</v>
      </c>
      <c r="O53" s="74" t="s">
        <v>741</v>
      </c>
      <c r="P53" s="449" t="s">
        <v>742</v>
      </c>
      <c r="Q53" s="450"/>
      <c r="R53" s="451" t="s">
        <v>743</v>
      </c>
      <c r="S53" s="451"/>
      <c r="T53" s="451"/>
      <c r="U53" s="451"/>
      <c r="V53" s="447" t="s">
        <v>739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119</v>
      </c>
      <c r="B54" s="446"/>
      <c r="C54" s="316" t="s">
        <v>778</v>
      </c>
      <c r="D54" s="313" t="s">
        <v>779</v>
      </c>
      <c r="E54" s="316" t="s">
        <v>777</v>
      </c>
      <c r="F54" s="447" t="s">
        <v>772</v>
      </c>
      <c r="G54" s="447"/>
      <c r="H54" s="447"/>
      <c r="I54" s="447"/>
      <c r="J54" s="447"/>
      <c r="K54" s="447"/>
      <c r="L54" s="447"/>
      <c r="M54" s="448"/>
      <c r="N54" s="312" t="s">
        <v>796</v>
      </c>
      <c r="O54" s="74" t="s">
        <v>803</v>
      </c>
      <c r="P54" s="449" t="s">
        <v>742</v>
      </c>
      <c r="Q54" s="450"/>
      <c r="R54" s="451" t="s">
        <v>802</v>
      </c>
      <c r="S54" s="451"/>
      <c r="T54" s="451"/>
      <c r="U54" s="451"/>
      <c r="V54" s="447" t="s">
        <v>772</v>
      </c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 t="s">
        <v>754</v>
      </c>
      <c r="B55" s="446"/>
      <c r="C55" s="316" t="s">
        <v>781</v>
      </c>
      <c r="D55" s="313" t="s">
        <v>782</v>
      </c>
      <c r="E55" s="316" t="s">
        <v>780</v>
      </c>
      <c r="F55" s="447" t="s">
        <v>783</v>
      </c>
      <c r="G55" s="447"/>
      <c r="H55" s="447"/>
      <c r="I55" s="447"/>
      <c r="J55" s="447"/>
      <c r="K55" s="447"/>
      <c r="L55" s="447"/>
      <c r="M55" s="448"/>
      <c r="N55" s="312" t="s">
        <v>796</v>
      </c>
      <c r="O55" s="74" t="s">
        <v>792</v>
      </c>
      <c r="P55" s="449" t="s">
        <v>804</v>
      </c>
      <c r="Q55" s="450"/>
      <c r="R55" s="451" t="s">
        <v>790</v>
      </c>
      <c r="S55" s="451"/>
      <c r="T55" s="451"/>
      <c r="U55" s="451"/>
      <c r="V55" s="447" t="s">
        <v>805</v>
      </c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 t="s">
        <v>754</v>
      </c>
      <c r="B56" s="446"/>
      <c r="C56" s="316" t="s">
        <v>781</v>
      </c>
      <c r="D56" s="313" t="s">
        <v>785</v>
      </c>
      <c r="E56" s="316" t="s">
        <v>784</v>
      </c>
      <c r="F56" s="447" t="s">
        <v>786</v>
      </c>
      <c r="G56" s="447"/>
      <c r="H56" s="447"/>
      <c r="I56" s="447"/>
      <c r="J56" s="447"/>
      <c r="K56" s="447"/>
      <c r="L56" s="447"/>
      <c r="M56" s="448"/>
      <c r="N56" s="312" t="s">
        <v>807</v>
      </c>
      <c r="O56" s="74" t="s">
        <v>808</v>
      </c>
      <c r="P56" s="449" t="s">
        <v>809</v>
      </c>
      <c r="Q56" s="450"/>
      <c r="R56" s="451" t="s">
        <v>806</v>
      </c>
      <c r="S56" s="451"/>
      <c r="T56" s="451"/>
      <c r="U56" s="451"/>
      <c r="V56" s="447" t="s">
        <v>772</v>
      </c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 t="s">
        <v>765</v>
      </c>
      <c r="B57" s="446"/>
      <c r="C57" s="316" t="s">
        <v>781</v>
      </c>
      <c r="D57" s="313" t="s">
        <v>788</v>
      </c>
      <c r="E57" s="316" t="s">
        <v>787</v>
      </c>
      <c r="F57" s="447" t="s">
        <v>789</v>
      </c>
      <c r="G57" s="447"/>
      <c r="H57" s="447"/>
      <c r="I57" s="447"/>
      <c r="J57" s="447"/>
      <c r="K57" s="447"/>
      <c r="L57" s="447"/>
      <c r="M57" s="448"/>
      <c r="N57" s="312"/>
      <c r="O57" s="74"/>
      <c r="P57" s="451"/>
      <c r="Q57" s="451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 t="s">
        <v>791</v>
      </c>
      <c r="B58" s="446"/>
      <c r="C58" s="316" t="s">
        <v>792</v>
      </c>
      <c r="D58" s="313" t="s">
        <v>793</v>
      </c>
      <c r="E58" s="316" t="s">
        <v>790</v>
      </c>
      <c r="F58" s="447" t="s">
        <v>794</v>
      </c>
      <c r="G58" s="447"/>
      <c r="H58" s="447"/>
      <c r="I58" s="447"/>
      <c r="J58" s="447"/>
      <c r="K58" s="447"/>
      <c r="L58" s="447"/>
      <c r="M58" s="448"/>
      <c r="N58" s="312"/>
      <c r="O58" s="74"/>
      <c r="P58" s="449"/>
      <c r="Q58" s="450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45" t="s">
        <v>796</v>
      </c>
      <c r="B59" s="446"/>
      <c r="C59" s="316" t="s">
        <v>797</v>
      </c>
      <c r="D59" s="313" t="s">
        <v>798</v>
      </c>
      <c r="E59" s="316" t="s">
        <v>795</v>
      </c>
      <c r="F59" s="447" t="s">
        <v>799</v>
      </c>
      <c r="G59" s="447"/>
      <c r="H59" s="447"/>
      <c r="I59" s="447"/>
      <c r="J59" s="447"/>
      <c r="K59" s="447"/>
      <c r="L59" s="447"/>
      <c r="M59" s="448"/>
      <c r="N59" s="312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</row>
    <row r="60" spans="1:32" ht="27" customHeight="1">
      <c r="A60" s="452"/>
      <c r="B60" s="451"/>
      <c r="C60" s="313"/>
      <c r="D60" s="313"/>
      <c r="E60" s="313"/>
      <c r="F60" s="447"/>
      <c r="G60" s="447"/>
      <c r="H60" s="447"/>
      <c r="I60" s="447"/>
      <c r="J60" s="447"/>
      <c r="K60" s="447"/>
      <c r="L60" s="447"/>
      <c r="M60" s="448"/>
      <c r="N60" s="312"/>
      <c r="O60" s="74"/>
      <c r="P60" s="451"/>
      <c r="Q60" s="451"/>
      <c r="R60" s="451"/>
      <c r="S60" s="451"/>
      <c r="T60" s="451"/>
      <c r="U60" s="451"/>
      <c r="V60" s="447"/>
      <c r="W60" s="447"/>
      <c r="X60" s="447"/>
      <c r="Y60" s="447"/>
      <c r="Z60" s="447"/>
      <c r="AA60" s="447"/>
      <c r="AB60" s="447"/>
      <c r="AC60" s="447"/>
      <c r="AD60" s="448"/>
      <c r="AF60" s="94">
        <f>8*3000</f>
        <v>24000</v>
      </c>
    </row>
    <row r="61" spans="1:32" ht="27" customHeight="1" thickBot="1">
      <c r="A61" s="453"/>
      <c r="B61" s="454"/>
      <c r="C61" s="315"/>
      <c r="D61" s="315"/>
      <c r="E61" s="315"/>
      <c r="F61" s="455"/>
      <c r="G61" s="455"/>
      <c r="H61" s="455"/>
      <c r="I61" s="455"/>
      <c r="J61" s="455"/>
      <c r="K61" s="455"/>
      <c r="L61" s="455"/>
      <c r="M61" s="456"/>
      <c r="N61" s="314"/>
      <c r="O61" s="121"/>
      <c r="P61" s="454"/>
      <c r="Q61" s="454"/>
      <c r="R61" s="454"/>
      <c r="S61" s="454"/>
      <c r="T61" s="454"/>
      <c r="U61" s="454"/>
      <c r="V61" s="455"/>
      <c r="W61" s="455"/>
      <c r="X61" s="455"/>
      <c r="Y61" s="455"/>
      <c r="Z61" s="455"/>
      <c r="AA61" s="455"/>
      <c r="AB61" s="455"/>
      <c r="AC61" s="455"/>
      <c r="AD61" s="456"/>
      <c r="AF61" s="94">
        <f>16*3000</f>
        <v>48000</v>
      </c>
    </row>
    <row r="62" spans="1:32" ht="27.75" thickBot="1">
      <c r="A62" s="457" t="s">
        <v>810</v>
      </c>
      <c r="B62" s="457"/>
      <c r="C62" s="457"/>
      <c r="D62" s="457"/>
      <c r="E62" s="45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58" t="s">
        <v>115</v>
      </c>
      <c r="B63" s="459"/>
      <c r="C63" s="311" t="s">
        <v>2</v>
      </c>
      <c r="D63" s="311" t="s">
        <v>38</v>
      </c>
      <c r="E63" s="311" t="s">
        <v>3</v>
      </c>
      <c r="F63" s="459" t="s">
        <v>112</v>
      </c>
      <c r="G63" s="459"/>
      <c r="H63" s="459"/>
      <c r="I63" s="459"/>
      <c r="J63" s="459"/>
      <c r="K63" s="459" t="s">
        <v>40</v>
      </c>
      <c r="L63" s="459"/>
      <c r="M63" s="311" t="s">
        <v>41</v>
      </c>
      <c r="N63" s="459" t="s">
        <v>42</v>
      </c>
      <c r="O63" s="459"/>
      <c r="P63" s="460" t="s">
        <v>43</v>
      </c>
      <c r="Q63" s="461"/>
      <c r="R63" s="460" t="s">
        <v>44</v>
      </c>
      <c r="S63" s="462"/>
      <c r="T63" s="462"/>
      <c r="U63" s="462"/>
      <c r="V63" s="462"/>
      <c r="W63" s="462"/>
      <c r="X63" s="462"/>
      <c r="Y63" s="462"/>
      <c r="Z63" s="462"/>
      <c r="AA63" s="461"/>
      <c r="AB63" s="459" t="s">
        <v>45</v>
      </c>
      <c r="AC63" s="459"/>
      <c r="AD63" s="463"/>
      <c r="AF63" s="94">
        <f>SUM(AF60:AF62)</f>
        <v>96000</v>
      </c>
    </row>
    <row r="64" spans="1:32" ht="25.5" customHeight="1">
      <c r="A64" s="464">
        <v>1</v>
      </c>
      <c r="B64" s="465"/>
      <c r="C64" s="124" t="s">
        <v>147</v>
      </c>
      <c r="D64" s="307"/>
      <c r="E64" s="309" t="s">
        <v>212</v>
      </c>
      <c r="F64" s="466" t="s">
        <v>882</v>
      </c>
      <c r="G64" s="467"/>
      <c r="H64" s="467"/>
      <c r="I64" s="467"/>
      <c r="J64" s="467"/>
      <c r="K64" s="467" t="s">
        <v>213</v>
      </c>
      <c r="L64" s="467"/>
      <c r="M64" s="54" t="s">
        <v>214</v>
      </c>
      <c r="N64" s="467">
        <v>8</v>
      </c>
      <c r="O64" s="467"/>
      <c r="P64" s="468">
        <v>50</v>
      </c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2</v>
      </c>
      <c r="B65" s="465"/>
      <c r="C65" s="124" t="s">
        <v>811</v>
      </c>
      <c r="D65" s="307"/>
      <c r="E65" s="309" t="s">
        <v>812</v>
      </c>
      <c r="F65" s="466" t="s">
        <v>813</v>
      </c>
      <c r="G65" s="467"/>
      <c r="H65" s="467"/>
      <c r="I65" s="467"/>
      <c r="J65" s="467"/>
      <c r="K65" s="467" t="s">
        <v>814</v>
      </c>
      <c r="L65" s="467"/>
      <c r="M65" s="54" t="s">
        <v>815</v>
      </c>
      <c r="N65" s="467">
        <v>5</v>
      </c>
      <c r="O65" s="467"/>
      <c r="P65" s="468">
        <v>32</v>
      </c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3</v>
      </c>
      <c r="B66" s="465"/>
      <c r="C66" s="124"/>
      <c r="D66" s="307"/>
      <c r="E66" s="309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4</v>
      </c>
      <c r="B67" s="465"/>
      <c r="C67" s="124"/>
      <c r="D67" s="307"/>
      <c r="E67" s="309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5</v>
      </c>
      <c r="B68" s="465"/>
      <c r="C68" s="124"/>
      <c r="D68" s="307"/>
      <c r="E68" s="309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6</v>
      </c>
      <c r="B69" s="465"/>
      <c r="C69" s="124"/>
      <c r="D69" s="307"/>
      <c r="E69" s="309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7</v>
      </c>
      <c r="B70" s="465"/>
      <c r="C70" s="124"/>
      <c r="D70" s="307"/>
      <c r="E70" s="309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5.5" customHeight="1">
      <c r="A71" s="464">
        <v>8</v>
      </c>
      <c r="B71" s="465"/>
      <c r="C71" s="124"/>
      <c r="D71" s="307"/>
      <c r="E71" s="309"/>
      <c r="F71" s="466"/>
      <c r="G71" s="467"/>
      <c r="H71" s="467"/>
      <c r="I71" s="467"/>
      <c r="J71" s="467"/>
      <c r="K71" s="467"/>
      <c r="L71" s="467"/>
      <c r="M71" s="54"/>
      <c r="N71" s="467"/>
      <c r="O71" s="467"/>
      <c r="P71" s="468"/>
      <c r="Q71" s="468"/>
      <c r="R71" s="447"/>
      <c r="S71" s="447"/>
      <c r="T71" s="447"/>
      <c r="U71" s="447"/>
      <c r="V71" s="447"/>
      <c r="W71" s="447"/>
      <c r="X71" s="447"/>
      <c r="Y71" s="447"/>
      <c r="Z71" s="447"/>
      <c r="AA71" s="447"/>
      <c r="AB71" s="467"/>
      <c r="AC71" s="467"/>
      <c r="AD71" s="469"/>
      <c r="AF71" s="53"/>
    </row>
    <row r="72" spans="1:32" ht="26.25" customHeight="1" thickBot="1">
      <c r="A72" s="470" t="s">
        <v>816</v>
      </c>
      <c r="B72" s="470"/>
      <c r="C72" s="470"/>
      <c r="D72" s="470"/>
      <c r="E72" s="470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71" t="s">
        <v>115</v>
      </c>
      <c r="B73" s="472"/>
      <c r="C73" s="310" t="s">
        <v>2</v>
      </c>
      <c r="D73" s="310" t="s">
        <v>38</v>
      </c>
      <c r="E73" s="310" t="s">
        <v>3</v>
      </c>
      <c r="F73" s="472" t="s">
        <v>39</v>
      </c>
      <c r="G73" s="472"/>
      <c r="H73" s="472"/>
      <c r="I73" s="472"/>
      <c r="J73" s="472"/>
      <c r="K73" s="473" t="s">
        <v>60</v>
      </c>
      <c r="L73" s="474"/>
      <c r="M73" s="474"/>
      <c r="N73" s="474"/>
      <c r="O73" s="474"/>
      <c r="P73" s="474"/>
      <c r="Q73" s="474"/>
      <c r="R73" s="474"/>
      <c r="S73" s="475"/>
      <c r="T73" s="472" t="s">
        <v>50</v>
      </c>
      <c r="U73" s="472"/>
      <c r="V73" s="473" t="s">
        <v>51</v>
      </c>
      <c r="W73" s="475"/>
      <c r="X73" s="474" t="s">
        <v>52</v>
      </c>
      <c r="Y73" s="474"/>
      <c r="Z73" s="474"/>
      <c r="AA73" s="474"/>
      <c r="AB73" s="474"/>
      <c r="AC73" s="474"/>
      <c r="AD73" s="476"/>
      <c r="AF73" s="53"/>
    </row>
    <row r="74" spans="1:32" ht="33.75" customHeight="1">
      <c r="A74" s="485">
        <v>1</v>
      </c>
      <c r="B74" s="486"/>
      <c r="C74" s="308" t="s">
        <v>118</v>
      </c>
      <c r="D74" s="308"/>
      <c r="E74" s="71" t="s">
        <v>124</v>
      </c>
      <c r="F74" s="487" t="s">
        <v>125</v>
      </c>
      <c r="G74" s="488"/>
      <c r="H74" s="488"/>
      <c r="I74" s="488"/>
      <c r="J74" s="489"/>
      <c r="K74" s="490" t="s">
        <v>120</v>
      </c>
      <c r="L74" s="491"/>
      <c r="M74" s="491"/>
      <c r="N74" s="491"/>
      <c r="O74" s="491"/>
      <c r="P74" s="491"/>
      <c r="Q74" s="491"/>
      <c r="R74" s="491"/>
      <c r="S74" s="492"/>
      <c r="T74" s="493">
        <v>42901</v>
      </c>
      <c r="U74" s="494"/>
      <c r="V74" s="495"/>
      <c r="W74" s="495"/>
      <c r="X74" s="496"/>
      <c r="Y74" s="496"/>
      <c r="Z74" s="496"/>
      <c r="AA74" s="496"/>
      <c r="AB74" s="496"/>
      <c r="AC74" s="496"/>
      <c r="AD74" s="497"/>
      <c r="AF74" s="53"/>
    </row>
    <row r="75" spans="1:32" ht="30" customHeight="1">
      <c r="A75" s="477">
        <f>A74+1</f>
        <v>2</v>
      </c>
      <c r="B75" s="478"/>
      <c r="C75" s="307" t="s">
        <v>118</v>
      </c>
      <c r="D75" s="307"/>
      <c r="E75" s="35" t="s">
        <v>121</v>
      </c>
      <c r="F75" s="478" t="s">
        <v>122</v>
      </c>
      <c r="G75" s="478"/>
      <c r="H75" s="478"/>
      <c r="I75" s="478"/>
      <c r="J75" s="478"/>
      <c r="K75" s="479" t="s">
        <v>123</v>
      </c>
      <c r="L75" s="480"/>
      <c r="M75" s="480"/>
      <c r="N75" s="480"/>
      <c r="O75" s="480"/>
      <c r="P75" s="480"/>
      <c r="Q75" s="480"/>
      <c r="R75" s="480"/>
      <c r="S75" s="481"/>
      <c r="T75" s="482">
        <v>42867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ref="A76:A82" si="12">A75+1</f>
        <v>3</v>
      </c>
      <c r="B76" s="478"/>
      <c r="C76" s="307" t="s">
        <v>144</v>
      </c>
      <c r="D76" s="307"/>
      <c r="E76" s="35" t="s">
        <v>139</v>
      </c>
      <c r="F76" s="478" t="s">
        <v>145</v>
      </c>
      <c r="G76" s="478"/>
      <c r="H76" s="478"/>
      <c r="I76" s="478"/>
      <c r="J76" s="478"/>
      <c r="K76" s="479" t="s">
        <v>120</v>
      </c>
      <c r="L76" s="480"/>
      <c r="M76" s="480"/>
      <c r="N76" s="480"/>
      <c r="O76" s="480"/>
      <c r="P76" s="480"/>
      <c r="Q76" s="480"/>
      <c r="R76" s="480"/>
      <c r="S76" s="481"/>
      <c r="T76" s="482">
        <v>42937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2"/>
        <v>4</v>
      </c>
      <c r="B77" s="478"/>
      <c r="C77" s="307" t="s">
        <v>119</v>
      </c>
      <c r="D77" s="307"/>
      <c r="E77" s="35" t="s">
        <v>137</v>
      </c>
      <c r="F77" s="478" t="s">
        <v>138</v>
      </c>
      <c r="G77" s="478"/>
      <c r="H77" s="478"/>
      <c r="I77" s="478"/>
      <c r="J77" s="478"/>
      <c r="K77" s="479" t="s">
        <v>140</v>
      </c>
      <c r="L77" s="480"/>
      <c r="M77" s="480"/>
      <c r="N77" s="480"/>
      <c r="O77" s="480"/>
      <c r="P77" s="480"/>
      <c r="Q77" s="480"/>
      <c r="R77" s="480"/>
      <c r="S77" s="481"/>
      <c r="T77" s="482">
        <v>42920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2"/>
        <v>5</v>
      </c>
      <c r="B78" s="478"/>
      <c r="C78" s="307"/>
      <c r="D78" s="307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2"/>
        <v>6</v>
      </c>
      <c r="B79" s="478"/>
      <c r="C79" s="307"/>
      <c r="D79" s="307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2"/>
        <v>7</v>
      </c>
      <c r="B80" s="478"/>
      <c r="C80" s="307"/>
      <c r="D80" s="307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2"/>
        <v>8</v>
      </c>
      <c r="B81" s="478"/>
      <c r="C81" s="307"/>
      <c r="D81" s="307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0" customHeight="1">
      <c r="A82" s="477">
        <f t="shared" si="12"/>
        <v>9</v>
      </c>
      <c r="B82" s="478"/>
      <c r="C82" s="307"/>
      <c r="D82" s="307"/>
      <c r="E82" s="35"/>
      <c r="F82" s="478"/>
      <c r="G82" s="478"/>
      <c r="H82" s="478"/>
      <c r="I82" s="478"/>
      <c r="J82" s="478"/>
      <c r="K82" s="479"/>
      <c r="L82" s="480"/>
      <c r="M82" s="480"/>
      <c r="N82" s="480"/>
      <c r="O82" s="480"/>
      <c r="P82" s="480"/>
      <c r="Q82" s="480"/>
      <c r="R82" s="480"/>
      <c r="S82" s="481"/>
      <c r="T82" s="482"/>
      <c r="U82" s="482"/>
      <c r="V82" s="482"/>
      <c r="W82" s="482"/>
      <c r="X82" s="483"/>
      <c r="Y82" s="483"/>
      <c r="Z82" s="483"/>
      <c r="AA82" s="483"/>
      <c r="AB82" s="483"/>
      <c r="AC82" s="483"/>
      <c r="AD82" s="484"/>
      <c r="AF82" s="53"/>
    </row>
    <row r="83" spans="1:32" ht="36" thickBot="1">
      <c r="A83" s="470" t="s">
        <v>817</v>
      </c>
      <c r="B83" s="470"/>
      <c r="C83" s="470"/>
      <c r="D83" s="470"/>
      <c r="E83" s="470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98" t="s">
        <v>37</v>
      </c>
      <c r="B84" s="499"/>
      <c r="C84" s="499" t="s">
        <v>53</v>
      </c>
      <c r="D84" s="499"/>
      <c r="E84" s="499" t="s">
        <v>54</v>
      </c>
      <c r="F84" s="499"/>
      <c r="G84" s="499"/>
      <c r="H84" s="499"/>
      <c r="I84" s="499"/>
      <c r="J84" s="499"/>
      <c r="K84" s="499" t="s">
        <v>55</v>
      </c>
      <c r="L84" s="499"/>
      <c r="M84" s="499"/>
      <c r="N84" s="499"/>
      <c r="O84" s="499"/>
      <c r="P84" s="499"/>
      <c r="Q84" s="499"/>
      <c r="R84" s="499"/>
      <c r="S84" s="499"/>
      <c r="T84" s="499" t="s">
        <v>56</v>
      </c>
      <c r="U84" s="499"/>
      <c r="V84" s="499" t="s">
        <v>57</v>
      </c>
      <c r="W84" s="499"/>
      <c r="X84" s="499"/>
      <c r="Y84" s="499" t="s">
        <v>52</v>
      </c>
      <c r="Z84" s="499"/>
      <c r="AA84" s="499"/>
      <c r="AB84" s="499"/>
      <c r="AC84" s="499"/>
      <c r="AD84" s="500"/>
      <c r="AF84" s="53"/>
    </row>
    <row r="85" spans="1:32" ht="30.75" customHeight="1">
      <c r="A85" s="485">
        <v>1</v>
      </c>
      <c r="B85" s="486"/>
      <c r="C85" s="501">
        <v>1</v>
      </c>
      <c r="D85" s="501"/>
      <c r="E85" s="501" t="s">
        <v>129</v>
      </c>
      <c r="F85" s="501"/>
      <c r="G85" s="501"/>
      <c r="H85" s="501"/>
      <c r="I85" s="501"/>
      <c r="J85" s="501"/>
      <c r="K85" s="501" t="s">
        <v>130</v>
      </c>
      <c r="L85" s="501"/>
      <c r="M85" s="501"/>
      <c r="N85" s="501"/>
      <c r="O85" s="501"/>
      <c r="P85" s="501"/>
      <c r="Q85" s="501"/>
      <c r="R85" s="501"/>
      <c r="S85" s="501"/>
      <c r="T85" s="501" t="s">
        <v>131</v>
      </c>
      <c r="U85" s="501"/>
      <c r="V85" s="502">
        <v>1500000</v>
      </c>
      <c r="W85" s="502"/>
      <c r="X85" s="502"/>
      <c r="Y85" s="503" t="s">
        <v>132</v>
      </c>
      <c r="Z85" s="503"/>
      <c r="AA85" s="503"/>
      <c r="AB85" s="503"/>
      <c r="AC85" s="503"/>
      <c r="AD85" s="504"/>
      <c r="AF85" s="53"/>
    </row>
    <row r="86" spans="1:32" ht="30.75" customHeight="1">
      <c r="A86" s="477">
        <v>2</v>
      </c>
      <c r="B86" s="478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512"/>
      <c r="R86" s="512"/>
      <c r="S86" s="512"/>
      <c r="T86" s="513"/>
      <c r="U86" s="513"/>
      <c r="V86" s="514"/>
      <c r="W86" s="514"/>
      <c r="X86" s="514"/>
      <c r="Y86" s="505"/>
      <c r="Z86" s="505"/>
      <c r="AA86" s="505"/>
      <c r="AB86" s="505"/>
      <c r="AC86" s="505"/>
      <c r="AD86" s="506"/>
      <c r="AF86" s="53"/>
    </row>
    <row r="87" spans="1:32" ht="30.75" customHeight="1" thickBot="1">
      <c r="A87" s="507">
        <v>3</v>
      </c>
      <c r="B87" s="508"/>
      <c r="C87" s="509"/>
      <c r="D87" s="509"/>
      <c r="E87" s="509"/>
      <c r="F87" s="509"/>
      <c r="G87" s="509"/>
      <c r="H87" s="509"/>
      <c r="I87" s="509"/>
      <c r="J87" s="509"/>
      <c r="K87" s="509"/>
      <c r="L87" s="509"/>
      <c r="M87" s="509"/>
      <c r="N87" s="509"/>
      <c r="O87" s="509"/>
      <c r="P87" s="509"/>
      <c r="Q87" s="509"/>
      <c r="R87" s="509"/>
      <c r="S87" s="509"/>
      <c r="T87" s="509"/>
      <c r="U87" s="509"/>
      <c r="V87" s="509"/>
      <c r="W87" s="509"/>
      <c r="X87" s="509"/>
      <c r="Y87" s="510"/>
      <c r="Z87" s="510"/>
      <c r="AA87" s="510"/>
      <c r="AB87" s="510"/>
      <c r="AC87" s="510"/>
      <c r="AD87" s="511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J88"/>
  <sheetViews>
    <sheetView zoomScale="72" zoomScaleNormal="72" zoomScaleSheetLayoutView="70" workbookViewId="0">
      <selection activeCell="E17" sqref="E1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04" t="s">
        <v>818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2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318" t="s">
        <v>17</v>
      </c>
      <c r="L5" s="318" t="s">
        <v>18</v>
      </c>
      <c r="M5" s="318" t="s">
        <v>19</v>
      </c>
      <c r="N5" s="31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2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>$AD$23</f>
        <v>0.64576032793441651</v>
      </c>
      <c r="AF6" s="94">
        <f t="shared" ref="AF6:AF22" si="7">A6</f>
        <v>1</v>
      </c>
    </row>
    <row r="7" spans="1:32" ht="27" customHeight="1">
      <c r="A7" s="108">
        <v>2</v>
      </c>
      <c r="B7" s="11" t="s">
        <v>164</v>
      </c>
      <c r="C7" s="37" t="s">
        <v>119</v>
      </c>
      <c r="D7" s="55" t="s">
        <v>151</v>
      </c>
      <c r="E7" s="57" t="s">
        <v>519</v>
      </c>
      <c r="F7" s="33" t="s">
        <v>133</v>
      </c>
      <c r="G7" s="12">
        <v>1</v>
      </c>
      <c r="H7" s="13">
        <v>25</v>
      </c>
      <c r="I7" s="34">
        <v>40000</v>
      </c>
      <c r="J7" s="5">
        <v>4690</v>
      </c>
      <c r="K7" s="15">
        <f>L7+2045+4660+4937+3956+4522+4665+4652</f>
        <v>34121</v>
      </c>
      <c r="L7" s="15">
        <f>2454+2230</f>
        <v>4684</v>
      </c>
      <c r="M7" s="16">
        <f t="shared" si="0"/>
        <v>4684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0.99872068230277189</v>
      </c>
      <c r="AC7" s="9">
        <f t="shared" si="5"/>
        <v>1</v>
      </c>
      <c r="AD7" s="10">
        <f t="shared" si="6"/>
        <v>0.99872068230277189</v>
      </c>
      <c r="AE7" s="39">
        <f>$AD$23</f>
        <v>0.64576032793441651</v>
      </c>
      <c r="AF7" s="94">
        <f t="shared" si="7"/>
        <v>2</v>
      </c>
    </row>
    <row r="8" spans="1:32" ht="27" customHeight="1">
      <c r="A8" s="109">
        <v>3</v>
      </c>
      <c r="B8" s="11" t="s">
        <v>164</v>
      </c>
      <c r="C8" s="11" t="s">
        <v>754</v>
      </c>
      <c r="D8" s="55" t="s">
        <v>755</v>
      </c>
      <c r="E8" s="56" t="s">
        <v>756</v>
      </c>
      <c r="F8" s="12" t="s">
        <v>757</v>
      </c>
      <c r="G8" s="36" t="s">
        <v>764</v>
      </c>
      <c r="H8" s="38">
        <v>25</v>
      </c>
      <c r="I8" s="7">
        <v>3200</v>
      </c>
      <c r="J8" s="14">
        <v>1020</v>
      </c>
      <c r="K8" s="15">
        <f>L8+2808</f>
        <v>3825</v>
      </c>
      <c r="L8" s="15">
        <v>1017</v>
      </c>
      <c r="M8" s="16">
        <f t="shared" si="0"/>
        <v>1017</v>
      </c>
      <c r="N8" s="16">
        <v>0</v>
      </c>
      <c r="O8" s="62">
        <f t="shared" si="1"/>
        <v>0</v>
      </c>
      <c r="P8" s="42">
        <f t="shared" si="2"/>
        <v>9</v>
      </c>
      <c r="Q8" s="43">
        <f t="shared" si="3"/>
        <v>15</v>
      </c>
      <c r="R8" s="7"/>
      <c r="S8" s="6"/>
      <c r="T8" s="17"/>
      <c r="U8" s="17"/>
      <c r="V8" s="18"/>
      <c r="W8" s="19">
        <v>15</v>
      </c>
      <c r="X8" s="17"/>
      <c r="Y8" s="20"/>
      <c r="Z8" s="20"/>
      <c r="AA8" s="21"/>
      <c r="AB8" s="8">
        <f t="shared" si="4"/>
        <v>0.99705882352941178</v>
      </c>
      <c r="AC8" s="9">
        <f t="shared" si="5"/>
        <v>0.375</v>
      </c>
      <c r="AD8" s="10">
        <f t="shared" si="6"/>
        <v>0.37389705882352942</v>
      </c>
      <c r="AE8" s="39">
        <f>$AD$23</f>
        <v>0.64576032793441651</v>
      </c>
      <c r="AF8" s="94">
        <f>A8</f>
        <v>3</v>
      </c>
    </row>
    <row r="9" spans="1:32" ht="27" customHeight="1">
      <c r="A9" s="109">
        <v>3</v>
      </c>
      <c r="B9" s="11" t="s">
        <v>164</v>
      </c>
      <c r="C9" s="11" t="s">
        <v>819</v>
      </c>
      <c r="D9" s="55" t="s">
        <v>820</v>
      </c>
      <c r="E9" s="56" t="s">
        <v>821</v>
      </c>
      <c r="F9" s="12" t="s">
        <v>822</v>
      </c>
      <c r="G9" s="36">
        <v>1</v>
      </c>
      <c r="H9" s="38">
        <v>25</v>
      </c>
      <c r="I9" s="7">
        <v>50000</v>
      </c>
      <c r="J9" s="14">
        <v>2810</v>
      </c>
      <c r="K9" s="15">
        <f>L9</f>
        <v>2810</v>
      </c>
      <c r="L9" s="15">
        <f>2300+510</f>
        <v>2810</v>
      </c>
      <c r="M9" s="16">
        <f t="shared" ref="M9" si="8">L9-N9</f>
        <v>2810</v>
      </c>
      <c r="N9" s="16">
        <v>0</v>
      </c>
      <c r="O9" s="62">
        <f t="shared" ref="O9" si="9">IF(L9=0,"0",N9/L9)</f>
        <v>0</v>
      </c>
      <c r="P9" s="42">
        <f t="shared" ref="P9" si="10">IF(L9=0,"0",(24-Q9))</f>
        <v>14</v>
      </c>
      <c r="Q9" s="43">
        <f t="shared" ref="Q9" si="11">SUM(R9:AA9)</f>
        <v>10</v>
      </c>
      <c r="R9" s="7"/>
      <c r="S9" s="6"/>
      <c r="T9" s="17">
        <v>10</v>
      </c>
      <c r="U9" s="17"/>
      <c r="V9" s="18"/>
      <c r="W9" s="19"/>
      <c r="X9" s="17"/>
      <c r="Y9" s="20"/>
      <c r="Z9" s="20"/>
      <c r="AA9" s="21"/>
      <c r="AB9" s="8">
        <f t="shared" ref="AB9" si="12">IF(J9=0,"0",(L9/J9))</f>
        <v>1</v>
      </c>
      <c r="AC9" s="9">
        <f t="shared" ref="AC9" si="13">IF(P9=0,"0",(P9/24))</f>
        <v>0.58333333333333337</v>
      </c>
      <c r="AD9" s="10">
        <f t="shared" ref="AD9" si="14">AC9*AB9*(1-O9)</f>
        <v>0.58333333333333337</v>
      </c>
      <c r="AE9" s="39">
        <f>$AD$23</f>
        <v>0.64576032793441651</v>
      </c>
      <c r="AF9" s="94">
        <f>A9</f>
        <v>3</v>
      </c>
    </row>
    <row r="10" spans="1:32" ht="27" customHeight="1">
      <c r="A10" s="110">
        <v>4</v>
      </c>
      <c r="B10" s="11" t="s">
        <v>164</v>
      </c>
      <c r="C10" s="11" t="s">
        <v>119</v>
      </c>
      <c r="D10" s="55" t="s">
        <v>150</v>
      </c>
      <c r="E10" s="56" t="s">
        <v>521</v>
      </c>
      <c r="F10" s="12" t="s">
        <v>213</v>
      </c>
      <c r="G10" s="36">
        <v>1</v>
      </c>
      <c r="H10" s="38">
        <v>25</v>
      </c>
      <c r="I10" s="34">
        <v>40000</v>
      </c>
      <c r="J10" s="5">
        <v>5670</v>
      </c>
      <c r="K10" s="15">
        <f>L10+2467+4801+5657+3590+5665+5865+3696</f>
        <v>37408</v>
      </c>
      <c r="L10" s="15">
        <f>2966+2701</f>
        <v>5667</v>
      </c>
      <c r="M10" s="16">
        <f t="shared" si="0"/>
        <v>5667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0.99947089947089951</v>
      </c>
      <c r="AC10" s="9">
        <f t="shared" si="5"/>
        <v>1</v>
      </c>
      <c r="AD10" s="10">
        <f t="shared" si="6"/>
        <v>0.99947089947089951</v>
      </c>
      <c r="AE10" s="39">
        <f>$AD$23</f>
        <v>0.64576032793441651</v>
      </c>
      <c r="AF10" s="94">
        <f t="shared" si="7"/>
        <v>4</v>
      </c>
    </row>
    <row r="11" spans="1:32" ht="27" customHeight="1">
      <c r="A11" s="110">
        <v>5</v>
      </c>
      <c r="B11" s="11" t="s">
        <v>59</v>
      </c>
      <c r="C11" s="11" t="s">
        <v>758</v>
      </c>
      <c r="D11" s="55" t="s">
        <v>759</v>
      </c>
      <c r="E11" s="57" t="s">
        <v>760</v>
      </c>
      <c r="F11" s="12">
        <v>7301</v>
      </c>
      <c r="G11" s="12">
        <v>1</v>
      </c>
      <c r="H11" s="13">
        <v>25</v>
      </c>
      <c r="I11" s="34">
        <v>25000</v>
      </c>
      <c r="J11" s="14">
        <v>5440</v>
      </c>
      <c r="K11" s="15">
        <f>L11+2754</f>
        <v>8193</v>
      </c>
      <c r="L11" s="15">
        <f>2805+2634</f>
        <v>5439</v>
      </c>
      <c r="M11" s="16">
        <f t="shared" si="0"/>
        <v>5439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0.99981617647058818</v>
      </c>
      <c r="AC11" s="9">
        <f t="shared" si="5"/>
        <v>1</v>
      </c>
      <c r="AD11" s="10">
        <f t="shared" si="6"/>
        <v>0.99981617647058818</v>
      </c>
      <c r="AE11" s="39">
        <f t="shared" ref="AE11:AE16" si="15">$AD$23</f>
        <v>0.64576032793441651</v>
      </c>
      <c r="AF11" s="94">
        <f t="shared" si="7"/>
        <v>5</v>
      </c>
    </row>
    <row r="12" spans="1:32" ht="27" customHeight="1">
      <c r="A12" s="110">
        <v>6</v>
      </c>
      <c r="B12" s="11" t="s">
        <v>59</v>
      </c>
      <c r="C12" s="11" t="s">
        <v>765</v>
      </c>
      <c r="D12" s="55" t="s">
        <v>766</v>
      </c>
      <c r="E12" s="57" t="s">
        <v>767</v>
      </c>
      <c r="F12" s="12" t="s">
        <v>768</v>
      </c>
      <c r="G12" s="12">
        <v>1</v>
      </c>
      <c r="H12" s="13">
        <v>35</v>
      </c>
      <c r="I12" s="34">
        <v>500</v>
      </c>
      <c r="J12" s="14">
        <v>710</v>
      </c>
      <c r="K12" s="15">
        <f>L12</f>
        <v>707</v>
      </c>
      <c r="L12" s="15">
        <v>707</v>
      </c>
      <c r="M12" s="16">
        <f t="shared" si="0"/>
        <v>707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/>
      <c r="W12" s="19">
        <v>14</v>
      </c>
      <c r="X12" s="17"/>
      <c r="Y12" s="20"/>
      <c r="Z12" s="20"/>
      <c r="AA12" s="21"/>
      <c r="AB12" s="8">
        <f t="shared" si="4"/>
        <v>0.99577464788732395</v>
      </c>
      <c r="AC12" s="9">
        <f t="shared" si="5"/>
        <v>0.41666666666666669</v>
      </c>
      <c r="AD12" s="10">
        <f t="shared" si="6"/>
        <v>0.414906103286385</v>
      </c>
      <c r="AE12" s="39">
        <f t="shared" si="15"/>
        <v>0.64576032793441651</v>
      </c>
      <c r="AF12" s="94">
        <f t="shared" si="7"/>
        <v>6</v>
      </c>
    </row>
    <row r="13" spans="1:32" ht="27" customHeight="1">
      <c r="A13" s="110">
        <v>6</v>
      </c>
      <c r="B13" s="11" t="s">
        <v>59</v>
      </c>
      <c r="C13" s="11" t="s">
        <v>754</v>
      </c>
      <c r="D13" s="55" t="s">
        <v>761</v>
      </c>
      <c r="E13" s="56" t="s">
        <v>762</v>
      </c>
      <c r="F13" s="12" t="s">
        <v>757</v>
      </c>
      <c r="G13" s="12">
        <v>1</v>
      </c>
      <c r="H13" s="13">
        <v>25</v>
      </c>
      <c r="I13" s="7">
        <v>3200</v>
      </c>
      <c r="J13" s="14">
        <v>2570</v>
      </c>
      <c r="K13" s="15">
        <f>L13+1096</f>
        <v>3659</v>
      </c>
      <c r="L13" s="15">
        <v>2563</v>
      </c>
      <c r="M13" s="16">
        <f t="shared" ref="M13:M14" si="16">L13-N13</f>
        <v>2563</v>
      </c>
      <c r="N13" s="16">
        <v>0</v>
      </c>
      <c r="O13" s="62">
        <f t="shared" ref="O13:O14" si="17">IF(L13=0,"0",N13/L13)</f>
        <v>0</v>
      </c>
      <c r="P13" s="42">
        <f t="shared" ref="P13:P14" si="18">IF(L13=0,"0",(24-Q13))</f>
        <v>12</v>
      </c>
      <c r="Q13" s="43">
        <f t="shared" ref="Q13:Q14" si="19">SUM(R13:AA13)</f>
        <v>12</v>
      </c>
      <c r="R13" s="7"/>
      <c r="S13" s="6"/>
      <c r="T13" s="17"/>
      <c r="U13" s="17"/>
      <c r="V13" s="18"/>
      <c r="W13" s="19">
        <v>12</v>
      </c>
      <c r="X13" s="17"/>
      <c r="Y13" s="20"/>
      <c r="Z13" s="20"/>
      <c r="AA13" s="21"/>
      <c r="AB13" s="8">
        <f t="shared" ref="AB13:AB14" si="20">IF(J13=0,"0",(L13/J13))</f>
        <v>0.9972762645914397</v>
      </c>
      <c r="AC13" s="9">
        <f t="shared" ref="AC13:AC14" si="21">IF(P13=0,"0",(P13/24))</f>
        <v>0.5</v>
      </c>
      <c r="AD13" s="10">
        <f t="shared" ref="AD13:AD14" si="22">AC13*AB13*(1-O13)</f>
        <v>0.49863813229571985</v>
      </c>
      <c r="AE13" s="39">
        <f t="shared" si="15"/>
        <v>0.64576032793441651</v>
      </c>
      <c r="AF13" s="94">
        <f t="shared" ref="AF13:AF14" si="23">A13</f>
        <v>6</v>
      </c>
    </row>
    <row r="14" spans="1:32" ht="27" customHeight="1">
      <c r="A14" s="110">
        <v>7</v>
      </c>
      <c r="B14" s="11" t="s">
        <v>59</v>
      </c>
      <c r="C14" s="11" t="s">
        <v>228</v>
      </c>
      <c r="D14" s="55" t="s">
        <v>294</v>
      </c>
      <c r="E14" s="57" t="s">
        <v>295</v>
      </c>
      <c r="F14" s="12" t="s">
        <v>167</v>
      </c>
      <c r="G14" s="12">
        <v>1</v>
      </c>
      <c r="H14" s="13">
        <v>25</v>
      </c>
      <c r="I14" s="7">
        <v>35000</v>
      </c>
      <c r="J14" s="14">
        <v>2920</v>
      </c>
      <c r="K14" s="15">
        <f>L14+3048+3908+1500+3674+4638+4098+3327+1990</f>
        <v>29102</v>
      </c>
      <c r="L14" s="15">
        <f>2476+443</f>
        <v>2919</v>
      </c>
      <c r="M14" s="16">
        <f t="shared" si="16"/>
        <v>2919</v>
      </c>
      <c r="N14" s="16">
        <v>0</v>
      </c>
      <c r="O14" s="62">
        <f t="shared" si="17"/>
        <v>0</v>
      </c>
      <c r="P14" s="42">
        <f t="shared" si="18"/>
        <v>20</v>
      </c>
      <c r="Q14" s="43">
        <f t="shared" si="19"/>
        <v>4</v>
      </c>
      <c r="R14" s="7"/>
      <c r="S14" s="6">
        <v>4</v>
      </c>
      <c r="T14" s="17"/>
      <c r="U14" s="17"/>
      <c r="V14" s="18"/>
      <c r="W14" s="19"/>
      <c r="X14" s="17"/>
      <c r="Y14" s="20"/>
      <c r="Z14" s="20"/>
      <c r="AA14" s="21"/>
      <c r="AB14" s="8">
        <f t="shared" si="20"/>
        <v>0.99965753424657533</v>
      </c>
      <c r="AC14" s="9">
        <f t="shared" si="21"/>
        <v>0.83333333333333337</v>
      </c>
      <c r="AD14" s="10">
        <f t="shared" si="22"/>
        <v>0.83304794520547953</v>
      </c>
      <c r="AE14" s="39">
        <f t="shared" si="15"/>
        <v>0.64576032793441651</v>
      </c>
      <c r="AF14" s="94">
        <f t="shared" si="23"/>
        <v>7</v>
      </c>
    </row>
    <row r="15" spans="1:32" ht="27" customHeight="1">
      <c r="A15" s="110">
        <v>8</v>
      </c>
      <c r="B15" s="11" t="s">
        <v>59</v>
      </c>
      <c r="C15" s="11" t="s">
        <v>228</v>
      </c>
      <c r="D15" s="55" t="s">
        <v>823</v>
      </c>
      <c r="E15" s="57" t="s">
        <v>824</v>
      </c>
      <c r="F15" s="12">
        <v>7301</v>
      </c>
      <c r="G15" s="12">
        <v>1</v>
      </c>
      <c r="H15" s="13">
        <v>25</v>
      </c>
      <c r="I15" s="7">
        <v>6000</v>
      </c>
      <c r="J15" s="14">
        <v>1450</v>
      </c>
      <c r="K15" s="15">
        <f>L15</f>
        <v>1142</v>
      </c>
      <c r="L15" s="15">
        <v>1142</v>
      </c>
      <c r="M15" s="16">
        <f t="shared" si="0"/>
        <v>1142</v>
      </c>
      <c r="N15" s="16">
        <v>0</v>
      </c>
      <c r="O15" s="62">
        <f t="shared" si="1"/>
        <v>0</v>
      </c>
      <c r="P15" s="42">
        <f t="shared" si="2"/>
        <v>6</v>
      </c>
      <c r="Q15" s="43">
        <f t="shared" si="3"/>
        <v>18</v>
      </c>
      <c r="R15" s="7"/>
      <c r="S15" s="6">
        <v>18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0.78758620689655168</v>
      </c>
      <c r="AC15" s="9">
        <f t="shared" si="5"/>
        <v>0.25</v>
      </c>
      <c r="AD15" s="10">
        <f t="shared" si="6"/>
        <v>0.19689655172413792</v>
      </c>
      <c r="AE15" s="39">
        <f t="shared" si="15"/>
        <v>0.64576032793441651</v>
      </c>
      <c r="AF15" s="94">
        <f t="shared" si="7"/>
        <v>8</v>
      </c>
    </row>
    <row r="16" spans="1:32" ht="27" customHeight="1">
      <c r="A16" s="109">
        <v>9</v>
      </c>
      <c r="B16" s="11" t="s">
        <v>59</v>
      </c>
      <c r="C16" s="37" t="s">
        <v>118</v>
      </c>
      <c r="D16" s="55" t="s">
        <v>58</v>
      </c>
      <c r="E16" s="57" t="s">
        <v>632</v>
      </c>
      <c r="F16" s="33" t="s">
        <v>633</v>
      </c>
      <c r="G16" s="36">
        <v>1</v>
      </c>
      <c r="H16" s="38">
        <v>40</v>
      </c>
      <c r="I16" s="7">
        <v>500</v>
      </c>
      <c r="J16" s="5">
        <v>300</v>
      </c>
      <c r="K16" s="15">
        <f>L16</f>
        <v>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>
        <v>24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15"/>
        <v>0.64576032793441651</v>
      </c>
      <c r="AF16" s="94">
        <f t="shared" si="7"/>
        <v>9</v>
      </c>
    </row>
    <row r="17" spans="1:36" ht="27" customHeight="1">
      <c r="A17" s="109">
        <v>10</v>
      </c>
      <c r="B17" s="11" t="s">
        <v>59</v>
      </c>
      <c r="C17" s="11" t="s">
        <v>141</v>
      </c>
      <c r="D17" s="55" t="s">
        <v>137</v>
      </c>
      <c r="E17" s="57" t="s">
        <v>334</v>
      </c>
      <c r="F17" s="12" t="s">
        <v>143</v>
      </c>
      <c r="G17" s="12">
        <v>1</v>
      </c>
      <c r="H17" s="13">
        <v>25</v>
      </c>
      <c r="I17" s="34">
        <v>650</v>
      </c>
      <c r="J17" s="14">
        <v>910</v>
      </c>
      <c r="K17" s="15">
        <f>L17+903</f>
        <v>903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ref="AE17:AE22" si="24">$AD$23</f>
        <v>0.64576032793441651</v>
      </c>
      <c r="AF17" s="94">
        <f t="shared" si="7"/>
        <v>10</v>
      </c>
    </row>
    <row r="18" spans="1:36" ht="27.75" customHeight="1">
      <c r="A18" s="109">
        <v>11</v>
      </c>
      <c r="B18" s="11" t="s">
        <v>59</v>
      </c>
      <c r="C18" s="11" t="s">
        <v>118</v>
      </c>
      <c r="D18" s="55" t="s">
        <v>823</v>
      </c>
      <c r="E18" s="56" t="s">
        <v>825</v>
      </c>
      <c r="F18" s="12">
        <v>7301</v>
      </c>
      <c r="G18" s="36">
        <v>1</v>
      </c>
      <c r="H18" s="38">
        <v>25</v>
      </c>
      <c r="I18" s="7">
        <v>2000</v>
      </c>
      <c r="J18" s="14">
        <v>2850</v>
      </c>
      <c r="K18" s="15">
        <f>L18</f>
        <v>2842</v>
      </c>
      <c r="L18" s="15">
        <f>2245+597</f>
        <v>2842</v>
      </c>
      <c r="M18" s="16">
        <f t="shared" si="0"/>
        <v>2842</v>
      </c>
      <c r="N18" s="16">
        <v>0</v>
      </c>
      <c r="O18" s="62">
        <f t="shared" si="1"/>
        <v>0</v>
      </c>
      <c r="P18" s="42">
        <f t="shared" si="2"/>
        <v>14</v>
      </c>
      <c r="Q18" s="43">
        <f t="shared" si="3"/>
        <v>10</v>
      </c>
      <c r="R18" s="7"/>
      <c r="S18" s="6"/>
      <c r="T18" s="17"/>
      <c r="U18" s="17"/>
      <c r="V18" s="18"/>
      <c r="W18" s="19">
        <v>10</v>
      </c>
      <c r="X18" s="17"/>
      <c r="Y18" s="20"/>
      <c r="Z18" s="20"/>
      <c r="AA18" s="21"/>
      <c r="AB18" s="8">
        <f t="shared" si="4"/>
        <v>0.9971929824561403</v>
      </c>
      <c r="AC18" s="9">
        <f t="shared" si="5"/>
        <v>0.58333333333333337</v>
      </c>
      <c r="AD18" s="10">
        <f t="shared" si="6"/>
        <v>0.58169590643274849</v>
      </c>
      <c r="AE18" s="39">
        <f t="shared" si="24"/>
        <v>0.64576032793441651</v>
      </c>
      <c r="AF18" s="94">
        <f>A18</f>
        <v>11</v>
      </c>
      <c r="AJ18" s="15"/>
    </row>
    <row r="19" spans="1:36" ht="27" customHeight="1">
      <c r="A19" s="109">
        <v>12</v>
      </c>
      <c r="B19" s="11" t="s">
        <v>59</v>
      </c>
      <c r="C19" s="37" t="s">
        <v>754</v>
      </c>
      <c r="D19" s="55" t="s">
        <v>809</v>
      </c>
      <c r="E19" s="56" t="s">
        <v>806</v>
      </c>
      <c r="F19" s="12">
        <v>8301</v>
      </c>
      <c r="G19" s="12">
        <v>1</v>
      </c>
      <c r="H19" s="13">
        <v>25</v>
      </c>
      <c r="I19" s="34">
        <v>2000</v>
      </c>
      <c r="J19" s="5">
        <v>2110</v>
      </c>
      <c r="K19" s="15">
        <f>L19</f>
        <v>2110</v>
      </c>
      <c r="L19" s="15">
        <f>1267+843</f>
        <v>2110</v>
      </c>
      <c r="M19" s="16">
        <f t="shared" si="0"/>
        <v>2110</v>
      </c>
      <c r="N19" s="16">
        <v>0</v>
      </c>
      <c r="O19" s="62">
        <f t="shared" si="1"/>
        <v>0</v>
      </c>
      <c r="P19" s="42">
        <f t="shared" si="2"/>
        <v>12</v>
      </c>
      <c r="Q19" s="43">
        <f t="shared" si="3"/>
        <v>12</v>
      </c>
      <c r="R19" s="7"/>
      <c r="S19" s="6"/>
      <c r="T19" s="17"/>
      <c r="U19" s="17"/>
      <c r="V19" s="18"/>
      <c r="W19" s="19">
        <v>12</v>
      </c>
      <c r="X19" s="17"/>
      <c r="Y19" s="20"/>
      <c r="Z19" s="20"/>
      <c r="AA19" s="21"/>
      <c r="AB19" s="8">
        <f t="shared" si="4"/>
        <v>1</v>
      </c>
      <c r="AC19" s="9">
        <f t="shared" si="5"/>
        <v>0.5</v>
      </c>
      <c r="AD19" s="10">
        <f t="shared" si="6"/>
        <v>0.5</v>
      </c>
      <c r="AE19" s="39">
        <f t="shared" si="24"/>
        <v>0.64576032793441651</v>
      </c>
      <c r="AF19" s="94">
        <f t="shared" si="7"/>
        <v>12</v>
      </c>
    </row>
    <row r="20" spans="1:36" ht="27" customHeight="1">
      <c r="A20" s="110">
        <v>13</v>
      </c>
      <c r="B20" s="11" t="s">
        <v>59</v>
      </c>
      <c r="C20" s="37" t="s">
        <v>550</v>
      </c>
      <c r="D20" s="55" t="s">
        <v>570</v>
      </c>
      <c r="E20" s="57" t="s">
        <v>217</v>
      </c>
      <c r="F20" s="33" t="s">
        <v>218</v>
      </c>
      <c r="G20" s="12">
        <v>1</v>
      </c>
      <c r="H20" s="13">
        <v>25</v>
      </c>
      <c r="I20" s="34">
        <v>35000</v>
      </c>
      <c r="J20" s="5">
        <v>5300</v>
      </c>
      <c r="K20" s="15">
        <f>L20+2973+3499+4604+5292+5636+3871</f>
        <v>31175</v>
      </c>
      <c r="L20" s="15">
        <f>2771+2529</f>
        <v>5300</v>
      </c>
      <c r="M20" s="16">
        <f t="shared" si="0"/>
        <v>5300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1</v>
      </c>
      <c r="AD20" s="10">
        <f t="shared" si="6"/>
        <v>1</v>
      </c>
      <c r="AE20" s="39">
        <f t="shared" si="24"/>
        <v>0.64576032793441651</v>
      </c>
      <c r="AF20" s="94">
        <f t="shared" si="7"/>
        <v>13</v>
      </c>
    </row>
    <row r="21" spans="1:36" ht="27" customHeight="1">
      <c r="A21" s="110">
        <v>14</v>
      </c>
      <c r="B21" s="11" t="s">
        <v>59</v>
      </c>
      <c r="C21" s="37" t="s">
        <v>119</v>
      </c>
      <c r="D21" s="55" t="s">
        <v>58</v>
      </c>
      <c r="E21" s="57" t="s">
        <v>134</v>
      </c>
      <c r="F21" s="33" t="s">
        <v>136</v>
      </c>
      <c r="G21" s="36">
        <v>1</v>
      </c>
      <c r="H21" s="38">
        <v>25</v>
      </c>
      <c r="I21" s="7">
        <v>40000</v>
      </c>
      <c r="J21" s="5">
        <v>4880</v>
      </c>
      <c r="K21" s="15">
        <f>L21+4891+5116+437+4687+2909+3071+5068+4913+4197+4697+5124+3217+5101</f>
        <v>58304</v>
      </c>
      <c r="L21" s="15">
        <f>2418+2458</f>
        <v>4876</v>
      </c>
      <c r="M21" s="16">
        <f t="shared" si="0"/>
        <v>4876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0.99918032786885247</v>
      </c>
      <c r="AC21" s="9">
        <f t="shared" si="5"/>
        <v>1</v>
      </c>
      <c r="AD21" s="10">
        <f t="shared" si="6"/>
        <v>0.99918032786885247</v>
      </c>
      <c r="AE21" s="39">
        <f t="shared" si="24"/>
        <v>0.64576032793441651</v>
      </c>
      <c r="AF21" s="94">
        <f t="shared" si="7"/>
        <v>14</v>
      </c>
    </row>
    <row r="22" spans="1:36" ht="27" customHeight="1" thickBot="1">
      <c r="A22" s="110">
        <v>15</v>
      </c>
      <c r="B22" s="11" t="s">
        <v>59</v>
      </c>
      <c r="C22" s="11" t="s">
        <v>116</v>
      </c>
      <c r="D22" s="55"/>
      <c r="E22" s="56" t="s">
        <v>599</v>
      </c>
      <c r="F22" s="12" t="s">
        <v>117</v>
      </c>
      <c r="G22" s="12">
        <v>4</v>
      </c>
      <c r="H22" s="38">
        <v>20</v>
      </c>
      <c r="I22" s="7">
        <v>200000</v>
      </c>
      <c r="J22" s="14">
        <v>33300</v>
      </c>
      <c r="K22" s="15">
        <f>L22+50220+52380+58428+58872+64080</f>
        <v>317208</v>
      </c>
      <c r="L22" s="15">
        <f>1437*4+6870*4</f>
        <v>33228</v>
      </c>
      <c r="M22" s="16">
        <f t="shared" si="0"/>
        <v>33228</v>
      </c>
      <c r="N22" s="16">
        <v>0</v>
      </c>
      <c r="O22" s="62">
        <f t="shared" si="1"/>
        <v>0</v>
      </c>
      <c r="P22" s="42">
        <f t="shared" si="2"/>
        <v>17</v>
      </c>
      <c r="Q22" s="43">
        <f t="shared" si="3"/>
        <v>7</v>
      </c>
      <c r="R22" s="7"/>
      <c r="S22" s="6"/>
      <c r="T22" s="17"/>
      <c r="U22" s="17"/>
      <c r="V22" s="18"/>
      <c r="W22" s="19">
        <v>7</v>
      </c>
      <c r="X22" s="17"/>
      <c r="Y22" s="20"/>
      <c r="Z22" s="20"/>
      <c r="AA22" s="21"/>
      <c r="AB22" s="8">
        <f t="shared" si="4"/>
        <v>0.99783783783783786</v>
      </c>
      <c r="AC22" s="9">
        <f t="shared" si="5"/>
        <v>0.70833333333333337</v>
      </c>
      <c r="AD22" s="10">
        <f t="shared" si="6"/>
        <v>0.70680180180180185</v>
      </c>
      <c r="AE22" s="39">
        <f t="shared" si="24"/>
        <v>0.64576032793441651</v>
      </c>
      <c r="AF22" s="94">
        <f t="shared" si="7"/>
        <v>15</v>
      </c>
    </row>
    <row r="23" spans="1:36" ht="31.5" customHeight="1" thickBot="1">
      <c r="A23" s="418" t="s">
        <v>34</v>
      </c>
      <c r="B23" s="419"/>
      <c r="C23" s="419"/>
      <c r="D23" s="419"/>
      <c r="E23" s="419"/>
      <c r="F23" s="419"/>
      <c r="G23" s="419"/>
      <c r="H23" s="420"/>
      <c r="I23" s="25">
        <f t="shared" ref="I23:N23" si="25">SUM(I6:I22)</f>
        <v>484050</v>
      </c>
      <c r="J23" s="22">
        <f t="shared" si="25"/>
        <v>78900</v>
      </c>
      <c r="K23" s="23">
        <f t="shared" si="25"/>
        <v>535471</v>
      </c>
      <c r="L23" s="24">
        <f t="shared" si="25"/>
        <v>75304</v>
      </c>
      <c r="M23" s="23">
        <f t="shared" si="25"/>
        <v>75304</v>
      </c>
      <c r="N23" s="24">
        <f t="shared" si="25"/>
        <v>0</v>
      </c>
      <c r="O23" s="44">
        <f t="shared" si="1"/>
        <v>0</v>
      </c>
      <c r="P23" s="45">
        <f t="shared" ref="P23:AA23" si="26">SUM(P6:P22)</f>
        <v>234</v>
      </c>
      <c r="Q23" s="46">
        <f t="shared" si="26"/>
        <v>174</v>
      </c>
      <c r="R23" s="26">
        <f t="shared" si="26"/>
        <v>24</v>
      </c>
      <c r="S23" s="27">
        <f t="shared" si="26"/>
        <v>46</v>
      </c>
      <c r="T23" s="27">
        <f t="shared" si="26"/>
        <v>10</v>
      </c>
      <c r="U23" s="27">
        <f t="shared" si="26"/>
        <v>0</v>
      </c>
      <c r="V23" s="28">
        <f t="shared" si="26"/>
        <v>0</v>
      </c>
      <c r="W23" s="29">
        <f t="shared" si="26"/>
        <v>94</v>
      </c>
      <c r="X23" s="30">
        <f t="shared" si="26"/>
        <v>0</v>
      </c>
      <c r="Y23" s="30">
        <f t="shared" si="26"/>
        <v>0</v>
      </c>
      <c r="Z23" s="30">
        <f t="shared" si="26"/>
        <v>0</v>
      </c>
      <c r="AA23" s="30">
        <f t="shared" si="26"/>
        <v>0</v>
      </c>
      <c r="AB23" s="31">
        <f>SUM(AB6:AB22)/15</f>
        <v>0.91797149223722629</v>
      </c>
      <c r="AC23" s="4">
        <f>SUM(AC6:AC22)/15</f>
        <v>0.65</v>
      </c>
      <c r="AD23" s="4">
        <f>SUM(AD6:AD22)/15</f>
        <v>0.64576032793441651</v>
      </c>
      <c r="AE23" s="32"/>
    </row>
    <row r="25" spans="1:36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21" t="s">
        <v>46</v>
      </c>
      <c r="B50" s="421"/>
      <c r="C50" s="421"/>
      <c r="D50" s="421"/>
      <c r="E50" s="421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22" t="s">
        <v>826</v>
      </c>
      <c r="B51" s="423"/>
      <c r="C51" s="423"/>
      <c r="D51" s="423"/>
      <c r="E51" s="423"/>
      <c r="F51" s="423"/>
      <c r="G51" s="423"/>
      <c r="H51" s="423"/>
      <c r="I51" s="423"/>
      <c r="J51" s="423"/>
      <c r="K51" s="423"/>
      <c r="L51" s="423"/>
      <c r="M51" s="424"/>
      <c r="N51" s="425" t="s">
        <v>838</v>
      </c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6"/>
      <c r="AB51" s="426"/>
      <c r="AC51" s="426"/>
      <c r="AD51" s="427"/>
    </row>
    <row r="52" spans="1:32" ht="27" customHeight="1">
      <c r="A52" s="428" t="s">
        <v>2</v>
      </c>
      <c r="B52" s="429"/>
      <c r="C52" s="317" t="s">
        <v>47</v>
      </c>
      <c r="D52" s="317" t="s">
        <v>48</v>
      </c>
      <c r="E52" s="317" t="s">
        <v>110</v>
      </c>
      <c r="F52" s="429" t="s">
        <v>109</v>
      </c>
      <c r="G52" s="429"/>
      <c r="H52" s="429"/>
      <c r="I52" s="429"/>
      <c r="J52" s="429"/>
      <c r="K52" s="429"/>
      <c r="L52" s="429"/>
      <c r="M52" s="430"/>
      <c r="N52" s="73" t="s">
        <v>114</v>
      </c>
      <c r="O52" s="317" t="s">
        <v>47</v>
      </c>
      <c r="P52" s="431" t="s">
        <v>48</v>
      </c>
      <c r="Q52" s="432"/>
      <c r="R52" s="431" t="s">
        <v>39</v>
      </c>
      <c r="S52" s="433"/>
      <c r="T52" s="433"/>
      <c r="U52" s="432"/>
      <c r="V52" s="431" t="s">
        <v>49</v>
      </c>
      <c r="W52" s="433"/>
      <c r="X52" s="433"/>
      <c r="Y52" s="433"/>
      <c r="Z52" s="433"/>
      <c r="AA52" s="433"/>
      <c r="AB52" s="433"/>
      <c r="AC52" s="433"/>
      <c r="AD52" s="434"/>
    </row>
    <row r="53" spans="1:32" ht="27" customHeight="1">
      <c r="A53" s="445" t="s">
        <v>819</v>
      </c>
      <c r="B53" s="446"/>
      <c r="C53" s="316" t="s">
        <v>671</v>
      </c>
      <c r="D53" s="313" t="s">
        <v>827</v>
      </c>
      <c r="E53" s="316" t="s">
        <v>828</v>
      </c>
      <c r="F53" s="447" t="s">
        <v>772</v>
      </c>
      <c r="G53" s="447"/>
      <c r="H53" s="447"/>
      <c r="I53" s="447"/>
      <c r="J53" s="447"/>
      <c r="K53" s="447"/>
      <c r="L53" s="447"/>
      <c r="M53" s="448"/>
      <c r="N53" s="312" t="s">
        <v>842</v>
      </c>
      <c r="O53" s="74" t="s">
        <v>833</v>
      </c>
      <c r="P53" s="449" t="s">
        <v>843</v>
      </c>
      <c r="Q53" s="450"/>
      <c r="R53" s="451" t="s">
        <v>844</v>
      </c>
      <c r="S53" s="451"/>
      <c r="T53" s="451"/>
      <c r="U53" s="451"/>
      <c r="V53" s="447" t="s">
        <v>845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765</v>
      </c>
      <c r="B54" s="446"/>
      <c r="C54" s="321" t="s">
        <v>829</v>
      </c>
      <c r="D54" s="322" t="s">
        <v>58</v>
      </c>
      <c r="E54" s="321" t="s">
        <v>787</v>
      </c>
      <c r="F54" s="447" t="s">
        <v>830</v>
      </c>
      <c r="G54" s="447"/>
      <c r="H54" s="447"/>
      <c r="I54" s="447"/>
      <c r="J54" s="447"/>
      <c r="K54" s="447"/>
      <c r="L54" s="447"/>
      <c r="M54" s="448"/>
      <c r="N54" s="312" t="s">
        <v>850</v>
      </c>
      <c r="O54" s="74" t="s">
        <v>851</v>
      </c>
      <c r="P54" s="449" t="s">
        <v>852</v>
      </c>
      <c r="Q54" s="450"/>
      <c r="R54" s="451" t="s">
        <v>853</v>
      </c>
      <c r="S54" s="451"/>
      <c r="T54" s="451"/>
      <c r="U54" s="451"/>
      <c r="V54" s="447" t="s">
        <v>845</v>
      </c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 t="s">
        <v>754</v>
      </c>
      <c r="B55" s="446"/>
      <c r="C55" s="321" t="s">
        <v>829</v>
      </c>
      <c r="D55" s="322" t="s">
        <v>761</v>
      </c>
      <c r="E55" s="321" t="s">
        <v>762</v>
      </c>
      <c r="F55" s="447" t="s">
        <v>831</v>
      </c>
      <c r="G55" s="447"/>
      <c r="H55" s="447"/>
      <c r="I55" s="447"/>
      <c r="J55" s="447"/>
      <c r="K55" s="447"/>
      <c r="L55" s="447"/>
      <c r="M55" s="448"/>
      <c r="N55" s="312" t="s">
        <v>854</v>
      </c>
      <c r="O55" s="74" t="s">
        <v>855</v>
      </c>
      <c r="P55" s="449" t="s">
        <v>856</v>
      </c>
      <c r="Q55" s="450"/>
      <c r="R55" s="451" t="s">
        <v>857</v>
      </c>
      <c r="S55" s="451"/>
      <c r="T55" s="451"/>
      <c r="U55" s="451"/>
      <c r="V55" s="447" t="s">
        <v>837</v>
      </c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 t="s">
        <v>118</v>
      </c>
      <c r="B56" s="446"/>
      <c r="C56" s="321" t="s">
        <v>792</v>
      </c>
      <c r="D56" s="322" t="s">
        <v>793</v>
      </c>
      <c r="E56" s="321" t="s">
        <v>790</v>
      </c>
      <c r="F56" s="447" t="s">
        <v>832</v>
      </c>
      <c r="G56" s="447"/>
      <c r="H56" s="447"/>
      <c r="I56" s="447"/>
      <c r="J56" s="447"/>
      <c r="K56" s="447"/>
      <c r="L56" s="447"/>
      <c r="M56" s="448"/>
      <c r="N56" s="312"/>
      <c r="O56" s="74"/>
      <c r="P56" s="449"/>
      <c r="Q56" s="450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 t="s">
        <v>118</v>
      </c>
      <c r="B57" s="446"/>
      <c r="C57" s="316" t="s">
        <v>833</v>
      </c>
      <c r="D57" s="313" t="s">
        <v>823</v>
      </c>
      <c r="E57" s="316" t="s">
        <v>834</v>
      </c>
      <c r="F57" s="447" t="s">
        <v>772</v>
      </c>
      <c r="G57" s="447"/>
      <c r="H57" s="447"/>
      <c r="I57" s="447"/>
      <c r="J57" s="447"/>
      <c r="K57" s="447"/>
      <c r="L57" s="447"/>
      <c r="M57" s="448"/>
      <c r="N57" s="312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 t="s">
        <v>118</v>
      </c>
      <c r="B58" s="446"/>
      <c r="C58" s="316" t="s">
        <v>835</v>
      </c>
      <c r="D58" s="313" t="s">
        <v>823</v>
      </c>
      <c r="E58" s="316" t="s">
        <v>836</v>
      </c>
      <c r="F58" s="447" t="s">
        <v>837</v>
      </c>
      <c r="G58" s="447"/>
      <c r="H58" s="447"/>
      <c r="I58" s="447"/>
      <c r="J58" s="447"/>
      <c r="K58" s="447"/>
      <c r="L58" s="447"/>
      <c r="M58" s="448"/>
      <c r="N58" s="312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45" t="s">
        <v>754</v>
      </c>
      <c r="B59" s="446"/>
      <c r="C59" s="316" t="s">
        <v>839</v>
      </c>
      <c r="D59" s="313" t="s">
        <v>840</v>
      </c>
      <c r="E59" s="316" t="s">
        <v>841</v>
      </c>
      <c r="F59" s="447" t="s">
        <v>772</v>
      </c>
      <c r="G59" s="447"/>
      <c r="H59" s="447"/>
      <c r="I59" s="447"/>
      <c r="J59" s="447"/>
      <c r="K59" s="447"/>
      <c r="L59" s="447"/>
      <c r="M59" s="448"/>
      <c r="N59" s="312"/>
      <c r="O59" s="74"/>
      <c r="P59" s="449"/>
      <c r="Q59" s="450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</row>
    <row r="60" spans="1:32" ht="27" customHeight="1">
      <c r="A60" s="445" t="s">
        <v>119</v>
      </c>
      <c r="B60" s="446"/>
      <c r="C60" s="316" t="s">
        <v>846</v>
      </c>
      <c r="D60" s="313" t="s">
        <v>847</v>
      </c>
      <c r="E60" s="316" t="s">
        <v>848</v>
      </c>
      <c r="F60" s="447" t="s">
        <v>849</v>
      </c>
      <c r="G60" s="447"/>
      <c r="H60" s="447"/>
      <c r="I60" s="447"/>
      <c r="J60" s="447"/>
      <c r="K60" s="447"/>
      <c r="L60" s="447"/>
      <c r="M60" s="448"/>
      <c r="N60" s="312"/>
      <c r="O60" s="74"/>
      <c r="P60" s="451"/>
      <c r="Q60" s="451"/>
      <c r="R60" s="451"/>
      <c r="S60" s="451"/>
      <c r="T60" s="451"/>
      <c r="U60" s="451"/>
      <c r="V60" s="447"/>
      <c r="W60" s="447"/>
      <c r="X60" s="447"/>
      <c r="Y60" s="447"/>
      <c r="Z60" s="447"/>
      <c r="AA60" s="447"/>
      <c r="AB60" s="447"/>
      <c r="AC60" s="447"/>
      <c r="AD60" s="448"/>
    </row>
    <row r="61" spans="1:32" ht="27" customHeight="1">
      <c r="A61" s="452"/>
      <c r="B61" s="451"/>
      <c r="C61" s="313"/>
      <c r="D61" s="313"/>
      <c r="E61" s="313"/>
      <c r="F61" s="447"/>
      <c r="G61" s="447"/>
      <c r="H61" s="447"/>
      <c r="I61" s="447"/>
      <c r="J61" s="447"/>
      <c r="K61" s="447"/>
      <c r="L61" s="447"/>
      <c r="M61" s="448"/>
      <c r="N61" s="312"/>
      <c r="O61" s="74"/>
      <c r="P61" s="451"/>
      <c r="Q61" s="451"/>
      <c r="R61" s="451"/>
      <c r="S61" s="451"/>
      <c r="T61" s="451"/>
      <c r="U61" s="451"/>
      <c r="V61" s="447"/>
      <c r="W61" s="447"/>
      <c r="X61" s="447"/>
      <c r="Y61" s="447"/>
      <c r="Z61" s="447"/>
      <c r="AA61" s="447"/>
      <c r="AB61" s="447"/>
      <c r="AC61" s="447"/>
      <c r="AD61" s="448"/>
      <c r="AF61" s="94">
        <f>8*3000</f>
        <v>24000</v>
      </c>
    </row>
    <row r="62" spans="1:32" ht="27" customHeight="1" thickBot="1">
      <c r="A62" s="453"/>
      <c r="B62" s="454"/>
      <c r="C62" s="315"/>
      <c r="D62" s="315"/>
      <c r="E62" s="315"/>
      <c r="F62" s="455"/>
      <c r="G62" s="455"/>
      <c r="H62" s="455"/>
      <c r="I62" s="455"/>
      <c r="J62" s="455"/>
      <c r="K62" s="455"/>
      <c r="L62" s="455"/>
      <c r="M62" s="456"/>
      <c r="N62" s="314"/>
      <c r="O62" s="121"/>
      <c r="P62" s="454"/>
      <c r="Q62" s="454"/>
      <c r="R62" s="454"/>
      <c r="S62" s="454"/>
      <c r="T62" s="454"/>
      <c r="U62" s="454"/>
      <c r="V62" s="455"/>
      <c r="W62" s="455"/>
      <c r="X62" s="455"/>
      <c r="Y62" s="455"/>
      <c r="Z62" s="455"/>
      <c r="AA62" s="455"/>
      <c r="AB62" s="455"/>
      <c r="AC62" s="455"/>
      <c r="AD62" s="456"/>
      <c r="AF62" s="94">
        <f>16*3000</f>
        <v>48000</v>
      </c>
    </row>
    <row r="63" spans="1:32" ht="27.75" thickBot="1">
      <c r="A63" s="457" t="s">
        <v>858</v>
      </c>
      <c r="B63" s="457"/>
      <c r="C63" s="457"/>
      <c r="D63" s="457"/>
      <c r="E63" s="457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458" t="s">
        <v>115</v>
      </c>
      <c r="B64" s="459"/>
      <c r="C64" s="311" t="s">
        <v>2</v>
      </c>
      <c r="D64" s="311" t="s">
        <v>38</v>
      </c>
      <c r="E64" s="311" t="s">
        <v>3</v>
      </c>
      <c r="F64" s="459" t="s">
        <v>112</v>
      </c>
      <c r="G64" s="459"/>
      <c r="H64" s="459"/>
      <c r="I64" s="459"/>
      <c r="J64" s="459"/>
      <c r="K64" s="459" t="s">
        <v>40</v>
      </c>
      <c r="L64" s="459"/>
      <c r="M64" s="311" t="s">
        <v>41</v>
      </c>
      <c r="N64" s="459" t="s">
        <v>42</v>
      </c>
      <c r="O64" s="459"/>
      <c r="P64" s="460" t="s">
        <v>43</v>
      </c>
      <c r="Q64" s="461"/>
      <c r="R64" s="460" t="s">
        <v>44</v>
      </c>
      <c r="S64" s="462"/>
      <c r="T64" s="462"/>
      <c r="U64" s="462"/>
      <c r="V64" s="462"/>
      <c r="W64" s="462"/>
      <c r="X64" s="462"/>
      <c r="Y64" s="462"/>
      <c r="Z64" s="462"/>
      <c r="AA64" s="461"/>
      <c r="AB64" s="459" t="s">
        <v>45</v>
      </c>
      <c r="AC64" s="459"/>
      <c r="AD64" s="463"/>
      <c r="AF64" s="94">
        <f>SUM(AF61:AF63)</f>
        <v>96000</v>
      </c>
    </row>
    <row r="65" spans="1:32" ht="25.5" customHeight="1">
      <c r="A65" s="464">
        <v>1</v>
      </c>
      <c r="B65" s="465"/>
      <c r="C65" s="124" t="s">
        <v>118</v>
      </c>
      <c r="D65" s="307"/>
      <c r="E65" s="309" t="s">
        <v>793</v>
      </c>
      <c r="F65" s="466" t="s">
        <v>859</v>
      </c>
      <c r="G65" s="467"/>
      <c r="H65" s="467"/>
      <c r="I65" s="467"/>
      <c r="J65" s="467"/>
      <c r="K65" s="467">
        <v>7301</v>
      </c>
      <c r="L65" s="467"/>
      <c r="M65" s="54" t="s">
        <v>214</v>
      </c>
      <c r="N65" s="467">
        <v>11</v>
      </c>
      <c r="O65" s="467"/>
      <c r="P65" s="468">
        <v>50</v>
      </c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2</v>
      </c>
      <c r="B66" s="465"/>
      <c r="C66" s="124"/>
      <c r="D66" s="307"/>
      <c r="E66" s="309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3</v>
      </c>
      <c r="B67" s="465"/>
      <c r="C67" s="124"/>
      <c r="D67" s="307"/>
      <c r="E67" s="309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4</v>
      </c>
      <c r="B68" s="465"/>
      <c r="C68" s="124"/>
      <c r="D68" s="307"/>
      <c r="E68" s="309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5</v>
      </c>
      <c r="B69" s="465"/>
      <c r="C69" s="124"/>
      <c r="D69" s="307"/>
      <c r="E69" s="309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6</v>
      </c>
      <c r="B70" s="465"/>
      <c r="C70" s="124"/>
      <c r="D70" s="307"/>
      <c r="E70" s="309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5.5" customHeight="1">
      <c r="A71" s="464">
        <v>7</v>
      </c>
      <c r="B71" s="465"/>
      <c r="C71" s="124"/>
      <c r="D71" s="307"/>
      <c r="E71" s="309"/>
      <c r="F71" s="466"/>
      <c r="G71" s="467"/>
      <c r="H71" s="467"/>
      <c r="I71" s="467"/>
      <c r="J71" s="467"/>
      <c r="K71" s="467"/>
      <c r="L71" s="467"/>
      <c r="M71" s="54"/>
      <c r="N71" s="467"/>
      <c r="O71" s="467"/>
      <c r="P71" s="468"/>
      <c r="Q71" s="468"/>
      <c r="R71" s="447"/>
      <c r="S71" s="447"/>
      <c r="T71" s="447"/>
      <c r="U71" s="447"/>
      <c r="V71" s="447"/>
      <c r="W71" s="447"/>
      <c r="X71" s="447"/>
      <c r="Y71" s="447"/>
      <c r="Z71" s="447"/>
      <c r="AA71" s="447"/>
      <c r="AB71" s="467"/>
      <c r="AC71" s="467"/>
      <c r="AD71" s="469"/>
      <c r="AF71" s="53"/>
    </row>
    <row r="72" spans="1:32" ht="25.5" customHeight="1">
      <c r="A72" s="464">
        <v>8</v>
      </c>
      <c r="B72" s="465"/>
      <c r="C72" s="124"/>
      <c r="D72" s="307"/>
      <c r="E72" s="309"/>
      <c r="F72" s="466"/>
      <c r="G72" s="467"/>
      <c r="H72" s="467"/>
      <c r="I72" s="467"/>
      <c r="J72" s="467"/>
      <c r="K72" s="467"/>
      <c r="L72" s="467"/>
      <c r="M72" s="54"/>
      <c r="N72" s="467"/>
      <c r="O72" s="467"/>
      <c r="P72" s="468"/>
      <c r="Q72" s="468"/>
      <c r="R72" s="447"/>
      <c r="S72" s="447"/>
      <c r="T72" s="447"/>
      <c r="U72" s="447"/>
      <c r="V72" s="447"/>
      <c r="W72" s="447"/>
      <c r="X72" s="447"/>
      <c r="Y72" s="447"/>
      <c r="Z72" s="447"/>
      <c r="AA72" s="447"/>
      <c r="AB72" s="467"/>
      <c r="AC72" s="467"/>
      <c r="AD72" s="469"/>
      <c r="AF72" s="53"/>
    </row>
    <row r="73" spans="1:32" ht="26.25" customHeight="1" thickBot="1">
      <c r="A73" s="470" t="s">
        <v>860</v>
      </c>
      <c r="B73" s="470"/>
      <c r="C73" s="470"/>
      <c r="D73" s="470"/>
      <c r="E73" s="470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471" t="s">
        <v>115</v>
      </c>
      <c r="B74" s="472"/>
      <c r="C74" s="310" t="s">
        <v>2</v>
      </c>
      <c r="D74" s="310" t="s">
        <v>38</v>
      </c>
      <c r="E74" s="310" t="s">
        <v>3</v>
      </c>
      <c r="F74" s="472" t="s">
        <v>39</v>
      </c>
      <c r="G74" s="472"/>
      <c r="H74" s="472"/>
      <c r="I74" s="472"/>
      <c r="J74" s="472"/>
      <c r="K74" s="473" t="s">
        <v>60</v>
      </c>
      <c r="L74" s="474"/>
      <c r="M74" s="474"/>
      <c r="N74" s="474"/>
      <c r="O74" s="474"/>
      <c r="P74" s="474"/>
      <c r="Q74" s="474"/>
      <c r="R74" s="474"/>
      <c r="S74" s="475"/>
      <c r="T74" s="472" t="s">
        <v>50</v>
      </c>
      <c r="U74" s="472"/>
      <c r="V74" s="473" t="s">
        <v>51</v>
      </c>
      <c r="W74" s="475"/>
      <c r="X74" s="474" t="s">
        <v>52</v>
      </c>
      <c r="Y74" s="474"/>
      <c r="Z74" s="474"/>
      <c r="AA74" s="474"/>
      <c r="AB74" s="474"/>
      <c r="AC74" s="474"/>
      <c r="AD74" s="476"/>
      <c r="AF74" s="53"/>
    </row>
    <row r="75" spans="1:32" ht="33.75" customHeight="1">
      <c r="A75" s="485">
        <v>1</v>
      </c>
      <c r="B75" s="486"/>
      <c r="C75" s="308" t="s">
        <v>118</v>
      </c>
      <c r="D75" s="308"/>
      <c r="E75" s="71" t="s">
        <v>124</v>
      </c>
      <c r="F75" s="487" t="s">
        <v>125</v>
      </c>
      <c r="G75" s="488"/>
      <c r="H75" s="488"/>
      <c r="I75" s="488"/>
      <c r="J75" s="489"/>
      <c r="K75" s="490" t="s">
        <v>120</v>
      </c>
      <c r="L75" s="491"/>
      <c r="M75" s="491"/>
      <c r="N75" s="491"/>
      <c r="O75" s="491"/>
      <c r="P75" s="491"/>
      <c r="Q75" s="491"/>
      <c r="R75" s="491"/>
      <c r="S75" s="492"/>
      <c r="T75" s="493">
        <v>42901</v>
      </c>
      <c r="U75" s="494"/>
      <c r="V75" s="495"/>
      <c r="W75" s="495"/>
      <c r="X75" s="496"/>
      <c r="Y75" s="496"/>
      <c r="Z75" s="496"/>
      <c r="AA75" s="496"/>
      <c r="AB75" s="496"/>
      <c r="AC75" s="496"/>
      <c r="AD75" s="497"/>
      <c r="AF75" s="53"/>
    </row>
    <row r="76" spans="1:32" ht="30" customHeight="1">
      <c r="A76" s="477">
        <f>A75+1</f>
        <v>2</v>
      </c>
      <c r="B76" s="478"/>
      <c r="C76" s="307" t="s">
        <v>118</v>
      </c>
      <c r="D76" s="307"/>
      <c r="E76" s="35" t="s">
        <v>121</v>
      </c>
      <c r="F76" s="478" t="s">
        <v>122</v>
      </c>
      <c r="G76" s="478"/>
      <c r="H76" s="478"/>
      <c r="I76" s="478"/>
      <c r="J76" s="478"/>
      <c r="K76" s="479" t="s">
        <v>123</v>
      </c>
      <c r="L76" s="480"/>
      <c r="M76" s="480"/>
      <c r="N76" s="480"/>
      <c r="O76" s="480"/>
      <c r="P76" s="480"/>
      <c r="Q76" s="480"/>
      <c r="R76" s="480"/>
      <c r="S76" s="481"/>
      <c r="T76" s="482">
        <v>42867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ref="A77:A83" si="27">A76+1</f>
        <v>3</v>
      </c>
      <c r="B77" s="478"/>
      <c r="C77" s="307" t="s">
        <v>144</v>
      </c>
      <c r="D77" s="307"/>
      <c r="E77" s="35" t="s">
        <v>139</v>
      </c>
      <c r="F77" s="478" t="s">
        <v>145</v>
      </c>
      <c r="G77" s="478"/>
      <c r="H77" s="478"/>
      <c r="I77" s="478"/>
      <c r="J77" s="478"/>
      <c r="K77" s="479" t="s">
        <v>120</v>
      </c>
      <c r="L77" s="480"/>
      <c r="M77" s="480"/>
      <c r="N77" s="480"/>
      <c r="O77" s="480"/>
      <c r="P77" s="480"/>
      <c r="Q77" s="480"/>
      <c r="R77" s="480"/>
      <c r="S77" s="481"/>
      <c r="T77" s="482">
        <v>42937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27"/>
        <v>4</v>
      </c>
      <c r="B78" s="478"/>
      <c r="C78" s="307" t="s">
        <v>119</v>
      </c>
      <c r="D78" s="307"/>
      <c r="E78" s="35" t="s">
        <v>137</v>
      </c>
      <c r="F78" s="478" t="s">
        <v>138</v>
      </c>
      <c r="G78" s="478"/>
      <c r="H78" s="478"/>
      <c r="I78" s="478"/>
      <c r="J78" s="478"/>
      <c r="K78" s="479" t="s">
        <v>140</v>
      </c>
      <c r="L78" s="480"/>
      <c r="M78" s="480"/>
      <c r="N78" s="480"/>
      <c r="O78" s="480"/>
      <c r="P78" s="480"/>
      <c r="Q78" s="480"/>
      <c r="R78" s="480"/>
      <c r="S78" s="481"/>
      <c r="T78" s="482">
        <v>42920</v>
      </c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27"/>
        <v>5</v>
      </c>
      <c r="B79" s="478"/>
      <c r="C79" s="307"/>
      <c r="D79" s="307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27"/>
        <v>6</v>
      </c>
      <c r="B80" s="478"/>
      <c r="C80" s="307"/>
      <c r="D80" s="307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27"/>
        <v>7</v>
      </c>
      <c r="B81" s="478"/>
      <c r="C81" s="307"/>
      <c r="D81" s="307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0" customHeight="1">
      <c r="A82" s="477">
        <f t="shared" si="27"/>
        <v>8</v>
      </c>
      <c r="B82" s="478"/>
      <c r="C82" s="307"/>
      <c r="D82" s="307"/>
      <c r="E82" s="35"/>
      <c r="F82" s="478"/>
      <c r="G82" s="478"/>
      <c r="H82" s="478"/>
      <c r="I82" s="478"/>
      <c r="J82" s="478"/>
      <c r="K82" s="479"/>
      <c r="L82" s="480"/>
      <c r="M82" s="480"/>
      <c r="N82" s="480"/>
      <c r="O82" s="480"/>
      <c r="P82" s="480"/>
      <c r="Q82" s="480"/>
      <c r="R82" s="480"/>
      <c r="S82" s="481"/>
      <c r="T82" s="482"/>
      <c r="U82" s="482"/>
      <c r="V82" s="482"/>
      <c r="W82" s="482"/>
      <c r="X82" s="483"/>
      <c r="Y82" s="483"/>
      <c r="Z82" s="483"/>
      <c r="AA82" s="483"/>
      <c r="AB82" s="483"/>
      <c r="AC82" s="483"/>
      <c r="AD82" s="484"/>
      <c r="AF82" s="53"/>
    </row>
    <row r="83" spans="1:32" ht="30" customHeight="1">
      <c r="A83" s="477">
        <f t="shared" si="27"/>
        <v>9</v>
      </c>
      <c r="B83" s="478"/>
      <c r="C83" s="307"/>
      <c r="D83" s="307"/>
      <c r="E83" s="35"/>
      <c r="F83" s="478"/>
      <c r="G83" s="478"/>
      <c r="H83" s="478"/>
      <c r="I83" s="478"/>
      <c r="J83" s="478"/>
      <c r="K83" s="479"/>
      <c r="L83" s="480"/>
      <c r="M83" s="480"/>
      <c r="N83" s="480"/>
      <c r="O83" s="480"/>
      <c r="P83" s="480"/>
      <c r="Q83" s="480"/>
      <c r="R83" s="480"/>
      <c r="S83" s="481"/>
      <c r="T83" s="482"/>
      <c r="U83" s="482"/>
      <c r="V83" s="482"/>
      <c r="W83" s="482"/>
      <c r="X83" s="483"/>
      <c r="Y83" s="483"/>
      <c r="Z83" s="483"/>
      <c r="AA83" s="483"/>
      <c r="AB83" s="483"/>
      <c r="AC83" s="483"/>
      <c r="AD83" s="484"/>
      <c r="AF83" s="53"/>
    </row>
    <row r="84" spans="1:32" ht="36" thickBot="1">
      <c r="A84" s="470" t="s">
        <v>861</v>
      </c>
      <c r="B84" s="470"/>
      <c r="C84" s="470"/>
      <c r="D84" s="470"/>
      <c r="E84" s="470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498" t="s">
        <v>37</v>
      </c>
      <c r="B85" s="499"/>
      <c r="C85" s="499" t="s">
        <v>53</v>
      </c>
      <c r="D85" s="499"/>
      <c r="E85" s="499" t="s">
        <v>54</v>
      </c>
      <c r="F85" s="499"/>
      <c r="G85" s="499"/>
      <c r="H85" s="499"/>
      <c r="I85" s="499"/>
      <c r="J85" s="499"/>
      <c r="K85" s="499" t="s">
        <v>55</v>
      </c>
      <c r="L85" s="499"/>
      <c r="M85" s="499"/>
      <c r="N85" s="499"/>
      <c r="O85" s="499"/>
      <c r="P85" s="499"/>
      <c r="Q85" s="499"/>
      <c r="R85" s="499"/>
      <c r="S85" s="499"/>
      <c r="T85" s="499" t="s">
        <v>56</v>
      </c>
      <c r="U85" s="499"/>
      <c r="V85" s="499" t="s">
        <v>57</v>
      </c>
      <c r="W85" s="499"/>
      <c r="X85" s="499"/>
      <c r="Y85" s="499" t="s">
        <v>52</v>
      </c>
      <c r="Z85" s="499"/>
      <c r="AA85" s="499"/>
      <c r="AB85" s="499"/>
      <c r="AC85" s="499"/>
      <c r="AD85" s="500"/>
      <c r="AF85" s="53"/>
    </row>
    <row r="86" spans="1:32" ht="30.75" customHeight="1">
      <c r="A86" s="485">
        <v>1</v>
      </c>
      <c r="B86" s="486"/>
      <c r="C86" s="501">
        <v>1</v>
      </c>
      <c r="D86" s="501"/>
      <c r="E86" s="501" t="s">
        <v>129</v>
      </c>
      <c r="F86" s="501"/>
      <c r="G86" s="501"/>
      <c r="H86" s="501"/>
      <c r="I86" s="501"/>
      <c r="J86" s="501"/>
      <c r="K86" s="501" t="s">
        <v>130</v>
      </c>
      <c r="L86" s="501"/>
      <c r="M86" s="501"/>
      <c r="N86" s="501"/>
      <c r="O86" s="501"/>
      <c r="P86" s="501"/>
      <c r="Q86" s="501"/>
      <c r="R86" s="501"/>
      <c r="S86" s="501"/>
      <c r="T86" s="501" t="s">
        <v>131</v>
      </c>
      <c r="U86" s="501"/>
      <c r="V86" s="502">
        <v>1500000</v>
      </c>
      <c r="W86" s="502"/>
      <c r="X86" s="502"/>
      <c r="Y86" s="503" t="s">
        <v>132</v>
      </c>
      <c r="Z86" s="503"/>
      <c r="AA86" s="503"/>
      <c r="AB86" s="503"/>
      <c r="AC86" s="503"/>
      <c r="AD86" s="504"/>
      <c r="AF86" s="53"/>
    </row>
    <row r="87" spans="1:32" ht="30.75" customHeight="1">
      <c r="A87" s="477">
        <v>2</v>
      </c>
      <c r="B87" s="478"/>
      <c r="C87" s="512"/>
      <c r="D87" s="512"/>
      <c r="E87" s="512"/>
      <c r="F87" s="512"/>
      <c r="G87" s="512"/>
      <c r="H87" s="512"/>
      <c r="I87" s="512"/>
      <c r="J87" s="512"/>
      <c r="K87" s="512"/>
      <c r="L87" s="512"/>
      <c r="M87" s="512"/>
      <c r="N87" s="512"/>
      <c r="O87" s="512"/>
      <c r="P87" s="512"/>
      <c r="Q87" s="512"/>
      <c r="R87" s="512"/>
      <c r="S87" s="512"/>
      <c r="T87" s="513"/>
      <c r="U87" s="513"/>
      <c r="V87" s="514"/>
      <c r="W87" s="514"/>
      <c r="X87" s="514"/>
      <c r="Y87" s="505"/>
      <c r="Z87" s="505"/>
      <c r="AA87" s="505"/>
      <c r="AB87" s="505"/>
      <c r="AC87" s="505"/>
      <c r="AD87" s="506"/>
      <c r="AF87" s="53"/>
    </row>
    <row r="88" spans="1:32" ht="30.75" customHeight="1" thickBot="1">
      <c r="A88" s="507">
        <v>3</v>
      </c>
      <c r="B88" s="508"/>
      <c r="C88" s="509"/>
      <c r="D88" s="509"/>
      <c r="E88" s="509"/>
      <c r="F88" s="509"/>
      <c r="G88" s="509"/>
      <c r="H88" s="509"/>
      <c r="I88" s="509"/>
      <c r="J88" s="509"/>
      <c r="K88" s="509"/>
      <c r="L88" s="509"/>
      <c r="M88" s="509"/>
      <c r="N88" s="509"/>
      <c r="O88" s="509"/>
      <c r="P88" s="509"/>
      <c r="Q88" s="509"/>
      <c r="R88" s="509"/>
      <c r="S88" s="509"/>
      <c r="T88" s="509"/>
      <c r="U88" s="509"/>
      <c r="V88" s="509"/>
      <c r="W88" s="509"/>
      <c r="X88" s="509"/>
      <c r="Y88" s="510"/>
      <c r="Z88" s="510"/>
      <c r="AA88" s="510"/>
      <c r="AB88" s="510"/>
      <c r="AC88" s="510"/>
      <c r="AD88" s="511"/>
      <c r="AF88" s="53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J86"/>
  <sheetViews>
    <sheetView zoomScale="72" zoomScaleNormal="72" zoomScaleSheetLayoutView="70" workbookViewId="0">
      <selection activeCell="F11" sqref="F1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862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319" t="s">
        <v>17</v>
      </c>
      <c r="L5" s="319" t="s">
        <v>18</v>
      </c>
      <c r="M5" s="319" t="s">
        <v>19</v>
      </c>
      <c r="N5" s="31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>$AD$21</f>
        <v>0.49279427645823842</v>
      </c>
      <c r="AF6" s="94">
        <f t="shared" ref="AF6:AF20" si="7">A6</f>
        <v>1</v>
      </c>
    </row>
    <row r="7" spans="1:36" ht="27" customHeight="1">
      <c r="A7" s="108">
        <v>2</v>
      </c>
      <c r="B7" s="11" t="s">
        <v>164</v>
      </c>
      <c r="C7" s="37" t="s">
        <v>119</v>
      </c>
      <c r="D7" s="55" t="s">
        <v>151</v>
      </c>
      <c r="E7" s="57" t="s">
        <v>519</v>
      </c>
      <c r="F7" s="33" t="s">
        <v>133</v>
      </c>
      <c r="G7" s="12">
        <v>1</v>
      </c>
      <c r="H7" s="13">
        <v>25</v>
      </c>
      <c r="I7" s="34">
        <v>40000</v>
      </c>
      <c r="J7" s="5">
        <v>3840</v>
      </c>
      <c r="K7" s="15">
        <f>L7+2045+4660+4937+3956+4522+4665+4652+4684</f>
        <v>37961</v>
      </c>
      <c r="L7" s="15">
        <f>1946+1894</f>
        <v>3840</v>
      </c>
      <c r="M7" s="16">
        <f t="shared" si="0"/>
        <v>3840</v>
      </c>
      <c r="N7" s="16">
        <v>0</v>
      </c>
      <c r="O7" s="62">
        <f t="shared" si="1"/>
        <v>0</v>
      </c>
      <c r="P7" s="42">
        <f t="shared" si="2"/>
        <v>22</v>
      </c>
      <c r="Q7" s="43">
        <f t="shared" si="3"/>
        <v>2</v>
      </c>
      <c r="R7" s="7"/>
      <c r="S7" s="6"/>
      <c r="T7" s="17"/>
      <c r="U7" s="17"/>
      <c r="V7" s="18"/>
      <c r="W7" s="19">
        <v>2</v>
      </c>
      <c r="X7" s="17"/>
      <c r="Y7" s="20"/>
      <c r="Z7" s="20"/>
      <c r="AA7" s="21"/>
      <c r="AB7" s="8">
        <f t="shared" si="4"/>
        <v>1</v>
      </c>
      <c r="AC7" s="9">
        <f t="shared" si="5"/>
        <v>0.91666666666666663</v>
      </c>
      <c r="AD7" s="10">
        <f t="shared" si="6"/>
        <v>0.91666666666666663</v>
      </c>
      <c r="AE7" s="39">
        <f>$AD$21</f>
        <v>0.49279427645823842</v>
      </c>
      <c r="AF7" s="94">
        <f t="shared" si="7"/>
        <v>2</v>
      </c>
    </row>
    <row r="8" spans="1:36" ht="27" customHeight="1">
      <c r="A8" s="109">
        <v>3</v>
      </c>
      <c r="B8" s="11" t="s">
        <v>164</v>
      </c>
      <c r="C8" s="11" t="s">
        <v>819</v>
      </c>
      <c r="D8" s="55" t="s">
        <v>820</v>
      </c>
      <c r="E8" s="56" t="s">
        <v>821</v>
      </c>
      <c r="F8" s="12" t="s">
        <v>822</v>
      </c>
      <c r="G8" s="36">
        <v>1</v>
      </c>
      <c r="H8" s="38">
        <v>25</v>
      </c>
      <c r="I8" s="7">
        <v>50000</v>
      </c>
      <c r="J8" s="14">
        <v>4010</v>
      </c>
      <c r="K8" s="15">
        <f>L8+2810</f>
        <v>6815</v>
      </c>
      <c r="L8" s="15">
        <f>2352+1653</f>
        <v>4005</v>
      </c>
      <c r="M8" s="16">
        <f t="shared" si="0"/>
        <v>4005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0.99875311720698257</v>
      </c>
      <c r="AC8" s="9">
        <f t="shared" si="5"/>
        <v>1</v>
      </c>
      <c r="AD8" s="10">
        <f t="shared" si="6"/>
        <v>0.99875311720698257</v>
      </c>
      <c r="AE8" s="39">
        <f>$AD$21</f>
        <v>0.49279427645823842</v>
      </c>
      <c r="AF8" s="94">
        <f>A8</f>
        <v>3</v>
      </c>
    </row>
    <row r="9" spans="1:36" ht="27" customHeight="1">
      <c r="A9" s="110">
        <v>4</v>
      </c>
      <c r="B9" s="11" t="s">
        <v>164</v>
      </c>
      <c r="C9" s="11" t="s">
        <v>119</v>
      </c>
      <c r="D9" s="55" t="s">
        <v>150</v>
      </c>
      <c r="E9" s="56" t="s">
        <v>521</v>
      </c>
      <c r="F9" s="12" t="s">
        <v>213</v>
      </c>
      <c r="G9" s="36">
        <v>1</v>
      </c>
      <c r="H9" s="38">
        <v>25</v>
      </c>
      <c r="I9" s="34">
        <v>40000</v>
      </c>
      <c r="J9" s="5">
        <v>4660</v>
      </c>
      <c r="K9" s="15">
        <f>L9+2467+4801+5657+3590+5665+5865+3696+5667</f>
        <v>42064</v>
      </c>
      <c r="L9" s="15">
        <f>2373+2283</f>
        <v>4656</v>
      </c>
      <c r="M9" s="16">
        <f t="shared" si="0"/>
        <v>4656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0.9991416309012876</v>
      </c>
      <c r="AC9" s="9">
        <f t="shared" si="5"/>
        <v>1</v>
      </c>
      <c r="AD9" s="10">
        <f t="shared" si="6"/>
        <v>0.9991416309012876</v>
      </c>
      <c r="AE9" s="39">
        <f>$AD$21</f>
        <v>0.49279427645823842</v>
      </c>
      <c r="AF9" s="94">
        <f t="shared" si="7"/>
        <v>4</v>
      </c>
    </row>
    <row r="10" spans="1:36" ht="27" customHeight="1">
      <c r="A10" s="110">
        <v>5</v>
      </c>
      <c r="B10" s="11" t="s">
        <v>59</v>
      </c>
      <c r="C10" s="11" t="s">
        <v>119</v>
      </c>
      <c r="D10" s="55" t="s">
        <v>759</v>
      </c>
      <c r="E10" s="57" t="s">
        <v>920</v>
      </c>
      <c r="F10" s="12">
        <v>7301</v>
      </c>
      <c r="G10" s="12">
        <v>1</v>
      </c>
      <c r="H10" s="13">
        <v>25</v>
      </c>
      <c r="I10" s="34">
        <v>25000</v>
      </c>
      <c r="J10" s="14">
        <v>5440</v>
      </c>
      <c r="K10" s="15">
        <f>L10+2754+5439</f>
        <v>8193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ref="AE10:AE14" si="8">$AD$21</f>
        <v>0.49279427645823842</v>
      </c>
      <c r="AF10" s="94">
        <f t="shared" si="7"/>
        <v>5</v>
      </c>
    </row>
    <row r="11" spans="1:36" ht="27" customHeight="1">
      <c r="A11" s="110">
        <v>6</v>
      </c>
      <c r="B11" s="11" t="s">
        <v>59</v>
      </c>
      <c r="C11" s="11" t="s">
        <v>666</v>
      </c>
      <c r="D11" s="55" t="s">
        <v>980</v>
      </c>
      <c r="E11" s="56" t="s">
        <v>981</v>
      </c>
      <c r="F11" s="12" t="s">
        <v>714</v>
      </c>
      <c r="G11" s="12" t="s">
        <v>715</v>
      </c>
      <c r="H11" s="13">
        <v>25</v>
      </c>
      <c r="I11" s="34">
        <v>3200</v>
      </c>
      <c r="J11" s="14">
        <v>1130</v>
      </c>
      <c r="K11" s="15">
        <f>L11+668+2013</f>
        <v>3805</v>
      </c>
      <c r="L11" s="15">
        <v>1124</v>
      </c>
      <c r="M11" s="16">
        <f t="shared" si="0"/>
        <v>1124</v>
      </c>
      <c r="N11" s="16">
        <v>0</v>
      </c>
      <c r="O11" s="62">
        <f t="shared" si="1"/>
        <v>0</v>
      </c>
      <c r="P11" s="42">
        <f t="shared" si="2"/>
        <v>6</v>
      </c>
      <c r="Q11" s="43">
        <f t="shared" si="3"/>
        <v>18</v>
      </c>
      <c r="R11" s="7"/>
      <c r="S11" s="6"/>
      <c r="T11" s="17"/>
      <c r="U11" s="17"/>
      <c r="V11" s="18"/>
      <c r="W11" s="19">
        <v>18</v>
      </c>
      <c r="X11" s="17"/>
      <c r="Y11" s="20"/>
      <c r="Z11" s="20"/>
      <c r="AA11" s="21"/>
      <c r="AB11" s="8">
        <f t="shared" si="4"/>
        <v>0.99469026548672568</v>
      </c>
      <c r="AC11" s="9">
        <f t="shared" si="5"/>
        <v>0.25</v>
      </c>
      <c r="AD11" s="10">
        <f t="shared" si="6"/>
        <v>0.24867256637168142</v>
      </c>
      <c r="AE11" s="39">
        <f t="shared" si="8"/>
        <v>0.49279427645823842</v>
      </c>
      <c r="AF11" s="94">
        <f t="shared" si="7"/>
        <v>6</v>
      </c>
    </row>
    <row r="12" spans="1:36" ht="27" customHeight="1">
      <c r="A12" s="110">
        <v>7</v>
      </c>
      <c r="B12" s="11" t="s">
        <v>59</v>
      </c>
      <c r="C12" s="11" t="s">
        <v>228</v>
      </c>
      <c r="D12" s="55" t="s">
        <v>294</v>
      </c>
      <c r="E12" s="57" t="s">
        <v>295</v>
      </c>
      <c r="F12" s="12" t="s">
        <v>167</v>
      </c>
      <c r="G12" s="12">
        <v>1</v>
      </c>
      <c r="H12" s="13">
        <v>25</v>
      </c>
      <c r="I12" s="7">
        <v>35000</v>
      </c>
      <c r="J12" s="14">
        <v>4100</v>
      </c>
      <c r="K12" s="15">
        <f>L12+3048+3908+1500+3674+4638+4098+3327+1990+2919</f>
        <v>33197</v>
      </c>
      <c r="L12" s="15">
        <f>2171+1924</f>
        <v>4095</v>
      </c>
      <c r="M12" s="16">
        <f t="shared" si="0"/>
        <v>4095</v>
      </c>
      <c r="N12" s="16">
        <v>0</v>
      </c>
      <c r="O12" s="62">
        <f t="shared" si="1"/>
        <v>0</v>
      </c>
      <c r="P12" s="42">
        <f t="shared" si="2"/>
        <v>21</v>
      </c>
      <c r="Q12" s="43">
        <f t="shared" si="3"/>
        <v>3</v>
      </c>
      <c r="R12" s="7"/>
      <c r="S12" s="6">
        <v>3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0.99878048780487805</v>
      </c>
      <c r="AC12" s="9">
        <f t="shared" si="5"/>
        <v>0.875</v>
      </c>
      <c r="AD12" s="10">
        <f t="shared" si="6"/>
        <v>0.87393292682926826</v>
      </c>
      <c r="AE12" s="39">
        <f t="shared" si="8"/>
        <v>0.49279427645823842</v>
      </c>
      <c r="AF12" s="94">
        <f t="shared" si="7"/>
        <v>7</v>
      </c>
    </row>
    <row r="13" spans="1:36" ht="27" customHeight="1">
      <c r="A13" s="110">
        <v>8</v>
      </c>
      <c r="B13" s="11" t="s">
        <v>59</v>
      </c>
      <c r="C13" s="11" t="s">
        <v>228</v>
      </c>
      <c r="D13" s="55" t="s">
        <v>823</v>
      </c>
      <c r="E13" s="57" t="s">
        <v>824</v>
      </c>
      <c r="F13" s="12">
        <v>7301</v>
      </c>
      <c r="G13" s="12">
        <v>1</v>
      </c>
      <c r="H13" s="13">
        <v>25</v>
      </c>
      <c r="I13" s="7">
        <v>6000</v>
      </c>
      <c r="J13" s="14">
        <v>3430</v>
      </c>
      <c r="K13" s="15">
        <f>L13+1142</f>
        <v>4565</v>
      </c>
      <c r="L13" s="15">
        <f>3051+372</f>
        <v>3423</v>
      </c>
      <c r="M13" s="16">
        <f t="shared" si="0"/>
        <v>3423</v>
      </c>
      <c r="N13" s="16">
        <v>0</v>
      </c>
      <c r="O13" s="62">
        <f t="shared" si="1"/>
        <v>0</v>
      </c>
      <c r="P13" s="42">
        <f t="shared" si="2"/>
        <v>19</v>
      </c>
      <c r="Q13" s="43">
        <f t="shared" si="3"/>
        <v>5</v>
      </c>
      <c r="R13" s="7"/>
      <c r="S13" s="6">
        <v>5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0.99795918367346936</v>
      </c>
      <c r="AC13" s="9">
        <f t="shared" si="5"/>
        <v>0.79166666666666663</v>
      </c>
      <c r="AD13" s="10">
        <f t="shared" si="6"/>
        <v>0.79005102040816322</v>
      </c>
      <c r="AE13" s="39">
        <f t="shared" si="8"/>
        <v>0.49279427645823842</v>
      </c>
      <c r="AF13" s="94">
        <f t="shared" si="7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632</v>
      </c>
      <c r="F14" s="33" t="s">
        <v>633</v>
      </c>
      <c r="G14" s="36">
        <v>1</v>
      </c>
      <c r="H14" s="38">
        <v>40</v>
      </c>
      <c r="I14" s="7">
        <v>500</v>
      </c>
      <c r="J14" s="5">
        <v>300</v>
      </c>
      <c r="K14" s="15">
        <f>L14</f>
        <v>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8"/>
        <v>0.49279427645823842</v>
      </c>
      <c r="AF14" s="94">
        <f t="shared" si="7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334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L15+903</f>
        <v>903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ref="AE15:AE20" si="9">$AD$21</f>
        <v>0.49279427645823842</v>
      </c>
      <c r="AF15" s="94">
        <f t="shared" si="7"/>
        <v>10</v>
      </c>
    </row>
    <row r="16" spans="1:36" ht="27.75" customHeight="1">
      <c r="A16" s="109">
        <v>11</v>
      </c>
      <c r="B16" s="11" t="s">
        <v>59</v>
      </c>
      <c r="C16" s="11" t="s">
        <v>863</v>
      </c>
      <c r="D16" s="55" t="s">
        <v>864</v>
      </c>
      <c r="E16" s="56" t="s">
        <v>865</v>
      </c>
      <c r="F16" s="12">
        <v>7301</v>
      </c>
      <c r="G16" s="36" t="s">
        <v>866</v>
      </c>
      <c r="H16" s="38">
        <v>25</v>
      </c>
      <c r="I16" s="7">
        <v>1000</v>
      </c>
      <c r="J16" s="14">
        <v>1810</v>
      </c>
      <c r="K16" s="15">
        <f>L16</f>
        <v>1804</v>
      </c>
      <c r="L16" s="15">
        <f>641+1163</f>
        <v>1804</v>
      </c>
      <c r="M16" s="16">
        <f t="shared" si="0"/>
        <v>1804</v>
      </c>
      <c r="N16" s="16">
        <v>0</v>
      </c>
      <c r="O16" s="62">
        <f t="shared" si="1"/>
        <v>0</v>
      </c>
      <c r="P16" s="42">
        <f t="shared" si="2"/>
        <v>14</v>
      </c>
      <c r="Q16" s="43">
        <f t="shared" si="3"/>
        <v>10</v>
      </c>
      <c r="R16" s="7"/>
      <c r="S16" s="6"/>
      <c r="T16" s="17"/>
      <c r="U16" s="17"/>
      <c r="V16" s="18"/>
      <c r="W16" s="19">
        <v>10</v>
      </c>
      <c r="X16" s="17"/>
      <c r="Y16" s="20"/>
      <c r="Z16" s="20"/>
      <c r="AA16" s="21"/>
      <c r="AB16" s="8">
        <f t="shared" si="4"/>
        <v>0.99668508287292823</v>
      </c>
      <c r="AC16" s="9">
        <f t="shared" si="5"/>
        <v>0.58333333333333337</v>
      </c>
      <c r="AD16" s="10">
        <f t="shared" si="6"/>
        <v>0.58139963167587483</v>
      </c>
      <c r="AE16" s="39">
        <f t="shared" si="9"/>
        <v>0.49279427645823842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754</v>
      </c>
      <c r="D17" s="55" t="s">
        <v>809</v>
      </c>
      <c r="E17" s="56" t="s">
        <v>806</v>
      </c>
      <c r="F17" s="12">
        <v>8301</v>
      </c>
      <c r="G17" s="12">
        <v>1</v>
      </c>
      <c r="H17" s="13">
        <v>25</v>
      </c>
      <c r="I17" s="34">
        <v>2000</v>
      </c>
      <c r="J17" s="5">
        <v>2110</v>
      </c>
      <c r="K17" s="15">
        <f>L17+2110</f>
        <v>2110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9"/>
        <v>0.49279427645823842</v>
      </c>
      <c r="AF17" s="94">
        <f t="shared" si="7"/>
        <v>12</v>
      </c>
    </row>
    <row r="18" spans="1:32" ht="27" customHeight="1">
      <c r="A18" s="110">
        <v>13</v>
      </c>
      <c r="B18" s="11" t="s">
        <v>59</v>
      </c>
      <c r="C18" s="37" t="s">
        <v>550</v>
      </c>
      <c r="D18" s="55" t="s">
        <v>570</v>
      </c>
      <c r="E18" s="57" t="s">
        <v>217</v>
      </c>
      <c r="F18" s="33" t="s">
        <v>218</v>
      </c>
      <c r="G18" s="12">
        <v>1</v>
      </c>
      <c r="H18" s="13">
        <v>25</v>
      </c>
      <c r="I18" s="34">
        <v>35000</v>
      </c>
      <c r="J18" s="5">
        <v>5300</v>
      </c>
      <c r="K18" s="15">
        <f>L18+2973+3499+4604+5292+5636+3871+5300</f>
        <v>36396</v>
      </c>
      <c r="L18" s="15">
        <f>3092+2129</f>
        <v>5221</v>
      </c>
      <c r="M18" s="16">
        <f t="shared" si="0"/>
        <v>5221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0.98509433962264148</v>
      </c>
      <c r="AC18" s="9">
        <f t="shared" si="5"/>
        <v>1</v>
      </c>
      <c r="AD18" s="10">
        <f t="shared" si="6"/>
        <v>0.98509433962264148</v>
      </c>
      <c r="AE18" s="39">
        <f t="shared" si="9"/>
        <v>0.49279427645823842</v>
      </c>
      <c r="AF18" s="94">
        <f t="shared" si="7"/>
        <v>13</v>
      </c>
    </row>
    <row r="19" spans="1:32" ht="27" customHeight="1">
      <c r="A19" s="110">
        <v>14</v>
      </c>
      <c r="B19" s="11" t="s">
        <v>59</v>
      </c>
      <c r="C19" s="37" t="s">
        <v>119</v>
      </c>
      <c r="D19" s="55" t="s">
        <v>58</v>
      </c>
      <c r="E19" s="57" t="s">
        <v>867</v>
      </c>
      <c r="F19" s="33" t="s">
        <v>136</v>
      </c>
      <c r="G19" s="36">
        <v>1</v>
      </c>
      <c r="H19" s="38">
        <v>25</v>
      </c>
      <c r="I19" s="7">
        <v>50000</v>
      </c>
      <c r="J19" s="5">
        <v>4450</v>
      </c>
      <c r="K19" s="15">
        <f>L19</f>
        <v>4442</v>
      </c>
      <c r="L19" s="15">
        <f>2914+1528</f>
        <v>4442</v>
      </c>
      <c r="M19" s="16">
        <f t="shared" si="0"/>
        <v>4442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0.99820224719101125</v>
      </c>
      <c r="AC19" s="9">
        <f t="shared" si="5"/>
        <v>1</v>
      </c>
      <c r="AD19" s="10">
        <f t="shared" si="6"/>
        <v>0.99820224719101125</v>
      </c>
      <c r="AE19" s="39">
        <f t="shared" si="9"/>
        <v>0.49279427645823842</v>
      </c>
      <c r="AF19" s="94">
        <f t="shared" si="7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599</v>
      </c>
      <c r="F20" s="12" t="s">
        <v>117</v>
      </c>
      <c r="G20" s="12">
        <v>4</v>
      </c>
      <c r="H20" s="38">
        <v>20</v>
      </c>
      <c r="I20" s="7">
        <v>200000</v>
      </c>
      <c r="J20" s="14">
        <v>33300</v>
      </c>
      <c r="K20" s="15">
        <f>L20+50220+52380+58428+58872+64080+33228</f>
        <v>317208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9"/>
        <v>0.49279427645823842</v>
      </c>
      <c r="AF20" s="94">
        <f t="shared" si="7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10">SUM(I6:I20)</f>
        <v>489350</v>
      </c>
      <c r="J21" s="22">
        <f t="shared" si="10"/>
        <v>76760</v>
      </c>
      <c r="K21" s="23">
        <f t="shared" si="10"/>
        <v>501425</v>
      </c>
      <c r="L21" s="24">
        <f t="shared" si="10"/>
        <v>32610</v>
      </c>
      <c r="M21" s="23">
        <f t="shared" si="10"/>
        <v>32610</v>
      </c>
      <c r="N21" s="24">
        <f t="shared" si="10"/>
        <v>0</v>
      </c>
      <c r="O21" s="44">
        <f t="shared" si="1"/>
        <v>0</v>
      </c>
      <c r="P21" s="45">
        <f t="shared" ref="P21:AA21" si="11">SUM(P6:P20)</f>
        <v>178</v>
      </c>
      <c r="Q21" s="46">
        <f t="shared" si="11"/>
        <v>182</v>
      </c>
      <c r="R21" s="26">
        <f t="shared" si="11"/>
        <v>24</v>
      </c>
      <c r="S21" s="27">
        <f t="shared" si="11"/>
        <v>56</v>
      </c>
      <c r="T21" s="27">
        <f t="shared" si="11"/>
        <v>0</v>
      </c>
      <c r="U21" s="27">
        <f t="shared" si="11"/>
        <v>0</v>
      </c>
      <c r="V21" s="28">
        <f t="shared" si="11"/>
        <v>0</v>
      </c>
      <c r="W21" s="29">
        <f t="shared" si="11"/>
        <v>102</v>
      </c>
      <c r="X21" s="30">
        <f t="shared" si="11"/>
        <v>0</v>
      </c>
      <c r="Y21" s="30">
        <f t="shared" si="11"/>
        <v>0</v>
      </c>
      <c r="Z21" s="30">
        <f t="shared" si="11"/>
        <v>0</v>
      </c>
      <c r="AA21" s="30">
        <f t="shared" si="11"/>
        <v>0</v>
      </c>
      <c r="AB21" s="31">
        <f>SUM(AB6:AB20)/15</f>
        <v>0.59795375698399489</v>
      </c>
      <c r="AC21" s="4">
        <f>SUM(AC6:AC20)/15</f>
        <v>0.49444444444444441</v>
      </c>
      <c r="AD21" s="4">
        <f>SUM(AD6:AD20)/15</f>
        <v>0.49279427645823842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868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879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320" t="s">
        <v>47</v>
      </c>
      <c r="D50" s="320" t="s">
        <v>48</v>
      </c>
      <c r="E50" s="320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320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869</v>
      </c>
      <c r="B51" s="446"/>
      <c r="C51" s="321" t="s">
        <v>870</v>
      </c>
      <c r="D51" s="322" t="s">
        <v>871</v>
      </c>
      <c r="E51" s="321" t="s">
        <v>867</v>
      </c>
      <c r="F51" s="447" t="s">
        <v>872</v>
      </c>
      <c r="G51" s="447"/>
      <c r="H51" s="447"/>
      <c r="I51" s="447"/>
      <c r="J51" s="447"/>
      <c r="K51" s="447"/>
      <c r="L51" s="447"/>
      <c r="M51" s="448"/>
      <c r="N51" s="323" t="s">
        <v>880</v>
      </c>
      <c r="O51" s="74" t="s">
        <v>855</v>
      </c>
      <c r="P51" s="449" t="s">
        <v>881</v>
      </c>
      <c r="Q51" s="450"/>
      <c r="R51" s="451" t="s">
        <v>883</v>
      </c>
      <c r="S51" s="451"/>
      <c r="T51" s="451"/>
      <c r="U51" s="451"/>
      <c r="V51" s="447" t="s">
        <v>845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863</v>
      </c>
      <c r="B52" s="446"/>
      <c r="C52" s="321" t="s">
        <v>803</v>
      </c>
      <c r="D52" s="322" t="s">
        <v>873</v>
      </c>
      <c r="E52" s="321" t="s">
        <v>865</v>
      </c>
      <c r="F52" s="447" t="s">
        <v>872</v>
      </c>
      <c r="G52" s="447"/>
      <c r="H52" s="447"/>
      <c r="I52" s="447"/>
      <c r="J52" s="447"/>
      <c r="K52" s="447"/>
      <c r="L52" s="447"/>
      <c r="M52" s="448"/>
      <c r="N52" s="323" t="s">
        <v>884</v>
      </c>
      <c r="O52" s="74" t="s">
        <v>885</v>
      </c>
      <c r="P52" s="449" t="s">
        <v>887</v>
      </c>
      <c r="Q52" s="450"/>
      <c r="R52" s="451" t="s">
        <v>886</v>
      </c>
      <c r="S52" s="451"/>
      <c r="T52" s="451"/>
      <c r="U52" s="451"/>
      <c r="V52" s="447" t="s">
        <v>845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874</v>
      </c>
      <c r="B53" s="446"/>
      <c r="C53" s="321" t="s">
        <v>875</v>
      </c>
      <c r="D53" s="322" t="s">
        <v>823</v>
      </c>
      <c r="E53" s="321" t="s">
        <v>824</v>
      </c>
      <c r="F53" s="447" t="s">
        <v>876</v>
      </c>
      <c r="G53" s="447"/>
      <c r="H53" s="447"/>
      <c r="I53" s="447"/>
      <c r="J53" s="447"/>
      <c r="K53" s="447"/>
      <c r="L53" s="447"/>
      <c r="M53" s="448"/>
      <c r="N53" s="323" t="s">
        <v>854</v>
      </c>
      <c r="O53" s="74" t="s">
        <v>855</v>
      </c>
      <c r="P53" s="449" t="s">
        <v>856</v>
      </c>
      <c r="Q53" s="450"/>
      <c r="R53" s="451" t="s">
        <v>857</v>
      </c>
      <c r="S53" s="451"/>
      <c r="T53" s="451"/>
      <c r="U53" s="451"/>
      <c r="V53" s="447" t="s">
        <v>837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118</v>
      </c>
      <c r="B54" s="446"/>
      <c r="C54" s="321" t="s">
        <v>781</v>
      </c>
      <c r="D54" s="322" t="s">
        <v>823</v>
      </c>
      <c r="E54" s="321" t="s">
        <v>877</v>
      </c>
      <c r="F54" s="447" t="s">
        <v>878</v>
      </c>
      <c r="G54" s="447"/>
      <c r="H54" s="447"/>
      <c r="I54" s="447"/>
      <c r="J54" s="447"/>
      <c r="K54" s="447"/>
      <c r="L54" s="447"/>
      <c r="M54" s="448"/>
      <c r="N54" s="323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/>
      <c r="B55" s="446"/>
      <c r="C55" s="321"/>
      <c r="D55" s="322"/>
      <c r="E55" s="321"/>
      <c r="F55" s="447"/>
      <c r="G55" s="447"/>
      <c r="H55" s="447"/>
      <c r="I55" s="447"/>
      <c r="J55" s="447"/>
      <c r="K55" s="447"/>
      <c r="L55" s="447"/>
      <c r="M55" s="448"/>
      <c r="N55" s="323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321"/>
      <c r="D56" s="322"/>
      <c r="E56" s="321"/>
      <c r="F56" s="447"/>
      <c r="G56" s="447"/>
      <c r="H56" s="447"/>
      <c r="I56" s="447"/>
      <c r="J56" s="447"/>
      <c r="K56" s="447"/>
      <c r="L56" s="447"/>
      <c r="M56" s="448"/>
      <c r="N56" s="323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321"/>
      <c r="D57" s="322"/>
      <c r="E57" s="321"/>
      <c r="F57" s="447"/>
      <c r="G57" s="447"/>
      <c r="H57" s="447"/>
      <c r="I57" s="447"/>
      <c r="J57" s="447"/>
      <c r="K57" s="447"/>
      <c r="L57" s="447"/>
      <c r="M57" s="448"/>
      <c r="N57" s="323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321"/>
      <c r="D58" s="322"/>
      <c r="E58" s="321"/>
      <c r="F58" s="447"/>
      <c r="G58" s="447"/>
      <c r="H58" s="447"/>
      <c r="I58" s="447"/>
      <c r="J58" s="447"/>
      <c r="K58" s="447"/>
      <c r="L58" s="447"/>
      <c r="M58" s="448"/>
      <c r="N58" s="323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322"/>
      <c r="D59" s="322"/>
      <c r="E59" s="322"/>
      <c r="F59" s="447"/>
      <c r="G59" s="447"/>
      <c r="H59" s="447"/>
      <c r="I59" s="447"/>
      <c r="J59" s="447"/>
      <c r="K59" s="447"/>
      <c r="L59" s="447"/>
      <c r="M59" s="448"/>
      <c r="N59" s="323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325"/>
      <c r="D60" s="325"/>
      <c r="E60" s="325"/>
      <c r="F60" s="455"/>
      <c r="G60" s="455"/>
      <c r="H60" s="455"/>
      <c r="I60" s="455"/>
      <c r="J60" s="455"/>
      <c r="K60" s="455"/>
      <c r="L60" s="455"/>
      <c r="M60" s="456"/>
      <c r="N60" s="324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888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326" t="s">
        <v>2</v>
      </c>
      <c r="D62" s="326" t="s">
        <v>38</v>
      </c>
      <c r="E62" s="326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326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118</v>
      </c>
      <c r="D63" s="329"/>
      <c r="E63" s="327" t="s">
        <v>793</v>
      </c>
      <c r="F63" s="466" t="s">
        <v>889</v>
      </c>
      <c r="G63" s="467"/>
      <c r="H63" s="467"/>
      <c r="I63" s="467"/>
      <c r="J63" s="467"/>
      <c r="K63" s="467" t="s">
        <v>890</v>
      </c>
      <c r="L63" s="467"/>
      <c r="M63" s="54" t="s">
        <v>214</v>
      </c>
      <c r="N63" s="467">
        <v>7</v>
      </c>
      <c r="O63" s="467"/>
      <c r="P63" s="468">
        <v>50</v>
      </c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/>
      <c r="D64" s="329"/>
      <c r="E64" s="327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329"/>
      <c r="E65" s="327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329"/>
      <c r="E66" s="327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329"/>
      <c r="E67" s="327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329"/>
      <c r="E68" s="327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329"/>
      <c r="E69" s="327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329"/>
      <c r="E70" s="327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891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328" t="s">
        <v>2</v>
      </c>
      <c r="D72" s="328" t="s">
        <v>38</v>
      </c>
      <c r="E72" s="328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330" t="s">
        <v>118</v>
      </c>
      <c r="D73" s="330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329" t="s">
        <v>118</v>
      </c>
      <c r="D74" s="329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2">A74+1</f>
        <v>3</v>
      </c>
      <c r="B75" s="478"/>
      <c r="C75" s="329" t="s">
        <v>144</v>
      </c>
      <c r="D75" s="329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2"/>
        <v>4</v>
      </c>
      <c r="B76" s="478"/>
      <c r="C76" s="329" t="s">
        <v>119</v>
      </c>
      <c r="D76" s="329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2"/>
        <v>5</v>
      </c>
      <c r="B77" s="478"/>
      <c r="C77" s="329"/>
      <c r="D77" s="329"/>
      <c r="E77" s="35"/>
      <c r="F77" s="478"/>
      <c r="G77" s="478"/>
      <c r="H77" s="478"/>
      <c r="I77" s="478"/>
      <c r="J77" s="478"/>
      <c r="K77" s="479"/>
      <c r="L77" s="480"/>
      <c r="M77" s="480"/>
      <c r="N77" s="480"/>
      <c r="O77" s="480"/>
      <c r="P77" s="480"/>
      <c r="Q77" s="480"/>
      <c r="R77" s="480"/>
      <c r="S77" s="481"/>
      <c r="T77" s="482"/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2"/>
        <v>6</v>
      </c>
      <c r="B78" s="478"/>
      <c r="C78" s="329"/>
      <c r="D78" s="329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2"/>
        <v>7</v>
      </c>
      <c r="B79" s="478"/>
      <c r="C79" s="329"/>
      <c r="D79" s="329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2"/>
        <v>8</v>
      </c>
      <c r="B80" s="478"/>
      <c r="C80" s="329"/>
      <c r="D80" s="329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2"/>
        <v>9</v>
      </c>
      <c r="B81" s="478"/>
      <c r="C81" s="329"/>
      <c r="D81" s="329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892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86"/>
  <sheetViews>
    <sheetView topLeftCell="A34" zoomScale="72" zoomScaleNormal="72" zoomScaleSheetLayoutView="70" workbookViewId="0">
      <selection activeCell="A63" sqref="A63:XFD6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182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125" t="s">
        <v>17</v>
      </c>
      <c r="L5" s="125" t="s">
        <v>18</v>
      </c>
      <c r="M5" s="125" t="s">
        <v>19</v>
      </c>
      <c r="N5" s="12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0.4996384946665961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59</v>
      </c>
      <c r="C7" s="11" t="s">
        <v>152</v>
      </c>
      <c r="D7" s="55" t="s">
        <v>161</v>
      </c>
      <c r="E7" s="56" t="s">
        <v>162</v>
      </c>
      <c r="F7" s="12" t="s">
        <v>163</v>
      </c>
      <c r="G7" s="36">
        <v>4</v>
      </c>
      <c r="H7" s="38">
        <v>25</v>
      </c>
      <c r="I7" s="7">
        <v>5000</v>
      </c>
      <c r="J7" s="14">
        <v>3330</v>
      </c>
      <c r="K7" s="15">
        <f>L7+9916+3326</f>
        <v>13242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0.4996384946665961</v>
      </c>
      <c r="AF7" s="94">
        <f>A7</f>
        <v>2</v>
      </c>
    </row>
    <row r="8" spans="1:36" ht="27" customHeight="1">
      <c r="A8" s="109">
        <v>3</v>
      </c>
      <c r="B8" s="11" t="s">
        <v>164</v>
      </c>
      <c r="C8" s="11" t="s">
        <v>146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40000</v>
      </c>
      <c r="J8" s="14">
        <v>5250</v>
      </c>
      <c r="K8" s="15">
        <f>L8+4113+5314+5304</f>
        <v>19972</v>
      </c>
      <c r="L8" s="15">
        <f>2761+2480</f>
        <v>5241</v>
      </c>
      <c r="M8" s="16">
        <f t="shared" si="0"/>
        <v>5241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0.99828571428571433</v>
      </c>
      <c r="AC8" s="9">
        <f t="shared" si="5"/>
        <v>1</v>
      </c>
      <c r="AD8" s="10">
        <f t="shared" si="6"/>
        <v>0.99828571428571433</v>
      </c>
      <c r="AE8" s="39">
        <f t="shared" si="7"/>
        <v>0.4996384946665961</v>
      </c>
      <c r="AF8" s="94">
        <f>A8</f>
        <v>3</v>
      </c>
    </row>
    <row r="9" spans="1:36" ht="27" customHeight="1">
      <c r="A9" s="110">
        <v>4</v>
      </c>
      <c r="B9" s="11" t="s">
        <v>59</v>
      </c>
      <c r="C9" s="11" t="s">
        <v>119</v>
      </c>
      <c r="D9" s="55" t="s">
        <v>184</v>
      </c>
      <c r="E9" s="56" t="s">
        <v>185</v>
      </c>
      <c r="F9" s="12" t="s">
        <v>186</v>
      </c>
      <c r="G9" s="36">
        <v>1</v>
      </c>
      <c r="H9" s="38">
        <v>25</v>
      </c>
      <c r="I9" s="34">
        <f>3000+8000</f>
        <v>11000</v>
      </c>
      <c r="J9" s="5">
        <v>4050</v>
      </c>
      <c r="K9" s="15">
        <f>L9</f>
        <v>4050</v>
      </c>
      <c r="L9" s="15">
        <f>1498+2552</f>
        <v>4050</v>
      </c>
      <c r="M9" s="16">
        <f t="shared" si="0"/>
        <v>4050</v>
      </c>
      <c r="N9" s="16">
        <v>0</v>
      </c>
      <c r="O9" s="62">
        <f t="shared" si="1"/>
        <v>0</v>
      </c>
      <c r="P9" s="42">
        <f t="shared" si="2"/>
        <v>22</v>
      </c>
      <c r="Q9" s="43">
        <f t="shared" si="3"/>
        <v>2</v>
      </c>
      <c r="R9" s="7"/>
      <c r="S9" s="6">
        <v>2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0.91666666666666663</v>
      </c>
      <c r="AD9" s="10">
        <f t="shared" si="6"/>
        <v>0.91666666666666663</v>
      </c>
      <c r="AE9" s="39">
        <f t="shared" si="7"/>
        <v>0.4996384946665961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144</v>
      </c>
      <c r="D10" s="55" t="s">
        <v>139</v>
      </c>
      <c r="E10" s="57" t="s">
        <v>153</v>
      </c>
      <c r="F10" s="12" t="s">
        <v>148</v>
      </c>
      <c r="G10" s="12">
        <v>1</v>
      </c>
      <c r="H10" s="13">
        <v>25</v>
      </c>
      <c r="I10" s="34">
        <v>5000</v>
      </c>
      <c r="J10" s="14">
        <v>4400</v>
      </c>
      <c r="K10" s="15">
        <f>L10+1723+1684+4374</f>
        <v>7781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4</v>
      </c>
      <c r="R10" s="7"/>
      <c r="S10" s="6">
        <v>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0.4996384946665961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118</v>
      </c>
      <c r="D11" s="55" t="s">
        <v>168</v>
      </c>
      <c r="E11" s="56" t="s">
        <v>169</v>
      </c>
      <c r="F11" s="12" t="s">
        <v>170</v>
      </c>
      <c r="G11" s="12">
        <v>1</v>
      </c>
      <c r="H11" s="13">
        <v>25</v>
      </c>
      <c r="I11" s="34">
        <v>5000</v>
      </c>
      <c r="J11" s="14">
        <v>4410</v>
      </c>
      <c r="K11" s="15">
        <f>L11+2712</f>
        <v>7117</v>
      </c>
      <c r="L11" s="15">
        <f>2681+1724</f>
        <v>4405</v>
      </c>
      <c r="M11" s="16">
        <f t="shared" si="0"/>
        <v>4405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0.99886621315192747</v>
      </c>
      <c r="AC11" s="9">
        <f t="shared" si="5"/>
        <v>1</v>
      </c>
      <c r="AD11" s="10">
        <f t="shared" si="6"/>
        <v>0.99886621315192747</v>
      </c>
      <c r="AE11" s="39">
        <f t="shared" si="7"/>
        <v>0.4996384946665961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119</v>
      </c>
      <c r="D12" s="55" t="s">
        <v>58</v>
      </c>
      <c r="E12" s="57" t="s">
        <v>187</v>
      </c>
      <c r="F12" s="12" t="s">
        <v>158</v>
      </c>
      <c r="G12" s="12">
        <v>1</v>
      </c>
      <c r="H12" s="13">
        <v>25</v>
      </c>
      <c r="I12" s="7">
        <f>3000+8000</f>
        <v>11000</v>
      </c>
      <c r="J12" s="14">
        <v>3030</v>
      </c>
      <c r="K12" s="15">
        <f>L12</f>
        <v>3024</v>
      </c>
      <c r="L12" s="15">
        <f>1821+1203</f>
        <v>3024</v>
      </c>
      <c r="M12" s="16">
        <f t="shared" si="0"/>
        <v>3024</v>
      </c>
      <c r="N12" s="16">
        <v>0</v>
      </c>
      <c r="O12" s="62">
        <f t="shared" si="1"/>
        <v>0</v>
      </c>
      <c r="P12" s="42">
        <f t="shared" si="2"/>
        <v>20</v>
      </c>
      <c r="Q12" s="43">
        <f t="shared" si="3"/>
        <v>4</v>
      </c>
      <c r="R12" s="7"/>
      <c r="S12" s="6"/>
      <c r="T12" s="17">
        <v>4</v>
      </c>
      <c r="U12" s="17"/>
      <c r="V12" s="18"/>
      <c r="W12" s="19"/>
      <c r="X12" s="17"/>
      <c r="Y12" s="20"/>
      <c r="Z12" s="20"/>
      <c r="AA12" s="21"/>
      <c r="AB12" s="8">
        <f t="shared" si="4"/>
        <v>0.99801980198019802</v>
      </c>
      <c r="AC12" s="9">
        <f t="shared" si="5"/>
        <v>0.83333333333333337</v>
      </c>
      <c r="AD12" s="10">
        <f t="shared" si="6"/>
        <v>0.83168316831683176</v>
      </c>
      <c r="AE12" s="39">
        <f t="shared" si="7"/>
        <v>0.4996384946665961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118</v>
      </c>
      <c r="D13" s="55" t="s">
        <v>58</v>
      </c>
      <c r="E13" s="57" t="s">
        <v>174</v>
      </c>
      <c r="F13" s="12">
        <v>7301</v>
      </c>
      <c r="G13" s="12">
        <v>1</v>
      </c>
      <c r="H13" s="13">
        <v>25</v>
      </c>
      <c r="I13" s="7">
        <v>3000</v>
      </c>
      <c r="J13" s="14">
        <v>2220</v>
      </c>
      <c r="K13" s="15">
        <f>L13+2219</f>
        <v>2219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0.4996384946665961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159</v>
      </c>
      <c r="F14" s="33" t="s">
        <v>160</v>
      </c>
      <c r="G14" s="36">
        <v>1</v>
      </c>
      <c r="H14" s="38">
        <v>40</v>
      </c>
      <c r="I14" s="7">
        <v>200</v>
      </c>
      <c r="J14" s="5">
        <v>556</v>
      </c>
      <c r="K14" s="15">
        <f>L14+106+556</f>
        <v>662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0.4996384946665961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154</v>
      </c>
      <c r="F15" s="12" t="s">
        <v>143</v>
      </c>
      <c r="G15" s="12">
        <v>1</v>
      </c>
      <c r="H15" s="13">
        <v>25</v>
      </c>
      <c r="I15" s="34">
        <v>2000</v>
      </c>
      <c r="J15" s="14">
        <v>2730</v>
      </c>
      <c r="K15" s="15">
        <f>L15+2727</f>
        <v>2727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0.4996384946665961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119</v>
      </c>
      <c r="D16" s="55" t="s">
        <v>126</v>
      </c>
      <c r="E16" s="56" t="s">
        <v>135</v>
      </c>
      <c r="F16" s="12">
        <v>7301</v>
      </c>
      <c r="G16" s="36">
        <v>1</v>
      </c>
      <c r="H16" s="38">
        <v>25</v>
      </c>
      <c r="I16" s="7">
        <v>30000</v>
      </c>
      <c r="J16" s="14">
        <v>4280</v>
      </c>
      <c r="K16" s="15">
        <f>L16+3362+5695+3522</f>
        <v>16857</v>
      </c>
      <c r="L16" s="15">
        <f>3175+1103</f>
        <v>4278</v>
      </c>
      <c r="M16" s="16">
        <f t="shared" si="0"/>
        <v>4278</v>
      </c>
      <c r="N16" s="16">
        <v>0</v>
      </c>
      <c r="O16" s="62">
        <f t="shared" si="1"/>
        <v>0</v>
      </c>
      <c r="P16" s="42">
        <f t="shared" si="2"/>
        <v>21</v>
      </c>
      <c r="Q16" s="43">
        <f t="shared" si="3"/>
        <v>3</v>
      </c>
      <c r="R16" s="7"/>
      <c r="S16" s="6">
        <v>3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0.99953271028037383</v>
      </c>
      <c r="AC16" s="9">
        <f t="shared" si="5"/>
        <v>0.875</v>
      </c>
      <c r="AD16" s="10">
        <f t="shared" si="6"/>
        <v>0.87459112149532714</v>
      </c>
      <c r="AE16" s="39">
        <f t="shared" si="7"/>
        <v>0.4996384946665961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118</v>
      </c>
      <c r="D17" s="55" t="s">
        <v>155</v>
      </c>
      <c r="E17" s="56" t="s">
        <v>156</v>
      </c>
      <c r="F17" s="12">
        <v>8301</v>
      </c>
      <c r="G17" s="12">
        <v>1</v>
      </c>
      <c r="H17" s="13">
        <v>25</v>
      </c>
      <c r="I17" s="34">
        <v>6500</v>
      </c>
      <c r="J17" s="5">
        <v>6520</v>
      </c>
      <c r="K17" s="15">
        <f>L17+3715+6518</f>
        <v>10233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0.4996384946665961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119</v>
      </c>
      <c r="D18" s="55" t="s">
        <v>151</v>
      </c>
      <c r="E18" s="57" t="s">
        <v>171</v>
      </c>
      <c r="F18" s="33" t="s">
        <v>133</v>
      </c>
      <c r="G18" s="12">
        <v>1</v>
      </c>
      <c r="H18" s="13">
        <v>25</v>
      </c>
      <c r="I18" s="34">
        <v>40000</v>
      </c>
      <c r="J18" s="5">
        <v>5820</v>
      </c>
      <c r="K18" s="15">
        <f>L18+3100+5636+5658</f>
        <v>20211</v>
      </c>
      <c r="L18" s="15">
        <f>3142+2675</f>
        <v>5817</v>
      </c>
      <c r="M18" s="16">
        <f t="shared" si="0"/>
        <v>5817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0.99948453608247423</v>
      </c>
      <c r="AC18" s="9">
        <f t="shared" si="5"/>
        <v>1</v>
      </c>
      <c r="AD18" s="10">
        <f t="shared" si="6"/>
        <v>0.99948453608247423</v>
      </c>
      <c r="AE18" s="39">
        <f t="shared" si="7"/>
        <v>0.4996384946665961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119</v>
      </c>
      <c r="D19" s="55" t="s">
        <v>58</v>
      </c>
      <c r="E19" s="57" t="s">
        <v>134</v>
      </c>
      <c r="F19" s="33" t="s">
        <v>136</v>
      </c>
      <c r="G19" s="36">
        <v>1</v>
      </c>
      <c r="H19" s="38">
        <v>25</v>
      </c>
      <c r="I19" s="7">
        <v>40000</v>
      </c>
      <c r="J19" s="5">
        <v>4420</v>
      </c>
      <c r="K19" s="15">
        <f>L19+1752+4152+5090+4314</f>
        <v>19728</v>
      </c>
      <c r="L19" s="15">
        <f>2680+1740</f>
        <v>4420</v>
      </c>
      <c r="M19" s="16">
        <f t="shared" si="0"/>
        <v>4420</v>
      </c>
      <c r="N19" s="16">
        <v>0</v>
      </c>
      <c r="O19" s="62">
        <f t="shared" si="1"/>
        <v>0</v>
      </c>
      <c r="P19" s="42">
        <f t="shared" si="2"/>
        <v>21</v>
      </c>
      <c r="Q19" s="43">
        <f t="shared" si="3"/>
        <v>3</v>
      </c>
      <c r="R19" s="7"/>
      <c r="S19" s="6">
        <v>3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0.875</v>
      </c>
      <c r="AD19" s="10">
        <f t="shared" si="6"/>
        <v>0.875</v>
      </c>
      <c r="AE19" s="39">
        <f t="shared" si="7"/>
        <v>0.4996384946665961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157</v>
      </c>
      <c r="F20" s="12" t="s">
        <v>117</v>
      </c>
      <c r="G20" s="12">
        <v>4</v>
      </c>
      <c r="H20" s="38">
        <v>20</v>
      </c>
      <c r="I20" s="7">
        <v>200000</v>
      </c>
      <c r="J20" s="14">
        <v>59600</v>
      </c>
      <c r="K20" s="15">
        <f>L20+40792+68628+25624+56572+59804+61268</f>
        <v>372288</v>
      </c>
      <c r="L20" s="15">
        <f>7747*4+7153*4</f>
        <v>59600</v>
      </c>
      <c r="M20" s="16">
        <f t="shared" si="0"/>
        <v>59600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1</v>
      </c>
      <c r="AD20" s="10">
        <f t="shared" si="6"/>
        <v>1</v>
      </c>
      <c r="AE20" s="39">
        <f t="shared" si="7"/>
        <v>0.4996384946665961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399700</v>
      </c>
      <c r="J21" s="22">
        <f t="shared" si="9"/>
        <v>112586</v>
      </c>
      <c r="K21" s="23">
        <f t="shared" si="9"/>
        <v>502073</v>
      </c>
      <c r="L21" s="24">
        <f t="shared" si="9"/>
        <v>90835</v>
      </c>
      <c r="M21" s="23">
        <f t="shared" si="9"/>
        <v>90835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180</v>
      </c>
      <c r="Q21" s="46">
        <f t="shared" si="10"/>
        <v>160</v>
      </c>
      <c r="R21" s="26">
        <f t="shared" si="10"/>
        <v>24</v>
      </c>
      <c r="S21" s="27">
        <f t="shared" si="10"/>
        <v>36</v>
      </c>
      <c r="T21" s="27">
        <f t="shared" si="10"/>
        <v>4</v>
      </c>
      <c r="U21" s="27">
        <f t="shared" si="10"/>
        <v>0</v>
      </c>
      <c r="V21" s="28">
        <f t="shared" si="10"/>
        <v>0</v>
      </c>
      <c r="W21" s="29">
        <f t="shared" si="10"/>
        <v>96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0.53294593171871252</v>
      </c>
      <c r="AC21" s="4">
        <f>SUM(AC6:AC20)/15</f>
        <v>0.5</v>
      </c>
      <c r="AD21" s="4">
        <f>SUM(AD6:AD20)/15</f>
        <v>0.4996384946665961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188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210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126" t="s">
        <v>47</v>
      </c>
      <c r="D50" s="126" t="s">
        <v>48</v>
      </c>
      <c r="E50" s="126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126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175</v>
      </c>
      <c r="B51" s="446"/>
      <c r="C51" s="131" t="s">
        <v>142</v>
      </c>
      <c r="D51" s="128" t="s">
        <v>176</v>
      </c>
      <c r="E51" s="131" t="s">
        <v>177</v>
      </c>
      <c r="F51" s="447" t="s">
        <v>189</v>
      </c>
      <c r="G51" s="447"/>
      <c r="H51" s="447"/>
      <c r="I51" s="447"/>
      <c r="J51" s="447"/>
      <c r="K51" s="447"/>
      <c r="L51" s="447"/>
      <c r="M51" s="448"/>
      <c r="N51" s="127" t="s">
        <v>200</v>
      </c>
      <c r="O51" s="74" t="s">
        <v>149</v>
      </c>
      <c r="P51" s="449" t="s">
        <v>201</v>
      </c>
      <c r="Q51" s="450"/>
      <c r="R51" s="451" t="s">
        <v>203</v>
      </c>
      <c r="S51" s="451"/>
      <c r="T51" s="451"/>
      <c r="U51" s="451"/>
      <c r="V51" s="447" t="s">
        <v>204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190</v>
      </c>
      <c r="B52" s="446"/>
      <c r="C52" s="131" t="s">
        <v>191</v>
      </c>
      <c r="D52" s="128" t="s">
        <v>192</v>
      </c>
      <c r="E52" s="131" t="s">
        <v>193</v>
      </c>
      <c r="F52" s="447" t="s">
        <v>194</v>
      </c>
      <c r="G52" s="447"/>
      <c r="H52" s="447"/>
      <c r="I52" s="447"/>
      <c r="J52" s="447"/>
      <c r="K52" s="447"/>
      <c r="L52" s="447"/>
      <c r="M52" s="448"/>
      <c r="N52" s="127" t="s">
        <v>205</v>
      </c>
      <c r="O52" s="74" t="s">
        <v>206</v>
      </c>
      <c r="P52" s="449" t="s">
        <v>207</v>
      </c>
      <c r="Q52" s="450"/>
      <c r="R52" s="451" t="s">
        <v>208</v>
      </c>
      <c r="S52" s="451"/>
      <c r="T52" s="451"/>
      <c r="U52" s="451"/>
      <c r="V52" s="447" t="s">
        <v>209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119</v>
      </c>
      <c r="B53" s="446"/>
      <c r="C53" s="138" t="s">
        <v>178</v>
      </c>
      <c r="D53" s="137" t="s">
        <v>58</v>
      </c>
      <c r="E53" s="138" t="s">
        <v>179</v>
      </c>
      <c r="F53" s="447" t="s">
        <v>195</v>
      </c>
      <c r="G53" s="447"/>
      <c r="H53" s="447"/>
      <c r="I53" s="447"/>
      <c r="J53" s="447"/>
      <c r="K53" s="447"/>
      <c r="L53" s="447"/>
      <c r="M53" s="448"/>
      <c r="N53" s="127"/>
      <c r="O53" s="74"/>
      <c r="P53" s="449"/>
      <c r="Q53" s="450"/>
      <c r="R53" s="451"/>
      <c r="S53" s="451"/>
      <c r="T53" s="451"/>
      <c r="U53" s="451"/>
      <c r="V53" s="447"/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119</v>
      </c>
      <c r="B54" s="446"/>
      <c r="C54" s="131" t="s">
        <v>196</v>
      </c>
      <c r="D54" s="128" t="s">
        <v>197</v>
      </c>
      <c r="E54" s="131" t="s">
        <v>198</v>
      </c>
      <c r="F54" s="447" t="s">
        <v>199</v>
      </c>
      <c r="G54" s="447"/>
      <c r="H54" s="447"/>
      <c r="I54" s="447"/>
      <c r="J54" s="447"/>
      <c r="K54" s="447"/>
      <c r="L54" s="447"/>
      <c r="M54" s="448"/>
      <c r="N54" s="127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52"/>
      <c r="B55" s="451"/>
      <c r="C55" s="128"/>
      <c r="D55" s="128"/>
      <c r="E55" s="131"/>
      <c r="F55" s="447"/>
      <c r="G55" s="447"/>
      <c r="H55" s="447"/>
      <c r="I55" s="447"/>
      <c r="J55" s="447"/>
      <c r="K55" s="447"/>
      <c r="L55" s="447"/>
      <c r="M55" s="448"/>
      <c r="N55" s="127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131"/>
      <c r="D56" s="128"/>
      <c r="E56" s="131"/>
      <c r="F56" s="447"/>
      <c r="G56" s="447"/>
      <c r="H56" s="447"/>
      <c r="I56" s="447"/>
      <c r="J56" s="447"/>
      <c r="K56" s="447"/>
      <c r="L56" s="447"/>
      <c r="M56" s="448"/>
      <c r="N56" s="127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131"/>
      <c r="D57" s="128"/>
      <c r="E57" s="131"/>
      <c r="F57" s="447"/>
      <c r="G57" s="447"/>
      <c r="H57" s="447"/>
      <c r="I57" s="447"/>
      <c r="J57" s="447"/>
      <c r="K57" s="447"/>
      <c r="L57" s="447"/>
      <c r="M57" s="448"/>
      <c r="N57" s="127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131"/>
      <c r="D58" s="128"/>
      <c r="E58" s="131"/>
      <c r="F58" s="447"/>
      <c r="G58" s="447"/>
      <c r="H58" s="447"/>
      <c r="I58" s="447"/>
      <c r="J58" s="447"/>
      <c r="K58" s="447"/>
      <c r="L58" s="447"/>
      <c r="M58" s="448"/>
      <c r="N58" s="127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128"/>
      <c r="D59" s="128"/>
      <c r="E59" s="128"/>
      <c r="F59" s="447"/>
      <c r="G59" s="447"/>
      <c r="H59" s="447"/>
      <c r="I59" s="447"/>
      <c r="J59" s="447"/>
      <c r="K59" s="447"/>
      <c r="L59" s="447"/>
      <c r="M59" s="448"/>
      <c r="N59" s="127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130"/>
      <c r="D60" s="130"/>
      <c r="E60" s="130"/>
      <c r="F60" s="455"/>
      <c r="G60" s="455"/>
      <c r="H60" s="455"/>
      <c r="I60" s="455"/>
      <c r="J60" s="455"/>
      <c r="K60" s="455"/>
      <c r="L60" s="455"/>
      <c r="M60" s="456"/>
      <c r="N60" s="129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202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132" t="s">
        <v>2</v>
      </c>
      <c r="D62" s="132" t="s">
        <v>38</v>
      </c>
      <c r="E62" s="132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132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147</v>
      </c>
      <c r="D63" s="135"/>
      <c r="E63" s="133" t="s">
        <v>212</v>
      </c>
      <c r="F63" s="466" t="s">
        <v>211</v>
      </c>
      <c r="G63" s="467"/>
      <c r="H63" s="467"/>
      <c r="I63" s="467"/>
      <c r="J63" s="467"/>
      <c r="K63" s="467" t="s">
        <v>213</v>
      </c>
      <c r="L63" s="467"/>
      <c r="M63" s="54" t="s">
        <v>214</v>
      </c>
      <c r="N63" s="467">
        <v>8</v>
      </c>
      <c r="O63" s="467"/>
      <c r="P63" s="468">
        <v>50</v>
      </c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/>
      <c r="D64" s="135"/>
      <c r="E64" s="133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135"/>
      <c r="E65" s="133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135"/>
      <c r="E66" s="133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135"/>
      <c r="E67" s="133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135"/>
      <c r="E68" s="133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135"/>
      <c r="E69" s="133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135"/>
      <c r="E70" s="133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180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134" t="s">
        <v>2</v>
      </c>
      <c r="D72" s="134" t="s">
        <v>38</v>
      </c>
      <c r="E72" s="134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136" t="s">
        <v>118</v>
      </c>
      <c r="D73" s="136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135" t="s">
        <v>118</v>
      </c>
      <c r="D74" s="135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135" t="s">
        <v>144</v>
      </c>
      <c r="D75" s="135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135" t="s">
        <v>119</v>
      </c>
      <c r="D76" s="135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135" t="s">
        <v>147</v>
      </c>
      <c r="D77" s="135"/>
      <c r="E77" s="35" t="s">
        <v>150</v>
      </c>
      <c r="F77" s="478" t="s">
        <v>172</v>
      </c>
      <c r="G77" s="478"/>
      <c r="H77" s="478"/>
      <c r="I77" s="478"/>
      <c r="J77" s="478"/>
      <c r="K77" s="479" t="s">
        <v>173</v>
      </c>
      <c r="L77" s="480"/>
      <c r="M77" s="480"/>
      <c r="N77" s="480"/>
      <c r="O77" s="480"/>
      <c r="P77" s="480"/>
      <c r="Q77" s="480"/>
      <c r="R77" s="480"/>
      <c r="S77" s="481"/>
      <c r="T77" s="482">
        <v>42979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135"/>
      <c r="D78" s="135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135"/>
      <c r="D79" s="135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135"/>
      <c r="D80" s="135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135"/>
      <c r="D81" s="135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181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J86"/>
  <sheetViews>
    <sheetView zoomScale="72" zoomScaleNormal="72" zoomScaleSheetLayoutView="70" workbookViewId="0">
      <selection activeCell="E16" sqref="E1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893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342" t="s">
        <v>17</v>
      </c>
      <c r="L5" s="342" t="s">
        <v>18</v>
      </c>
      <c r="M5" s="342" t="s">
        <v>19</v>
      </c>
      <c r="N5" s="34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>$AD$21</f>
        <v>0.29691769953845687</v>
      </c>
      <c r="AF6" s="94">
        <f t="shared" ref="AF6:AF20" si="7">A6</f>
        <v>1</v>
      </c>
    </row>
    <row r="7" spans="1:36" ht="27" customHeight="1">
      <c r="A7" s="108">
        <v>2</v>
      </c>
      <c r="B7" s="11" t="s">
        <v>164</v>
      </c>
      <c r="C7" s="37" t="s">
        <v>119</v>
      </c>
      <c r="D7" s="55" t="s">
        <v>151</v>
      </c>
      <c r="E7" s="57" t="s">
        <v>894</v>
      </c>
      <c r="F7" s="33" t="s">
        <v>895</v>
      </c>
      <c r="G7" s="12">
        <v>1</v>
      </c>
      <c r="H7" s="13">
        <v>25</v>
      </c>
      <c r="I7" s="34">
        <v>3000</v>
      </c>
      <c r="J7" s="5">
        <v>2580</v>
      </c>
      <c r="K7" s="15">
        <f>L7</f>
        <v>2574</v>
      </c>
      <c r="L7" s="15">
        <f>794+1780</f>
        <v>2574</v>
      </c>
      <c r="M7" s="16">
        <f t="shared" si="0"/>
        <v>2574</v>
      </c>
      <c r="N7" s="16">
        <v>0</v>
      </c>
      <c r="O7" s="62">
        <f t="shared" si="1"/>
        <v>0</v>
      </c>
      <c r="P7" s="42">
        <f t="shared" si="2"/>
        <v>16</v>
      </c>
      <c r="Q7" s="43">
        <f t="shared" si="3"/>
        <v>8</v>
      </c>
      <c r="R7" s="7"/>
      <c r="S7" s="6"/>
      <c r="T7" s="17"/>
      <c r="U7" s="17"/>
      <c r="V7" s="18"/>
      <c r="W7" s="19">
        <v>8</v>
      </c>
      <c r="X7" s="17"/>
      <c r="Y7" s="20"/>
      <c r="Z7" s="20"/>
      <c r="AA7" s="21"/>
      <c r="AB7" s="8">
        <f t="shared" si="4"/>
        <v>0.99767441860465111</v>
      </c>
      <c r="AC7" s="9">
        <f t="shared" si="5"/>
        <v>0.66666666666666663</v>
      </c>
      <c r="AD7" s="10">
        <f t="shared" si="6"/>
        <v>0.66511627906976734</v>
      </c>
      <c r="AE7" s="39">
        <f>$AD$21</f>
        <v>0.29691769953845687</v>
      </c>
      <c r="AF7" s="94">
        <f t="shared" si="7"/>
        <v>2</v>
      </c>
    </row>
    <row r="8" spans="1:36" ht="27" customHeight="1">
      <c r="A8" s="109">
        <v>3</v>
      </c>
      <c r="B8" s="11" t="s">
        <v>164</v>
      </c>
      <c r="C8" s="11" t="s">
        <v>819</v>
      </c>
      <c r="D8" s="55" t="s">
        <v>820</v>
      </c>
      <c r="E8" s="56" t="s">
        <v>821</v>
      </c>
      <c r="F8" s="12" t="s">
        <v>822</v>
      </c>
      <c r="G8" s="36">
        <v>1</v>
      </c>
      <c r="H8" s="38">
        <v>25</v>
      </c>
      <c r="I8" s="7">
        <v>50000</v>
      </c>
      <c r="J8" s="14">
        <v>4010</v>
      </c>
      <c r="K8" s="15">
        <f>L8+2810+4005</f>
        <v>6815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>
        <v>24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>$AD$21</f>
        <v>0.29691769953845687</v>
      </c>
      <c r="AF8" s="94">
        <f>A8</f>
        <v>3</v>
      </c>
    </row>
    <row r="9" spans="1:36" ht="27" customHeight="1">
      <c r="A9" s="110">
        <v>4</v>
      </c>
      <c r="B9" s="11" t="s">
        <v>164</v>
      </c>
      <c r="C9" s="11" t="s">
        <v>119</v>
      </c>
      <c r="D9" s="55" t="s">
        <v>150</v>
      </c>
      <c r="E9" s="56" t="s">
        <v>896</v>
      </c>
      <c r="F9" s="12" t="s">
        <v>213</v>
      </c>
      <c r="G9" s="36">
        <v>1</v>
      </c>
      <c r="H9" s="38">
        <v>25</v>
      </c>
      <c r="I9" s="34">
        <v>50000</v>
      </c>
      <c r="J9" s="5">
        <v>5010</v>
      </c>
      <c r="K9" s="15">
        <f>L9</f>
        <v>5005</v>
      </c>
      <c r="L9" s="15">
        <f>3510+1495</f>
        <v>5005</v>
      </c>
      <c r="M9" s="16">
        <f t="shared" si="0"/>
        <v>5005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0.99900199600798401</v>
      </c>
      <c r="AC9" s="9">
        <f t="shared" si="5"/>
        <v>1</v>
      </c>
      <c r="AD9" s="10">
        <f t="shared" si="6"/>
        <v>0.99900199600798401</v>
      </c>
      <c r="AE9" s="39">
        <f>$AD$21</f>
        <v>0.29691769953845687</v>
      </c>
      <c r="AF9" s="94">
        <f t="shared" si="7"/>
        <v>4</v>
      </c>
    </row>
    <row r="10" spans="1:36" ht="27" customHeight="1">
      <c r="A10" s="110">
        <v>5</v>
      </c>
      <c r="B10" s="11" t="s">
        <v>59</v>
      </c>
      <c r="C10" s="11" t="s">
        <v>119</v>
      </c>
      <c r="D10" s="55" t="s">
        <v>759</v>
      </c>
      <c r="E10" s="57" t="s">
        <v>760</v>
      </c>
      <c r="F10" s="12">
        <v>7301</v>
      </c>
      <c r="G10" s="12">
        <v>1</v>
      </c>
      <c r="H10" s="13">
        <v>25</v>
      </c>
      <c r="I10" s="34">
        <v>25000</v>
      </c>
      <c r="J10" s="14">
        <v>5440</v>
      </c>
      <c r="K10" s="15">
        <f>L10+2754+5439</f>
        <v>8193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ref="AE10:AE20" si="8">$AD$21</f>
        <v>0.29691769953845687</v>
      </c>
      <c r="AF10" s="94">
        <f t="shared" si="7"/>
        <v>5</v>
      </c>
    </row>
    <row r="11" spans="1:36" ht="27" customHeight="1">
      <c r="A11" s="110">
        <v>6</v>
      </c>
      <c r="B11" s="11" t="s">
        <v>59</v>
      </c>
      <c r="C11" s="11" t="s">
        <v>666</v>
      </c>
      <c r="D11" s="55" t="s">
        <v>713</v>
      </c>
      <c r="E11" s="56" t="s">
        <v>731</v>
      </c>
      <c r="F11" s="12" t="s">
        <v>714</v>
      </c>
      <c r="G11" s="12" t="s">
        <v>715</v>
      </c>
      <c r="H11" s="13">
        <v>25</v>
      </c>
      <c r="I11" s="34">
        <v>3200</v>
      </c>
      <c r="J11" s="14">
        <v>1130</v>
      </c>
      <c r="K11" s="15">
        <f>L11+668+2013+1124</f>
        <v>3805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8"/>
        <v>0.29691769953845687</v>
      </c>
      <c r="AF11" s="94">
        <f t="shared" si="7"/>
        <v>6</v>
      </c>
    </row>
    <row r="12" spans="1:36" ht="27" customHeight="1">
      <c r="A12" s="110">
        <v>7</v>
      </c>
      <c r="B12" s="11" t="s">
        <v>59</v>
      </c>
      <c r="C12" s="11" t="s">
        <v>228</v>
      </c>
      <c r="D12" s="55" t="s">
        <v>294</v>
      </c>
      <c r="E12" s="57" t="s">
        <v>295</v>
      </c>
      <c r="F12" s="12" t="s">
        <v>167</v>
      </c>
      <c r="G12" s="12">
        <v>1</v>
      </c>
      <c r="H12" s="13">
        <v>25</v>
      </c>
      <c r="I12" s="7">
        <v>35000</v>
      </c>
      <c r="J12" s="14">
        <v>4970</v>
      </c>
      <c r="K12" s="15">
        <f>L12+3048+3908+1500+3674+4638+4098+3327+1990+2919+4095</f>
        <v>38160</v>
      </c>
      <c r="L12" s="15">
        <f>2880+2083</f>
        <v>4963</v>
      </c>
      <c r="M12" s="16">
        <f t="shared" si="0"/>
        <v>4963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0.99859154929577465</v>
      </c>
      <c r="AC12" s="9">
        <f t="shared" si="5"/>
        <v>1</v>
      </c>
      <c r="AD12" s="10">
        <f t="shared" si="6"/>
        <v>0.99859154929577465</v>
      </c>
      <c r="AE12" s="39">
        <f t="shared" si="8"/>
        <v>0.29691769953845687</v>
      </c>
      <c r="AF12" s="94">
        <f t="shared" si="7"/>
        <v>7</v>
      </c>
    </row>
    <row r="13" spans="1:36" ht="27" customHeight="1">
      <c r="A13" s="110">
        <v>8</v>
      </c>
      <c r="B13" s="11" t="s">
        <v>59</v>
      </c>
      <c r="C13" s="11" t="s">
        <v>144</v>
      </c>
      <c r="D13" s="55" t="s">
        <v>897</v>
      </c>
      <c r="E13" s="57" t="s">
        <v>898</v>
      </c>
      <c r="F13" s="12" t="s">
        <v>899</v>
      </c>
      <c r="G13" s="12">
        <v>1</v>
      </c>
      <c r="H13" s="13">
        <v>25</v>
      </c>
      <c r="I13" s="7">
        <v>1000</v>
      </c>
      <c r="J13" s="14">
        <v>1191</v>
      </c>
      <c r="K13" s="15">
        <f>L13</f>
        <v>1191</v>
      </c>
      <c r="L13" s="15">
        <f>1191</f>
        <v>1191</v>
      </c>
      <c r="M13" s="16">
        <f t="shared" si="0"/>
        <v>1191</v>
      </c>
      <c r="N13" s="16">
        <v>0</v>
      </c>
      <c r="O13" s="62">
        <f t="shared" si="1"/>
        <v>0</v>
      </c>
      <c r="P13" s="42">
        <f t="shared" si="2"/>
        <v>9</v>
      </c>
      <c r="Q13" s="43">
        <f t="shared" si="3"/>
        <v>15</v>
      </c>
      <c r="R13" s="7"/>
      <c r="S13" s="6"/>
      <c r="T13" s="17"/>
      <c r="U13" s="17"/>
      <c r="V13" s="18"/>
      <c r="W13" s="19">
        <v>15</v>
      </c>
      <c r="X13" s="17"/>
      <c r="Y13" s="20"/>
      <c r="Z13" s="20"/>
      <c r="AA13" s="21"/>
      <c r="AB13" s="8">
        <f t="shared" si="4"/>
        <v>1</v>
      </c>
      <c r="AC13" s="9">
        <f t="shared" si="5"/>
        <v>0.375</v>
      </c>
      <c r="AD13" s="10">
        <f t="shared" si="6"/>
        <v>0.375</v>
      </c>
      <c r="AE13" s="39">
        <f t="shared" si="8"/>
        <v>0.29691769953845687</v>
      </c>
      <c r="AF13" s="94">
        <f t="shared" si="7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632</v>
      </c>
      <c r="F14" s="33" t="s">
        <v>633</v>
      </c>
      <c r="G14" s="36">
        <v>1</v>
      </c>
      <c r="H14" s="38">
        <v>40</v>
      </c>
      <c r="I14" s="7">
        <v>500</v>
      </c>
      <c r="J14" s="5">
        <v>300</v>
      </c>
      <c r="K14" s="15">
        <f>L14</f>
        <v>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8"/>
        <v>0.29691769953845687</v>
      </c>
      <c r="AF14" s="94">
        <f t="shared" si="7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334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L15+903</f>
        <v>903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8"/>
        <v>0.29691769953845687</v>
      </c>
      <c r="AF15" s="94">
        <f t="shared" si="7"/>
        <v>10</v>
      </c>
    </row>
    <row r="16" spans="1:36" ht="27.75" customHeight="1">
      <c r="A16" s="109">
        <v>11</v>
      </c>
      <c r="B16" s="11" t="s">
        <v>59</v>
      </c>
      <c r="C16" s="11" t="s">
        <v>144</v>
      </c>
      <c r="D16" s="55" t="s">
        <v>903</v>
      </c>
      <c r="E16" s="56" t="s">
        <v>900</v>
      </c>
      <c r="F16" s="12">
        <v>7301</v>
      </c>
      <c r="G16" s="36" t="s">
        <v>866</v>
      </c>
      <c r="H16" s="38">
        <v>25</v>
      </c>
      <c r="I16" s="7">
        <v>2000</v>
      </c>
      <c r="J16" s="14">
        <v>2050</v>
      </c>
      <c r="K16" s="15">
        <f>L16</f>
        <v>2050</v>
      </c>
      <c r="L16" s="15">
        <f>1117+933</f>
        <v>2050</v>
      </c>
      <c r="M16" s="16">
        <f t="shared" si="0"/>
        <v>2050</v>
      </c>
      <c r="N16" s="16">
        <v>0</v>
      </c>
      <c r="O16" s="62">
        <f t="shared" si="1"/>
        <v>0</v>
      </c>
      <c r="P16" s="42">
        <f t="shared" si="2"/>
        <v>10</v>
      </c>
      <c r="Q16" s="43">
        <f t="shared" si="3"/>
        <v>14</v>
      </c>
      <c r="R16" s="7"/>
      <c r="S16" s="6"/>
      <c r="T16" s="17"/>
      <c r="U16" s="17"/>
      <c r="V16" s="18"/>
      <c r="W16" s="19">
        <v>14</v>
      </c>
      <c r="X16" s="17"/>
      <c r="Y16" s="20"/>
      <c r="Z16" s="20"/>
      <c r="AA16" s="21"/>
      <c r="AB16" s="8">
        <f t="shared" si="4"/>
        <v>1</v>
      </c>
      <c r="AC16" s="9">
        <f t="shared" si="5"/>
        <v>0.41666666666666669</v>
      </c>
      <c r="AD16" s="10">
        <f t="shared" si="6"/>
        <v>0.41666666666666669</v>
      </c>
      <c r="AE16" s="39">
        <f t="shared" si="8"/>
        <v>0.29691769953845687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754</v>
      </c>
      <c r="D17" s="55" t="s">
        <v>809</v>
      </c>
      <c r="E17" s="56" t="s">
        <v>806</v>
      </c>
      <c r="F17" s="12">
        <v>8301</v>
      </c>
      <c r="G17" s="12">
        <v>1</v>
      </c>
      <c r="H17" s="13">
        <v>25</v>
      </c>
      <c r="I17" s="34">
        <v>2000</v>
      </c>
      <c r="J17" s="5">
        <v>2110</v>
      </c>
      <c r="K17" s="15">
        <f>L17+2110</f>
        <v>2110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8"/>
        <v>0.29691769953845687</v>
      </c>
      <c r="AF17" s="94">
        <f t="shared" si="7"/>
        <v>12</v>
      </c>
    </row>
    <row r="18" spans="1:32" ht="27" customHeight="1">
      <c r="A18" s="110">
        <v>13</v>
      </c>
      <c r="B18" s="11" t="s">
        <v>59</v>
      </c>
      <c r="C18" s="37" t="s">
        <v>550</v>
      </c>
      <c r="D18" s="55" t="s">
        <v>570</v>
      </c>
      <c r="E18" s="57" t="s">
        <v>217</v>
      </c>
      <c r="F18" s="33" t="s">
        <v>218</v>
      </c>
      <c r="G18" s="12">
        <v>1</v>
      </c>
      <c r="H18" s="13">
        <v>25</v>
      </c>
      <c r="I18" s="34">
        <v>35000</v>
      </c>
      <c r="J18" s="5">
        <v>5300</v>
      </c>
      <c r="K18" s="15">
        <f>L18+2973+3499+4604+5292+5636+3871+5300+5221</f>
        <v>36396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8"/>
        <v>0.29691769953845687</v>
      </c>
      <c r="AF18" s="94">
        <f t="shared" si="7"/>
        <v>13</v>
      </c>
    </row>
    <row r="19" spans="1:32" ht="27" customHeight="1">
      <c r="A19" s="110">
        <v>14</v>
      </c>
      <c r="B19" s="11" t="s">
        <v>59</v>
      </c>
      <c r="C19" s="37" t="s">
        <v>119</v>
      </c>
      <c r="D19" s="55" t="s">
        <v>58</v>
      </c>
      <c r="E19" s="57" t="s">
        <v>867</v>
      </c>
      <c r="F19" s="33" t="s">
        <v>136</v>
      </c>
      <c r="G19" s="36">
        <v>1</v>
      </c>
      <c r="H19" s="38">
        <v>25</v>
      </c>
      <c r="I19" s="7">
        <v>50000</v>
      </c>
      <c r="J19" s="5">
        <v>4910</v>
      </c>
      <c r="K19" s="15">
        <f>L19+4442</f>
        <v>9349</v>
      </c>
      <c r="L19" s="15">
        <f>2897+2010</f>
        <v>4907</v>
      </c>
      <c r="M19" s="16">
        <f t="shared" si="0"/>
        <v>4907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0.99938900203665992</v>
      </c>
      <c r="AC19" s="9">
        <f t="shared" si="5"/>
        <v>1</v>
      </c>
      <c r="AD19" s="10">
        <f t="shared" si="6"/>
        <v>0.99938900203665992</v>
      </c>
      <c r="AE19" s="39">
        <f t="shared" si="8"/>
        <v>0.29691769953845687</v>
      </c>
      <c r="AF19" s="94">
        <f t="shared" si="7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599</v>
      </c>
      <c r="F20" s="12" t="s">
        <v>117</v>
      </c>
      <c r="G20" s="12">
        <v>4</v>
      </c>
      <c r="H20" s="38">
        <v>20</v>
      </c>
      <c r="I20" s="7">
        <v>200000</v>
      </c>
      <c r="J20" s="14">
        <v>33300</v>
      </c>
      <c r="K20" s="15">
        <f>L20+50220+52380+58428+58872+64080+33228</f>
        <v>317208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8"/>
        <v>0.29691769953845687</v>
      </c>
      <c r="AF20" s="94">
        <f t="shared" si="7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458350</v>
      </c>
      <c r="J21" s="22">
        <f t="shared" si="9"/>
        <v>75181</v>
      </c>
      <c r="K21" s="23">
        <f t="shared" si="9"/>
        <v>435721</v>
      </c>
      <c r="L21" s="24">
        <f t="shared" si="9"/>
        <v>20690</v>
      </c>
      <c r="M21" s="23">
        <f t="shared" si="9"/>
        <v>20690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107</v>
      </c>
      <c r="Q21" s="46">
        <f t="shared" si="10"/>
        <v>253</v>
      </c>
      <c r="R21" s="26">
        <f t="shared" si="10"/>
        <v>24</v>
      </c>
      <c r="S21" s="27">
        <f t="shared" si="10"/>
        <v>72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157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0.39964379772967129</v>
      </c>
      <c r="AC21" s="4">
        <f>SUM(AC6:AC20)/15</f>
        <v>0.29722222222222222</v>
      </c>
      <c r="AD21" s="4">
        <f>SUM(AD6:AD20)/15</f>
        <v>0.29691769953845687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901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915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341" t="s">
        <v>47</v>
      </c>
      <c r="D50" s="341" t="s">
        <v>48</v>
      </c>
      <c r="E50" s="341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341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902</v>
      </c>
      <c r="B51" s="446"/>
      <c r="C51" s="340" t="s">
        <v>196</v>
      </c>
      <c r="D51" s="337" t="s">
        <v>904</v>
      </c>
      <c r="E51" s="340" t="s">
        <v>886</v>
      </c>
      <c r="F51" s="447" t="s">
        <v>872</v>
      </c>
      <c r="G51" s="447"/>
      <c r="H51" s="447"/>
      <c r="I51" s="447"/>
      <c r="J51" s="447"/>
      <c r="K51" s="447"/>
      <c r="L51" s="447"/>
      <c r="M51" s="448"/>
      <c r="N51" s="336" t="s">
        <v>906</v>
      </c>
      <c r="O51" s="74" t="s">
        <v>907</v>
      </c>
      <c r="P51" s="449" t="s">
        <v>908</v>
      </c>
      <c r="Q51" s="450"/>
      <c r="R51" s="451" t="s">
        <v>916</v>
      </c>
      <c r="S51" s="451"/>
      <c r="T51" s="451"/>
      <c r="U51" s="451"/>
      <c r="V51" s="447" t="s">
        <v>917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902</v>
      </c>
      <c r="B52" s="446"/>
      <c r="C52" s="340" t="s">
        <v>149</v>
      </c>
      <c r="D52" s="337" t="s">
        <v>713</v>
      </c>
      <c r="E52" s="340" t="s">
        <v>905</v>
      </c>
      <c r="F52" s="447" t="s">
        <v>872</v>
      </c>
      <c r="G52" s="447"/>
      <c r="H52" s="447"/>
      <c r="I52" s="447"/>
      <c r="J52" s="447"/>
      <c r="K52" s="447"/>
      <c r="L52" s="447"/>
      <c r="M52" s="448"/>
      <c r="N52" s="336" t="s">
        <v>910</v>
      </c>
      <c r="O52" s="74" t="s">
        <v>918</v>
      </c>
      <c r="P52" s="449" t="s">
        <v>919</v>
      </c>
      <c r="Q52" s="450"/>
      <c r="R52" s="451" t="s">
        <v>932</v>
      </c>
      <c r="S52" s="451"/>
      <c r="T52" s="451"/>
      <c r="U52" s="451"/>
      <c r="V52" s="447" t="s">
        <v>917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906</v>
      </c>
      <c r="B53" s="446"/>
      <c r="C53" s="340" t="s">
        <v>907</v>
      </c>
      <c r="D53" s="337" t="s">
        <v>908</v>
      </c>
      <c r="E53" s="340" t="s">
        <v>909</v>
      </c>
      <c r="F53" s="447" t="s">
        <v>194</v>
      </c>
      <c r="G53" s="447"/>
      <c r="H53" s="447"/>
      <c r="I53" s="447"/>
      <c r="J53" s="447"/>
      <c r="K53" s="447"/>
      <c r="L53" s="447"/>
      <c r="M53" s="448"/>
      <c r="N53" s="336" t="s">
        <v>854</v>
      </c>
      <c r="O53" s="74" t="s">
        <v>855</v>
      </c>
      <c r="P53" s="449" t="s">
        <v>856</v>
      </c>
      <c r="Q53" s="450"/>
      <c r="R53" s="451" t="s">
        <v>857</v>
      </c>
      <c r="S53" s="451"/>
      <c r="T53" s="451"/>
      <c r="U53" s="451"/>
      <c r="V53" s="447" t="s">
        <v>837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910</v>
      </c>
      <c r="B54" s="446"/>
      <c r="C54" s="340" t="s">
        <v>911</v>
      </c>
      <c r="D54" s="337" t="s">
        <v>912</v>
      </c>
      <c r="E54" s="340" t="s">
        <v>913</v>
      </c>
      <c r="F54" s="447" t="s">
        <v>914</v>
      </c>
      <c r="G54" s="447"/>
      <c r="H54" s="447"/>
      <c r="I54" s="447"/>
      <c r="J54" s="447"/>
      <c r="K54" s="447"/>
      <c r="L54" s="447"/>
      <c r="M54" s="448"/>
      <c r="N54" s="336" t="s">
        <v>922</v>
      </c>
      <c r="O54" s="74" t="s">
        <v>923</v>
      </c>
      <c r="P54" s="449" t="s">
        <v>924</v>
      </c>
      <c r="Q54" s="450"/>
      <c r="R54" s="451" t="s">
        <v>921</v>
      </c>
      <c r="S54" s="451"/>
      <c r="T54" s="451"/>
      <c r="U54" s="451"/>
      <c r="V54" s="447" t="s">
        <v>925</v>
      </c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/>
      <c r="B55" s="446"/>
      <c r="C55" s="340"/>
      <c r="D55" s="337"/>
      <c r="E55" s="340"/>
      <c r="F55" s="447"/>
      <c r="G55" s="447"/>
      <c r="H55" s="447"/>
      <c r="I55" s="447"/>
      <c r="J55" s="447"/>
      <c r="K55" s="447"/>
      <c r="L55" s="447"/>
      <c r="M55" s="448"/>
      <c r="N55" s="336" t="s">
        <v>906</v>
      </c>
      <c r="O55" s="74" t="s">
        <v>926</v>
      </c>
      <c r="P55" s="449" t="s">
        <v>927</v>
      </c>
      <c r="Q55" s="450"/>
      <c r="R55" s="451" t="s">
        <v>928</v>
      </c>
      <c r="S55" s="451"/>
      <c r="T55" s="451"/>
      <c r="U55" s="451"/>
      <c r="V55" s="447" t="s">
        <v>925</v>
      </c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340"/>
      <c r="D56" s="337"/>
      <c r="E56" s="340"/>
      <c r="F56" s="447"/>
      <c r="G56" s="447"/>
      <c r="H56" s="447"/>
      <c r="I56" s="447"/>
      <c r="J56" s="447"/>
      <c r="K56" s="447"/>
      <c r="L56" s="447"/>
      <c r="M56" s="448"/>
      <c r="N56" s="336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340"/>
      <c r="D57" s="337"/>
      <c r="E57" s="340"/>
      <c r="F57" s="447"/>
      <c r="G57" s="447"/>
      <c r="H57" s="447"/>
      <c r="I57" s="447"/>
      <c r="J57" s="447"/>
      <c r="K57" s="447"/>
      <c r="L57" s="447"/>
      <c r="M57" s="448"/>
      <c r="N57" s="336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340"/>
      <c r="D58" s="337"/>
      <c r="E58" s="340"/>
      <c r="F58" s="447"/>
      <c r="G58" s="447"/>
      <c r="H58" s="447"/>
      <c r="I58" s="447"/>
      <c r="J58" s="447"/>
      <c r="K58" s="447"/>
      <c r="L58" s="447"/>
      <c r="M58" s="448"/>
      <c r="N58" s="336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337"/>
      <c r="D59" s="337"/>
      <c r="E59" s="337"/>
      <c r="F59" s="447"/>
      <c r="G59" s="447"/>
      <c r="H59" s="447"/>
      <c r="I59" s="447"/>
      <c r="J59" s="447"/>
      <c r="K59" s="447"/>
      <c r="L59" s="447"/>
      <c r="M59" s="448"/>
      <c r="N59" s="336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339"/>
      <c r="D60" s="339"/>
      <c r="E60" s="339"/>
      <c r="F60" s="455"/>
      <c r="G60" s="455"/>
      <c r="H60" s="455"/>
      <c r="I60" s="455"/>
      <c r="J60" s="455"/>
      <c r="K60" s="455"/>
      <c r="L60" s="455"/>
      <c r="M60" s="456"/>
      <c r="N60" s="338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929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335" t="s">
        <v>2</v>
      </c>
      <c r="D62" s="335" t="s">
        <v>38</v>
      </c>
      <c r="E62" s="335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335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/>
      <c r="D63" s="331"/>
      <c r="E63" s="333"/>
      <c r="F63" s="466"/>
      <c r="G63" s="467"/>
      <c r="H63" s="467"/>
      <c r="I63" s="467"/>
      <c r="J63" s="467"/>
      <c r="K63" s="467"/>
      <c r="L63" s="467"/>
      <c r="M63" s="54"/>
      <c r="N63" s="467"/>
      <c r="O63" s="467"/>
      <c r="P63" s="468"/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/>
      <c r="D64" s="331"/>
      <c r="E64" s="333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331"/>
      <c r="E65" s="333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331"/>
      <c r="E66" s="333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331"/>
      <c r="E67" s="333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331"/>
      <c r="E68" s="333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331"/>
      <c r="E69" s="333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331"/>
      <c r="E70" s="333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930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334" t="s">
        <v>2</v>
      </c>
      <c r="D72" s="334" t="s">
        <v>38</v>
      </c>
      <c r="E72" s="334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332" t="s">
        <v>118</v>
      </c>
      <c r="D73" s="332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331" t="s">
        <v>118</v>
      </c>
      <c r="D74" s="331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331" t="s">
        <v>144</v>
      </c>
      <c r="D75" s="331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331" t="s">
        <v>119</v>
      </c>
      <c r="D76" s="331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331" t="s">
        <v>119</v>
      </c>
      <c r="D77" s="331"/>
      <c r="E77" s="35" t="s">
        <v>912</v>
      </c>
      <c r="F77" s="478" t="s">
        <v>913</v>
      </c>
      <c r="G77" s="478"/>
      <c r="H77" s="478"/>
      <c r="I77" s="478"/>
      <c r="J77" s="478"/>
      <c r="K77" s="479" t="s">
        <v>140</v>
      </c>
      <c r="L77" s="480"/>
      <c r="M77" s="480"/>
      <c r="N77" s="480"/>
      <c r="O77" s="480"/>
      <c r="P77" s="480"/>
      <c r="Q77" s="480"/>
      <c r="R77" s="480"/>
      <c r="S77" s="481"/>
      <c r="T77" s="482">
        <v>43003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331" t="s">
        <v>119</v>
      </c>
      <c r="D78" s="331"/>
      <c r="E78" s="35" t="s">
        <v>931</v>
      </c>
      <c r="F78" s="478" t="s">
        <v>933</v>
      </c>
      <c r="G78" s="478"/>
      <c r="H78" s="478"/>
      <c r="I78" s="478"/>
      <c r="J78" s="478"/>
      <c r="K78" s="479" t="s">
        <v>140</v>
      </c>
      <c r="L78" s="480"/>
      <c r="M78" s="480"/>
      <c r="N78" s="480"/>
      <c r="O78" s="480"/>
      <c r="P78" s="480"/>
      <c r="Q78" s="480"/>
      <c r="R78" s="480"/>
      <c r="S78" s="481"/>
      <c r="T78" s="482">
        <v>43003</v>
      </c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331"/>
      <c r="D79" s="331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331"/>
      <c r="D80" s="331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331"/>
      <c r="D81" s="331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934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J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935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343" t="s">
        <v>17</v>
      </c>
      <c r="L5" s="343" t="s">
        <v>18</v>
      </c>
      <c r="M5" s="343" t="s">
        <v>19</v>
      </c>
      <c r="N5" s="34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>$AD$21</f>
        <v>0.54671921433015469</v>
      </c>
      <c r="AF6" s="94">
        <f t="shared" ref="AF6:AF20" si="7">A6</f>
        <v>1</v>
      </c>
    </row>
    <row r="7" spans="1:36" ht="27" customHeight="1">
      <c r="A7" s="108">
        <v>2</v>
      </c>
      <c r="B7" s="11" t="s">
        <v>59</v>
      </c>
      <c r="C7" s="37" t="s">
        <v>119</v>
      </c>
      <c r="D7" s="55" t="s">
        <v>151</v>
      </c>
      <c r="E7" s="57" t="s">
        <v>894</v>
      </c>
      <c r="F7" s="33" t="s">
        <v>895</v>
      </c>
      <c r="G7" s="12">
        <v>1</v>
      </c>
      <c r="H7" s="13">
        <v>25</v>
      </c>
      <c r="I7" s="34">
        <v>3000</v>
      </c>
      <c r="J7" s="5">
        <v>2580</v>
      </c>
      <c r="K7" s="15">
        <f>L7+2574</f>
        <v>2574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>$AD$21</f>
        <v>0.54671921433015469</v>
      </c>
      <c r="AF7" s="94">
        <f t="shared" si="7"/>
        <v>2</v>
      </c>
    </row>
    <row r="8" spans="1:36" ht="27" customHeight="1">
      <c r="A8" s="109">
        <v>3</v>
      </c>
      <c r="B8" s="11" t="s">
        <v>59</v>
      </c>
      <c r="C8" s="11" t="s">
        <v>119</v>
      </c>
      <c r="D8" s="55" t="s">
        <v>165</v>
      </c>
      <c r="E8" s="56" t="s">
        <v>801</v>
      </c>
      <c r="F8" s="12" t="s">
        <v>167</v>
      </c>
      <c r="G8" s="36">
        <v>1</v>
      </c>
      <c r="H8" s="38">
        <v>25</v>
      </c>
      <c r="I8" s="7">
        <v>50000</v>
      </c>
      <c r="J8" s="14">
        <v>4010</v>
      </c>
      <c r="K8" s="15">
        <f>L8+2810+4005</f>
        <v>6815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>
        <v>24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>$AD$21</f>
        <v>0.54671921433015469</v>
      </c>
      <c r="AF8" s="94">
        <f>A8</f>
        <v>3</v>
      </c>
    </row>
    <row r="9" spans="1:36" ht="27" customHeight="1">
      <c r="A9" s="110">
        <v>4</v>
      </c>
      <c r="B9" s="11" t="s">
        <v>59</v>
      </c>
      <c r="C9" s="11" t="s">
        <v>119</v>
      </c>
      <c r="D9" s="55" t="s">
        <v>139</v>
      </c>
      <c r="E9" s="56" t="s">
        <v>896</v>
      </c>
      <c r="F9" s="12" t="s">
        <v>213</v>
      </c>
      <c r="G9" s="36">
        <v>1</v>
      </c>
      <c r="H9" s="38">
        <v>25</v>
      </c>
      <c r="I9" s="34">
        <v>50000</v>
      </c>
      <c r="J9" s="5">
        <v>3240</v>
      </c>
      <c r="K9" s="15">
        <f>L9+5005</f>
        <v>8245</v>
      </c>
      <c r="L9" s="15">
        <f>2941+299</f>
        <v>3240</v>
      </c>
      <c r="M9" s="16">
        <f t="shared" si="0"/>
        <v>3240</v>
      </c>
      <c r="N9" s="16">
        <v>0</v>
      </c>
      <c r="O9" s="62">
        <f t="shared" si="1"/>
        <v>0</v>
      </c>
      <c r="P9" s="42">
        <f t="shared" si="2"/>
        <v>18</v>
      </c>
      <c r="Q9" s="43">
        <f t="shared" si="3"/>
        <v>6</v>
      </c>
      <c r="R9" s="7"/>
      <c r="S9" s="6">
        <v>6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0.75</v>
      </c>
      <c r="AD9" s="10">
        <f t="shared" si="6"/>
        <v>0.75</v>
      </c>
      <c r="AE9" s="39">
        <f>$AD$21</f>
        <v>0.54671921433015469</v>
      </c>
      <c r="AF9" s="94">
        <f t="shared" si="7"/>
        <v>4</v>
      </c>
    </row>
    <row r="10" spans="1:36" ht="27" customHeight="1">
      <c r="A10" s="110">
        <v>5</v>
      </c>
      <c r="B10" s="11" t="s">
        <v>59</v>
      </c>
      <c r="C10" s="11" t="s">
        <v>119</v>
      </c>
      <c r="D10" s="55" t="s">
        <v>759</v>
      </c>
      <c r="E10" s="57" t="s">
        <v>760</v>
      </c>
      <c r="F10" s="12">
        <v>7301</v>
      </c>
      <c r="G10" s="12">
        <v>1</v>
      </c>
      <c r="H10" s="13">
        <v>25</v>
      </c>
      <c r="I10" s="34">
        <v>25000</v>
      </c>
      <c r="J10" s="14">
        <v>5440</v>
      </c>
      <c r="K10" s="15">
        <f>L10+2754+5439</f>
        <v>8193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ref="AE10:AE20" si="8">$AD$21</f>
        <v>0.54671921433015469</v>
      </c>
      <c r="AF10" s="94">
        <f t="shared" si="7"/>
        <v>5</v>
      </c>
    </row>
    <row r="11" spans="1:36" ht="27" customHeight="1">
      <c r="A11" s="110">
        <v>6</v>
      </c>
      <c r="B11" s="11" t="s">
        <v>59</v>
      </c>
      <c r="C11" s="11" t="s">
        <v>144</v>
      </c>
      <c r="D11" s="55" t="s">
        <v>936</v>
      </c>
      <c r="E11" s="56" t="s">
        <v>937</v>
      </c>
      <c r="F11" s="12" t="s">
        <v>703</v>
      </c>
      <c r="G11" s="12">
        <v>2</v>
      </c>
      <c r="H11" s="13">
        <v>25</v>
      </c>
      <c r="I11" s="34">
        <v>5000</v>
      </c>
      <c r="J11" s="14">
        <v>1130</v>
      </c>
      <c r="K11" s="15">
        <f>L11</f>
        <v>6280</v>
      </c>
      <c r="L11" s="15">
        <f>2373*2+767*2</f>
        <v>6280</v>
      </c>
      <c r="M11" s="16">
        <f t="shared" si="0"/>
        <v>6280</v>
      </c>
      <c r="N11" s="16">
        <v>0</v>
      </c>
      <c r="O11" s="62">
        <f t="shared" si="1"/>
        <v>0</v>
      </c>
      <c r="P11" s="42">
        <f t="shared" si="2"/>
        <v>16</v>
      </c>
      <c r="Q11" s="43">
        <f t="shared" si="3"/>
        <v>8</v>
      </c>
      <c r="R11" s="7"/>
      <c r="S11" s="6"/>
      <c r="T11" s="17"/>
      <c r="U11" s="17"/>
      <c r="V11" s="18"/>
      <c r="W11" s="19">
        <v>8</v>
      </c>
      <c r="X11" s="17"/>
      <c r="Y11" s="20"/>
      <c r="Z11" s="20"/>
      <c r="AA11" s="21"/>
      <c r="AB11" s="8">
        <f t="shared" si="4"/>
        <v>5.5575221238938051</v>
      </c>
      <c r="AC11" s="9">
        <f t="shared" si="5"/>
        <v>0.66666666666666663</v>
      </c>
      <c r="AD11" s="10">
        <f t="shared" si="6"/>
        <v>3.7050147492625367</v>
      </c>
      <c r="AE11" s="39">
        <f t="shared" si="8"/>
        <v>0.54671921433015469</v>
      </c>
      <c r="AF11" s="94">
        <f t="shared" si="7"/>
        <v>6</v>
      </c>
    </row>
    <row r="12" spans="1:36" ht="27" customHeight="1">
      <c r="A12" s="110">
        <v>7</v>
      </c>
      <c r="B12" s="11" t="s">
        <v>59</v>
      </c>
      <c r="C12" s="11" t="s">
        <v>118</v>
      </c>
      <c r="D12" s="55" t="s">
        <v>294</v>
      </c>
      <c r="E12" s="57" t="s">
        <v>295</v>
      </c>
      <c r="F12" s="12" t="s">
        <v>167</v>
      </c>
      <c r="G12" s="12">
        <v>1</v>
      </c>
      <c r="H12" s="13">
        <v>25</v>
      </c>
      <c r="I12" s="7">
        <v>35000</v>
      </c>
      <c r="J12" s="14">
        <v>4960</v>
      </c>
      <c r="K12" s="15">
        <f>L12+3048+3908+1500+3674+4638+4098+3327+1990+2919+4095+4963</f>
        <v>43117</v>
      </c>
      <c r="L12" s="15">
        <f>2563+2394</f>
        <v>4957</v>
      </c>
      <c r="M12" s="16">
        <f t="shared" si="0"/>
        <v>4957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0.99939516129032258</v>
      </c>
      <c r="AC12" s="9">
        <f t="shared" si="5"/>
        <v>1</v>
      </c>
      <c r="AD12" s="10">
        <f t="shared" si="6"/>
        <v>0.99939516129032258</v>
      </c>
      <c r="AE12" s="39">
        <f t="shared" si="8"/>
        <v>0.54671921433015469</v>
      </c>
      <c r="AF12" s="94">
        <f t="shared" si="7"/>
        <v>7</v>
      </c>
    </row>
    <row r="13" spans="1:36" ht="27" customHeight="1">
      <c r="A13" s="110">
        <v>8</v>
      </c>
      <c r="B13" s="11" t="s">
        <v>59</v>
      </c>
      <c r="C13" s="11" t="s">
        <v>118</v>
      </c>
      <c r="D13" s="55" t="s">
        <v>294</v>
      </c>
      <c r="E13" s="57" t="s">
        <v>174</v>
      </c>
      <c r="F13" s="12">
        <v>7301</v>
      </c>
      <c r="G13" s="12">
        <v>1</v>
      </c>
      <c r="H13" s="13">
        <v>25</v>
      </c>
      <c r="I13" s="7">
        <v>6000</v>
      </c>
      <c r="J13" s="14">
        <v>772</v>
      </c>
      <c r="K13" s="15">
        <f>L13+1142+3423</f>
        <v>5337</v>
      </c>
      <c r="L13" s="15">
        <v>772</v>
      </c>
      <c r="M13" s="16">
        <f t="shared" si="0"/>
        <v>772</v>
      </c>
      <c r="N13" s="16">
        <v>0</v>
      </c>
      <c r="O13" s="62">
        <f t="shared" si="1"/>
        <v>0</v>
      </c>
      <c r="P13" s="42">
        <f t="shared" si="2"/>
        <v>7</v>
      </c>
      <c r="Q13" s="43">
        <f t="shared" si="3"/>
        <v>17</v>
      </c>
      <c r="R13" s="7"/>
      <c r="S13" s="6">
        <v>5</v>
      </c>
      <c r="T13" s="17"/>
      <c r="U13" s="17"/>
      <c r="V13" s="18"/>
      <c r="W13" s="19">
        <v>12</v>
      </c>
      <c r="X13" s="17"/>
      <c r="Y13" s="20"/>
      <c r="Z13" s="20"/>
      <c r="AA13" s="21"/>
      <c r="AB13" s="8">
        <f t="shared" si="4"/>
        <v>1</v>
      </c>
      <c r="AC13" s="9">
        <f t="shared" si="5"/>
        <v>0.29166666666666669</v>
      </c>
      <c r="AD13" s="10">
        <f t="shared" si="6"/>
        <v>0.29166666666666669</v>
      </c>
      <c r="AE13" s="39">
        <f t="shared" si="8"/>
        <v>0.54671921433015469</v>
      </c>
      <c r="AF13" s="94">
        <f t="shared" si="7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632</v>
      </c>
      <c r="F14" s="33" t="s">
        <v>633</v>
      </c>
      <c r="G14" s="36">
        <v>1</v>
      </c>
      <c r="H14" s="38">
        <v>40</v>
      </c>
      <c r="I14" s="7">
        <v>500</v>
      </c>
      <c r="J14" s="5">
        <v>300</v>
      </c>
      <c r="K14" s="15">
        <f>L14</f>
        <v>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8"/>
        <v>0.54671921433015469</v>
      </c>
      <c r="AF14" s="94">
        <f t="shared" si="7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277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L15+903</f>
        <v>903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8"/>
        <v>0.54671921433015469</v>
      </c>
      <c r="AF15" s="94">
        <f t="shared" si="7"/>
        <v>10</v>
      </c>
    </row>
    <row r="16" spans="1:36" ht="27.75" customHeight="1">
      <c r="A16" s="109">
        <v>11</v>
      </c>
      <c r="B16" s="11" t="s">
        <v>59</v>
      </c>
      <c r="C16" s="11" t="s">
        <v>144</v>
      </c>
      <c r="D16" s="55" t="s">
        <v>881</v>
      </c>
      <c r="E16" s="56" t="s">
        <v>938</v>
      </c>
      <c r="F16" s="12">
        <v>7301</v>
      </c>
      <c r="G16" s="36" t="s">
        <v>330</v>
      </c>
      <c r="H16" s="38">
        <v>25</v>
      </c>
      <c r="I16" s="7">
        <v>2000</v>
      </c>
      <c r="J16" s="14">
        <v>2130</v>
      </c>
      <c r="K16" s="15">
        <f>L16</f>
        <v>2123</v>
      </c>
      <c r="L16" s="15">
        <f>1506+617</f>
        <v>2123</v>
      </c>
      <c r="M16" s="16">
        <f t="shared" si="0"/>
        <v>2123</v>
      </c>
      <c r="N16" s="16">
        <v>0</v>
      </c>
      <c r="O16" s="62">
        <f t="shared" si="1"/>
        <v>0</v>
      </c>
      <c r="P16" s="42">
        <f t="shared" si="2"/>
        <v>12</v>
      </c>
      <c r="Q16" s="43">
        <f t="shared" si="3"/>
        <v>12</v>
      </c>
      <c r="R16" s="7"/>
      <c r="S16" s="6"/>
      <c r="T16" s="17"/>
      <c r="U16" s="17"/>
      <c r="V16" s="18"/>
      <c r="W16" s="19">
        <v>12</v>
      </c>
      <c r="X16" s="17"/>
      <c r="Y16" s="20"/>
      <c r="Z16" s="20"/>
      <c r="AA16" s="21"/>
      <c r="AB16" s="8">
        <f t="shared" si="4"/>
        <v>0.99671361502347422</v>
      </c>
      <c r="AC16" s="9">
        <f t="shared" si="5"/>
        <v>0.5</v>
      </c>
      <c r="AD16" s="10">
        <f t="shared" si="6"/>
        <v>0.49835680751173711</v>
      </c>
      <c r="AE16" s="39">
        <f t="shared" si="8"/>
        <v>0.54671921433015469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144</v>
      </c>
      <c r="D17" s="55" t="s">
        <v>939</v>
      </c>
      <c r="E17" s="56" t="s">
        <v>940</v>
      </c>
      <c r="F17" s="12" t="s">
        <v>941</v>
      </c>
      <c r="G17" s="12">
        <v>2</v>
      </c>
      <c r="H17" s="13">
        <v>25</v>
      </c>
      <c r="I17" s="34">
        <v>8000</v>
      </c>
      <c r="J17" s="5">
        <v>2110</v>
      </c>
      <c r="K17" s="15">
        <f>L17</f>
        <v>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>
        <v>24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8"/>
        <v>0.54671921433015469</v>
      </c>
      <c r="AF17" s="94">
        <f t="shared" si="7"/>
        <v>12</v>
      </c>
    </row>
    <row r="18" spans="1:32" ht="27" customHeight="1">
      <c r="A18" s="110">
        <v>13</v>
      </c>
      <c r="B18" s="11" t="s">
        <v>59</v>
      </c>
      <c r="C18" s="37" t="s">
        <v>119</v>
      </c>
      <c r="D18" s="55" t="s">
        <v>942</v>
      </c>
      <c r="E18" s="57" t="s">
        <v>943</v>
      </c>
      <c r="F18" s="33" t="s">
        <v>218</v>
      </c>
      <c r="G18" s="12">
        <v>1</v>
      </c>
      <c r="H18" s="13">
        <v>25</v>
      </c>
      <c r="I18" s="34">
        <v>6000</v>
      </c>
      <c r="J18" s="5">
        <v>4890</v>
      </c>
      <c r="K18" s="15">
        <f>L18</f>
        <v>4882</v>
      </c>
      <c r="L18" s="15">
        <f>2858+2024</f>
        <v>4882</v>
      </c>
      <c r="M18" s="16">
        <f t="shared" si="0"/>
        <v>4882</v>
      </c>
      <c r="N18" s="16">
        <v>0</v>
      </c>
      <c r="O18" s="62">
        <f t="shared" si="1"/>
        <v>0</v>
      </c>
      <c r="P18" s="42">
        <f t="shared" si="2"/>
        <v>23</v>
      </c>
      <c r="Q18" s="43">
        <f t="shared" si="3"/>
        <v>1</v>
      </c>
      <c r="R18" s="7"/>
      <c r="S18" s="6"/>
      <c r="T18" s="17">
        <v>1</v>
      </c>
      <c r="U18" s="17"/>
      <c r="V18" s="18"/>
      <c r="W18" s="19"/>
      <c r="X18" s="17"/>
      <c r="Y18" s="20"/>
      <c r="Z18" s="20"/>
      <c r="AA18" s="21"/>
      <c r="AB18" s="8">
        <f t="shared" si="4"/>
        <v>0.99836400817995907</v>
      </c>
      <c r="AC18" s="9">
        <f t="shared" si="5"/>
        <v>0.95833333333333337</v>
      </c>
      <c r="AD18" s="10">
        <f t="shared" si="6"/>
        <v>0.9567655078391275</v>
      </c>
      <c r="AE18" s="39">
        <f t="shared" si="8"/>
        <v>0.54671921433015469</v>
      </c>
      <c r="AF18" s="94">
        <f t="shared" si="7"/>
        <v>13</v>
      </c>
    </row>
    <row r="19" spans="1:32" ht="27" customHeight="1">
      <c r="A19" s="110">
        <v>14</v>
      </c>
      <c r="B19" s="11" t="s">
        <v>59</v>
      </c>
      <c r="C19" s="37" t="s">
        <v>119</v>
      </c>
      <c r="D19" s="55" t="s">
        <v>58</v>
      </c>
      <c r="E19" s="57" t="s">
        <v>187</v>
      </c>
      <c r="F19" s="33" t="s">
        <v>136</v>
      </c>
      <c r="G19" s="36">
        <v>1</v>
      </c>
      <c r="H19" s="38">
        <v>25</v>
      </c>
      <c r="I19" s="7">
        <v>50000</v>
      </c>
      <c r="J19" s="5">
        <v>4870</v>
      </c>
      <c r="K19" s="15">
        <f>L19+4442+4907</f>
        <v>14217</v>
      </c>
      <c r="L19" s="15">
        <f>2514+2354</f>
        <v>4868</v>
      </c>
      <c r="M19" s="16">
        <f t="shared" si="0"/>
        <v>4868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0.99958932238193021</v>
      </c>
      <c r="AC19" s="9">
        <f t="shared" si="5"/>
        <v>1</v>
      </c>
      <c r="AD19" s="10">
        <f t="shared" si="6"/>
        <v>0.99958932238193021</v>
      </c>
      <c r="AE19" s="39">
        <f t="shared" si="8"/>
        <v>0.54671921433015469</v>
      </c>
      <c r="AF19" s="94">
        <f t="shared" si="7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599</v>
      </c>
      <c r="F20" s="12" t="s">
        <v>117</v>
      </c>
      <c r="G20" s="12">
        <v>4</v>
      </c>
      <c r="H20" s="38">
        <v>20</v>
      </c>
      <c r="I20" s="7">
        <v>200000</v>
      </c>
      <c r="J20" s="14">
        <v>33300</v>
      </c>
      <c r="K20" s="15">
        <f>L20+50220+52380+58428+58872+64080+33228</f>
        <v>317208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8"/>
        <v>0.54671921433015469</v>
      </c>
      <c r="AF20" s="94">
        <f t="shared" si="7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442150</v>
      </c>
      <c r="J21" s="22">
        <f t="shared" si="9"/>
        <v>72612</v>
      </c>
      <c r="K21" s="23">
        <f t="shared" si="9"/>
        <v>421856</v>
      </c>
      <c r="L21" s="24">
        <f t="shared" si="9"/>
        <v>27122</v>
      </c>
      <c r="M21" s="23">
        <f t="shared" si="9"/>
        <v>27122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124</v>
      </c>
      <c r="Q21" s="46">
        <f t="shared" si="10"/>
        <v>236</v>
      </c>
      <c r="R21" s="26">
        <f t="shared" si="10"/>
        <v>24</v>
      </c>
      <c r="S21" s="27">
        <f t="shared" si="10"/>
        <v>107</v>
      </c>
      <c r="T21" s="27">
        <f t="shared" si="10"/>
        <v>1</v>
      </c>
      <c r="U21" s="27">
        <f t="shared" si="10"/>
        <v>0</v>
      </c>
      <c r="V21" s="28">
        <f t="shared" si="10"/>
        <v>0</v>
      </c>
      <c r="W21" s="29">
        <f t="shared" si="10"/>
        <v>104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0.77010561538463262</v>
      </c>
      <c r="AC21" s="4">
        <f>SUM(AC6:AC20)/15</f>
        <v>0.34444444444444439</v>
      </c>
      <c r="AD21" s="4">
        <f>SUM(AD6:AD20)/15</f>
        <v>0.54671921433015469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944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953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344" t="s">
        <v>47</v>
      </c>
      <c r="D50" s="344" t="s">
        <v>48</v>
      </c>
      <c r="E50" s="344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344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902</v>
      </c>
      <c r="B51" s="446"/>
      <c r="C51" s="345" t="s">
        <v>196</v>
      </c>
      <c r="D51" s="346" t="s">
        <v>945</v>
      </c>
      <c r="E51" s="345" t="s">
        <v>938</v>
      </c>
      <c r="F51" s="447" t="s">
        <v>194</v>
      </c>
      <c r="G51" s="447"/>
      <c r="H51" s="447"/>
      <c r="I51" s="447"/>
      <c r="J51" s="447"/>
      <c r="K51" s="447"/>
      <c r="L51" s="447"/>
      <c r="M51" s="448"/>
      <c r="N51" s="347" t="s">
        <v>910</v>
      </c>
      <c r="O51" s="74" t="s">
        <v>918</v>
      </c>
      <c r="P51" s="449" t="s">
        <v>919</v>
      </c>
      <c r="Q51" s="450"/>
      <c r="R51" s="451" t="s">
        <v>932</v>
      </c>
      <c r="S51" s="451"/>
      <c r="T51" s="451"/>
      <c r="U51" s="451"/>
      <c r="V51" s="447" t="s">
        <v>917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902</v>
      </c>
      <c r="B52" s="446"/>
      <c r="C52" s="345" t="s">
        <v>460</v>
      </c>
      <c r="D52" s="346" t="s">
        <v>936</v>
      </c>
      <c r="E52" s="345" t="s">
        <v>937</v>
      </c>
      <c r="F52" s="447" t="s">
        <v>194</v>
      </c>
      <c r="G52" s="447"/>
      <c r="H52" s="447"/>
      <c r="I52" s="447"/>
      <c r="J52" s="447"/>
      <c r="K52" s="447"/>
      <c r="L52" s="447"/>
      <c r="M52" s="448"/>
      <c r="N52" s="347" t="s">
        <v>910</v>
      </c>
      <c r="O52" s="74" t="s">
        <v>206</v>
      </c>
      <c r="P52" s="449" t="s">
        <v>954</v>
      </c>
      <c r="Q52" s="450"/>
      <c r="R52" s="451" t="s">
        <v>955</v>
      </c>
      <c r="S52" s="451"/>
      <c r="T52" s="451"/>
      <c r="U52" s="451"/>
      <c r="V52" s="447" t="s">
        <v>917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906</v>
      </c>
      <c r="B53" s="446"/>
      <c r="C53" s="345" t="s">
        <v>907</v>
      </c>
      <c r="D53" s="346" t="s">
        <v>908</v>
      </c>
      <c r="E53" s="345" t="s">
        <v>909</v>
      </c>
      <c r="F53" s="447" t="s">
        <v>946</v>
      </c>
      <c r="G53" s="447"/>
      <c r="H53" s="447"/>
      <c r="I53" s="447"/>
      <c r="J53" s="447"/>
      <c r="K53" s="447"/>
      <c r="L53" s="447"/>
      <c r="M53" s="448"/>
      <c r="N53" s="347" t="s">
        <v>922</v>
      </c>
      <c r="O53" s="74" t="s">
        <v>948</v>
      </c>
      <c r="P53" s="449" t="s">
        <v>924</v>
      </c>
      <c r="Q53" s="450"/>
      <c r="R53" s="451" t="s">
        <v>956</v>
      </c>
      <c r="S53" s="451"/>
      <c r="T53" s="451"/>
      <c r="U53" s="451"/>
      <c r="V53" s="447" t="s">
        <v>925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947</v>
      </c>
      <c r="B54" s="446"/>
      <c r="C54" s="345" t="s">
        <v>948</v>
      </c>
      <c r="D54" s="346" t="s">
        <v>949</v>
      </c>
      <c r="E54" s="345" t="s">
        <v>950</v>
      </c>
      <c r="F54" s="447" t="s">
        <v>951</v>
      </c>
      <c r="G54" s="447"/>
      <c r="H54" s="447"/>
      <c r="I54" s="447"/>
      <c r="J54" s="447"/>
      <c r="K54" s="447"/>
      <c r="L54" s="447"/>
      <c r="M54" s="448"/>
      <c r="N54" s="347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 t="s">
        <v>910</v>
      </c>
      <c r="B55" s="446"/>
      <c r="C55" s="345" t="s">
        <v>952</v>
      </c>
      <c r="D55" s="346" t="s">
        <v>942</v>
      </c>
      <c r="E55" s="345" t="s">
        <v>943</v>
      </c>
      <c r="F55" s="447" t="s">
        <v>194</v>
      </c>
      <c r="G55" s="447"/>
      <c r="H55" s="447"/>
      <c r="I55" s="447"/>
      <c r="J55" s="447"/>
      <c r="K55" s="447"/>
      <c r="L55" s="447"/>
      <c r="M55" s="448"/>
      <c r="N55" s="347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345"/>
      <c r="D56" s="346"/>
      <c r="E56" s="345"/>
      <c r="F56" s="447"/>
      <c r="G56" s="447"/>
      <c r="H56" s="447"/>
      <c r="I56" s="447"/>
      <c r="J56" s="447"/>
      <c r="K56" s="447"/>
      <c r="L56" s="447"/>
      <c r="M56" s="448"/>
      <c r="N56" s="347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345"/>
      <c r="D57" s="346"/>
      <c r="E57" s="345"/>
      <c r="F57" s="447"/>
      <c r="G57" s="447"/>
      <c r="H57" s="447"/>
      <c r="I57" s="447"/>
      <c r="J57" s="447"/>
      <c r="K57" s="447"/>
      <c r="L57" s="447"/>
      <c r="M57" s="448"/>
      <c r="N57" s="347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345"/>
      <c r="D58" s="346"/>
      <c r="E58" s="345"/>
      <c r="F58" s="447"/>
      <c r="G58" s="447"/>
      <c r="H58" s="447"/>
      <c r="I58" s="447"/>
      <c r="J58" s="447"/>
      <c r="K58" s="447"/>
      <c r="L58" s="447"/>
      <c r="M58" s="448"/>
      <c r="N58" s="347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346"/>
      <c r="D59" s="346"/>
      <c r="E59" s="346"/>
      <c r="F59" s="447"/>
      <c r="G59" s="447"/>
      <c r="H59" s="447"/>
      <c r="I59" s="447"/>
      <c r="J59" s="447"/>
      <c r="K59" s="447"/>
      <c r="L59" s="447"/>
      <c r="M59" s="448"/>
      <c r="N59" s="347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349"/>
      <c r="D60" s="349"/>
      <c r="E60" s="349"/>
      <c r="F60" s="455"/>
      <c r="G60" s="455"/>
      <c r="H60" s="455"/>
      <c r="I60" s="455"/>
      <c r="J60" s="455"/>
      <c r="K60" s="455"/>
      <c r="L60" s="455"/>
      <c r="M60" s="456"/>
      <c r="N60" s="348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957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350" t="s">
        <v>2</v>
      </c>
      <c r="D62" s="350" t="s">
        <v>38</v>
      </c>
      <c r="E62" s="350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350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/>
      <c r="D63" s="353"/>
      <c r="E63" s="351"/>
      <c r="F63" s="466"/>
      <c r="G63" s="467"/>
      <c r="H63" s="467"/>
      <c r="I63" s="467"/>
      <c r="J63" s="467"/>
      <c r="K63" s="467"/>
      <c r="L63" s="467"/>
      <c r="M63" s="54"/>
      <c r="N63" s="467"/>
      <c r="O63" s="467"/>
      <c r="P63" s="468"/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/>
      <c r="D64" s="353"/>
      <c r="E64" s="351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353"/>
      <c r="E65" s="351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353"/>
      <c r="E66" s="351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353"/>
      <c r="E67" s="351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353"/>
      <c r="E68" s="351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353"/>
      <c r="E69" s="351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353"/>
      <c r="E70" s="351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958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352" t="s">
        <v>2</v>
      </c>
      <c r="D72" s="352" t="s">
        <v>38</v>
      </c>
      <c r="E72" s="352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354" t="s">
        <v>118</v>
      </c>
      <c r="D73" s="354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353" t="s">
        <v>118</v>
      </c>
      <c r="D74" s="353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353" t="s">
        <v>144</v>
      </c>
      <c r="D75" s="353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353" t="s">
        <v>119</v>
      </c>
      <c r="D76" s="353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353" t="s">
        <v>119</v>
      </c>
      <c r="D77" s="353"/>
      <c r="E77" s="35" t="s">
        <v>912</v>
      </c>
      <c r="F77" s="478" t="s">
        <v>913</v>
      </c>
      <c r="G77" s="478"/>
      <c r="H77" s="478"/>
      <c r="I77" s="478"/>
      <c r="J77" s="478"/>
      <c r="K77" s="479" t="s">
        <v>140</v>
      </c>
      <c r="L77" s="480"/>
      <c r="M77" s="480"/>
      <c r="N77" s="480"/>
      <c r="O77" s="480"/>
      <c r="P77" s="480"/>
      <c r="Q77" s="480"/>
      <c r="R77" s="480"/>
      <c r="S77" s="481"/>
      <c r="T77" s="482">
        <v>43003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353" t="s">
        <v>119</v>
      </c>
      <c r="D78" s="353"/>
      <c r="E78" s="35" t="s">
        <v>931</v>
      </c>
      <c r="F78" s="478" t="s">
        <v>933</v>
      </c>
      <c r="G78" s="478"/>
      <c r="H78" s="478"/>
      <c r="I78" s="478"/>
      <c r="J78" s="478"/>
      <c r="K78" s="479" t="s">
        <v>140</v>
      </c>
      <c r="L78" s="480"/>
      <c r="M78" s="480"/>
      <c r="N78" s="480"/>
      <c r="O78" s="480"/>
      <c r="P78" s="480"/>
      <c r="Q78" s="480"/>
      <c r="R78" s="480"/>
      <c r="S78" s="481"/>
      <c r="T78" s="482">
        <v>43003</v>
      </c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353"/>
      <c r="D79" s="353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353"/>
      <c r="D80" s="353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353"/>
      <c r="D81" s="353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959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J87"/>
  <sheetViews>
    <sheetView zoomScale="72" zoomScaleNormal="72" zoomScaleSheetLayoutView="70" workbookViewId="0">
      <selection activeCell="F69" sqref="F69:J6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04" t="s">
        <v>960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2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366" t="s">
        <v>17</v>
      </c>
      <c r="L5" s="366" t="s">
        <v>18</v>
      </c>
      <c r="M5" s="366" t="s">
        <v>19</v>
      </c>
      <c r="N5" s="36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2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0.46899656788204525</v>
      </c>
      <c r="AF6" s="94">
        <f t="shared" ref="AF6:AF21" si="8">A6</f>
        <v>1</v>
      </c>
    </row>
    <row r="7" spans="1:32" ht="27" customHeight="1">
      <c r="A7" s="108">
        <v>2</v>
      </c>
      <c r="B7" s="11" t="s">
        <v>59</v>
      </c>
      <c r="C7" s="37" t="s">
        <v>119</v>
      </c>
      <c r="D7" s="55" t="s">
        <v>151</v>
      </c>
      <c r="E7" s="57" t="s">
        <v>894</v>
      </c>
      <c r="F7" s="33" t="s">
        <v>895</v>
      </c>
      <c r="G7" s="12">
        <v>1</v>
      </c>
      <c r="H7" s="13">
        <v>25</v>
      </c>
      <c r="I7" s="34">
        <v>3000</v>
      </c>
      <c r="J7" s="5">
        <v>2580</v>
      </c>
      <c r="K7" s="15">
        <f>L7+2574</f>
        <v>2574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0.46899656788204525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119</v>
      </c>
      <c r="D8" s="55" t="s">
        <v>165</v>
      </c>
      <c r="E8" s="56" t="s">
        <v>801</v>
      </c>
      <c r="F8" s="12" t="s">
        <v>167</v>
      </c>
      <c r="G8" s="36">
        <v>1</v>
      </c>
      <c r="H8" s="38">
        <v>25</v>
      </c>
      <c r="I8" s="7">
        <v>50000</v>
      </c>
      <c r="J8" s="14">
        <v>4010</v>
      </c>
      <c r="K8" s="15">
        <f>L8+2810+4005</f>
        <v>6815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>
        <v>24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0.46899656788204525</v>
      </c>
      <c r="AF8" s="94">
        <f>A8</f>
        <v>3</v>
      </c>
    </row>
    <row r="9" spans="1:32" ht="27" customHeight="1">
      <c r="A9" s="110">
        <v>4</v>
      </c>
      <c r="B9" s="11" t="s">
        <v>59</v>
      </c>
      <c r="C9" s="11" t="s">
        <v>119</v>
      </c>
      <c r="D9" s="55" t="s">
        <v>139</v>
      </c>
      <c r="E9" s="56" t="s">
        <v>896</v>
      </c>
      <c r="F9" s="12" t="s">
        <v>213</v>
      </c>
      <c r="G9" s="36">
        <v>1</v>
      </c>
      <c r="H9" s="38">
        <v>25</v>
      </c>
      <c r="I9" s="34">
        <v>50000</v>
      </c>
      <c r="J9" s="5">
        <v>5680</v>
      </c>
      <c r="K9" s="15">
        <f>L9+5005+3240</f>
        <v>13923</v>
      </c>
      <c r="L9" s="15">
        <f>2955+2723</f>
        <v>5678</v>
      </c>
      <c r="M9" s="16">
        <f t="shared" si="0"/>
        <v>5678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0.99964788732394361</v>
      </c>
      <c r="AC9" s="9">
        <f t="shared" si="5"/>
        <v>1</v>
      </c>
      <c r="AD9" s="10">
        <f t="shared" si="6"/>
        <v>0.99964788732394361</v>
      </c>
      <c r="AE9" s="39">
        <f t="shared" si="7"/>
        <v>0.46899656788204525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119</v>
      </c>
      <c r="D10" s="55" t="s">
        <v>759</v>
      </c>
      <c r="E10" s="57" t="s">
        <v>760</v>
      </c>
      <c r="F10" s="12">
        <v>7301</v>
      </c>
      <c r="G10" s="12">
        <v>1</v>
      </c>
      <c r="H10" s="13">
        <v>25</v>
      </c>
      <c r="I10" s="34">
        <v>25000</v>
      </c>
      <c r="J10" s="14">
        <v>780</v>
      </c>
      <c r="K10" s="15">
        <f>L10+2754+5439</f>
        <v>8968</v>
      </c>
      <c r="L10" s="15">
        <v>775</v>
      </c>
      <c r="M10" s="16">
        <f t="shared" si="0"/>
        <v>775</v>
      </c>
      <c r="N10" s="16">
        <v>0</v>
      </c>
      <c r="O10" s="62">
        <f t="shared" si="1"/>
        <v>0</v>
      </c>
      <c r="P10" s="42">
        <f t="shared" si="2"/>
        <v>5</v>
      </c>
      <c r="Q10" s="43">
        <f t="shared" si="3"/>
        <v>19</v>
      </c>
      <c r="R10" s="7"/>
      <c r="S10" s="6">
        <v>19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0.99358974358974361</v>
      </c>
      <c r="AC10" s="9">
        <f t="shared" si="5"/>
        <v>0.20833333333333334</v>
      </c>
      <c r="AD10" s="10">
        <f t="shared" si="6"/>
        <v>0.20699786324786326</v>
      </c>
      <c r="AE10" s="39">
        <f t="shared" si="7"/>
        <v>0.46899656788204525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666</v>
      </c>
      <c r="D11" s="55" t="s">
        <v>713</v>
      </c>
      <c r="E11" s="56" t="s">
        <v>731</v>
      </c>
      <c r="F11" s="12" t="s">
        <v>714</v>
      </c>
      <c r="G11" s="12" t="s">
        <v>715</v>
      </c>
      <c r="H11" s="13">
        <v>25</v>
      </c>
      <c r="I11" s="34">
        <v>3200</v>
      </c>
      <c r="J11" s="14">
        <v>3390</v>
      </c>
      <c r="K11" s="15">
        <f>L11</f>
        <v>3387</v>
      </c>
      <c r="L11" s="15">
        <f>2541+262+584</f>
        <v>3387</v>
      </c>
      <c r="M11" s="16">
        <f t="shared" si="0"/>
        <v>3387</v>
      </c>
      <c r="N11" s="16">
        <v>0</v>
      </c>
      <c r="O11" s="62">
        <f t="shared" si="1"/>
        <v>0</v>
      </c>
      <c r="P11" s="42">
        <f t="shared" si="2"/>
        <v>15</v>
      </c>
      <c r="Q11" s="43">
        <f t="shared" si="3"/>
        <v>9</v>
      </c>
      <c r="R11" s="7"/>
      <c r="S11" s="6"/>
      <c r="T11" s="17"/>
      <c r="U11" s="17"/>
      <c r="V11" s="18"/>
      <c r="W11" s="19">
        <v>9</v>
      </c>
      <c r="X11" s="17"/>
      <c r="Y11" s="20"/>
      <c r="Z11" s="20"/>
      <c r="AA11" s="21"/>
      <c r="AB11" s="8">
        <f t="shared" si="4"/>
        <v>0.99911504424778763</v>
      </c>
      <c r="AC11" s="9">
        <f t="shared" si="5"/>
        <v>0.625</v>
      </c>
      <c r="AD11" s="10">
        <f t="shared" si="6"/>
        <v>0.62444690265486724</v>
      </c>
      <c r="AE11" s="39">
        <f t="shared" si="7"/>
        <v>0.46899656788204525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118</v>
      </c>
      <c r="D12" s="55" t="s">
        <v>294</v>
      </c>
      <c r="E12" s="57" t="s">
        <v>295</v>
      </c>
      <c r="F12" s="12" t="s">
        <v>167</v>
      </c>
      <c r="G12" s="12">
        <v>1</v>
      </c>
      <c r="H12" s="13">
        <v>25</v>
      </c>
      <c r="I12" s="7">
        <v>35000</v>
      </c>
      <c r="J12" s="14">
        <v>2660</v>
      </c>
      <c r="K12" s="15">
        <f>L12+3048+3908+1500+3674+4638+4098+3327+1990+2919+4095+4963+4957</f>
        <v>45668</v>
      </c>
      <c r="L12" s="15">
        <f>2117+434</f>
        <v>2551</v>
      </c>
      <c r="M12" s="16">
        <f t="shared" si="0"/>
        <v>2551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0.95902255639097744</v>
      </c>
      <c r="AC12" s="9">
        <f t="shared" si="5"/>
        <v>1</v>
      </c>
      <c r="AD12" s="10">
        <f t="shared" si="6"/>
        <v>0.95902255639097744</v>
      </c>
      <c r="AE12" s="39">
        <f t="shared" si="7"/>
        <v>0.46899656788204525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200</v>
      </c>
      <c r="D13" s="55" t="s">
        <v>945</v>
      </c>
      <c r="E13" s="56" t="s">
        <v>961</v>
      </c>
      <c r="F13" s="12">
        <v>7301</v>
      </c>
      <c r="G13" s="12" t="s">
        <v>962</v>
      </c>
      <c r="H13" s="13">
        <v>25</v>
      </c>
      <c r="I13" s="7">
        <v>2000</v>
      </c>
      <c r="J13" s="14">
        <v>2110</v>
      </c>
      <c r="K13" s="15">
        <f>L13</f>
        <v>2101</v>
      </c>
      <c r="L13" s="15">
        <f>2101</f>
        <v>2101</v>
      </c>
      <c r="M13" s="16">
        <f t="shared" si="0"/>
        <v>2101</v>
      </c>
      <c r="N13" s="16">
        <v>0</v>
      </c>
      <c r="O13" s="62">
        <f t="shared" si="1"/>
        <v>0</v>
      </c>
      <c r="P13" s="42">
        <f t="shared" si="2"/>
        <v>11</v>
      </c>
      <c r="Q13" s="43">
        <f t="shared" si="3"/>
        <v>13</v>
      </c>
      <c r="R13" s="7"/>
      <c r="S13" s="6"/>
      <c r="T13" s="17"/>
      <c r="U13" s="17"/>
      <c r="V13" s="18"/>
      <c r="W13" s="19">
        <v>13</v>
      </c>
      <c r="X13" s="17"/>
      <c r="Y13" s="20"/>
      <c r="Z13" s="20"/>
      <c r="AA13" s="21"/>
      <c r="AB13" s="8">
        <f t="shared" si="4"/>
        <v>0.99573459715639812</v>
      </c>
      <c r="AC13" s="9">
        <f t="shared" si="5"/>
        <v>0.45833333333333331</v>
      </c>
      <c r="AD13" s="10">
        <f t="shared" si="6"/>
        <v>0.45637835703001578</v>
      </c>
      <c r="AE13" s="39">
        <f t="shared" si="7"/>
        <v>0.46899656788204525</v>
      </c>
      <c r="AF13" s="94">
        <f t="shared" si="8"/>
        <v>8</v>
      </c>
    </row>
    <row r="14" spans="1:32" ht="27" customHeight="1">
      <c r="A14" s="110">
        <v>8</v>
      </c>
      <c r="B14" s="11" t="s">
        <v>59</v>
      </c>
      <c r="C14" s="11" t="s">
        <v>119</v>
      </c>
      <c r="D14" s="55" t="s">
        <v>963</v>
      </c>
      <c r="E14" s="56" t="s">
        <v>964</v>
      </c>
      <c r="F14" s="12" t="s">
        <v>965</v>
      </c>
      <c r="G14" s="12">
        <v>1</v>
      </c>
      <c r="H14" s="13">
        <v>25</v>
      </c>
      <c r="I14" s="7">
        <v>50000</v>
      </c>
      <c r="J14" s="14">
        <v>2840</v>
      </c>
      <c r="K14" s="15">
        <f>L14</f>
        <v>2835</v>
      </c>
      <c r="L14" s="15">
        <v>2835</v>
      </c>
      <c r="M14" s="16">
        <f t="shared" ref="M14" si="9">L14-N14</f>
        <v>2835</v>
      </c>
      <c r="N14" s="16">
        <v>0</v>
      </c>
      <c r="O14" s="62">
        <f t="shared" ref="O14" si="10">IF(L14=0,"0",N14/L14)</f>
        <v>0</v>
      </c>
      <c r="P14" s="42">
        <f t="shared" ref="P14" si="11">IF(L14=0,"0",(24-Q14))</f>
        <v>11</v>
      </c>
      <c r="Q14" s="43">
        <f t="shared" ref="Q14" si="12">SUM(R14:AA14)</f>
        <v>13</v>
      </c>
      <c r="R14" s="7"/>
      <c r="S14" s="6"/>
      <c r="T14" s="17">
        <v>13</v>
      </c>
      <c r="U14" s="17"/>
      <c r="V14" s="18"/>
      <c r="W14" s="19"/>
      <c r="X14" s="17"/>
      <c r="Y14" s="20"/>
      <c r="Z14" s="20"/>
      <c r="AA14" s="21"/>
      <c r="AB14" s="8">
        <f t="shared" ref="AB14" si="13">IF(J14=0,"0",(L14/J14))</f>
        <v>0.99823943661971826</v>
      </c>
      <c r="AC14" s="9">
        <f t="shared" ref="AC14" si="14">IF(P14=0,"0",(P14/24))</f>
        <v>0.45833333333333331</v>
      </c>
      <c r="AD14" s="10">
        <f t="shared" ref="AD14" si="15">AC14*AB14*(1-O14)</f>
        <v>0.45752640845070419</v>
      </c>
      <c r="AE14" s="39">
        <f t="shared" si="7"/>
        <v>0.46899656788204525</v>
      </c>
      <c r="AF14" s="94">
        <f t="shared" ref="AF14" si="16">A14</f>
        <v>8</v>
      </c>
    </row>
    <row r="15" spans="1:32" ht="27" customHeight="1">
      <c r="A15" s="109">
        <v>9</v>
      </c>
      <c r="B15" s="11" t="s">
        <v>59</v>
      </c>
      <c r="C15" s="37" t="s">
        <v>118</v>
      </c>
      <c r="D15" s="55" t="s">
        <v>58</v>
      </c>
      <c r="E15" s="57" t="s">
        <v>632</v>
      </c>
      <c r="F15" s="33" t="s">
        <v>633</v>
      </c>
      <c r="G15" s="36">
        <v>1</v>
      </c>
      <c r="H15" s="38">
        <v>40</v>
      </c>
      <c r="I15" s="7">
        <v>500</v>
      </c>
      <c r="J15" s="5">
        <v>300</v>
      </c>
      <c r="K15" s="15">
        <f>L15</f>
        <v>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>
        <v>24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0.46899656788204525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11" t="s">
        <v>141</v>
      </c>
      <c r="D16" s="55" t="s">
        <v>137</v>
      </c>
      <c r="E16" s="57" t="s">
        <v>277</v>
      </c>
      <c r="F16" s="12" t="s">
        <v>143</v>
      </c>
      <c r="G16" s="12">
        <v>1</v>
      </c>
      <c r="H16" s="13">
        <v>25</v>
      </c>
      <c r="I16" s="34">
        <v>650</v>
      </c>
      <c r="J16" s="14">
        <v>910</v>
      </c>
      <c r="K16" s="15">
        <f>L16+903</f>
        <v>903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0.46899656788204525</v>
      </c>
      <c r="AF16" s="94">
        <f t="shared" si="8"/>
        <v>10</v>
      </c>
    </row>
    <row r="17" spans="1:36" ht="27.75" customHeight="1">
      <c r="A17" s="109">
        <v>11</v>
      </c>
      <c r="B17" s="11" t="s">
        <v>59</v>
      </c>
      <c r="C17" s="11" t="s">
        <v>144</v>
      </c>
      <c r="D17" s="55" t="s">
        <v>966</v>
      </c>
      <c r="E17" s="56" t="s">
        <v>967</v>
      </c>
      <c r="F17" s="12">
        <v>7301</v>
      </c>
      <c r="G17" s="36" t="s">
        <v>330</v>
      </c>
      <c r="H17" s="38">
        <v>25</v>
      </c>
      <c r="I17" s="7">
        <v>2000</v>
      </c>
      <c r="J17" s="14">
        <v>2120</v>
      </c>
      <c r="K17" s="15">
        <f>L17</f>
        <v>2116</v>
      </c>
      <c r="L17" s="15">
        <f>846+1270</f>
        <v>2116</v>
      </c>
      <c r="M17" s="16">
        <f t="shared" si="0"/>
        <v>2116</v>
      </c>
      <c r="N17" s="16">
        <v>0</v>
      </c>
      <c r="O17" s="62">
        <f t="shared" si="1"/>
        <v>0</v>
      </c>
      <c r="P17" s="42">
        <f t="shared" si="2"/>
        <v>12</v>
      </c>
      <c r="Q17" s="43">
        <f t="shared" si="3"/>
        <v>12</v>
      </c>
      <c r="R17" s="7"/>
      <c r="S17" s="6"/>
      <c r="T17" s="17"/>
      <c r="U17" s="17"/>
      <c r="V17" s="18"/>
      <c r="W17" s="19">
        <v>12</v>
      </c>
      <c r="X17" s="17"/>
      <c r="Y17" s="20"/>
      <c r="Z17" s="20"/>
      <c r="AA17" s="21"/>
      <c r="AB17" s="8">
        <f t="shared" si="4"/>
        <v>0.99811320754716981</v>
      </c>
      <c r="AC17" s="9">
        <f t="shared" si="5"/>
        <v>0.5</v>
      </c>
      <c r="AD17" s="10">
        <f t="shared" si="6"/>
        <v>0.49905660377358491</v>
      </c>
      <c r="AE17" s="39">
        <f t="shared" si="7"/>
        <v>0.46899656788204525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59</v>
      </c>
      <c r="C18" s="37" t="s">
        <v>144</v>
      </c>
      <c r="D18" s="55" t="s">
        <v>150</v>
      </c>
      <c r="E18" s="56" t="s">
        <v>940</v>
      </c>
      <c r="F18" s="12" t="s">
        <v>363</v>
      </c>
      <c r="G18" s="12">
        <v>2</v>
      </c>
      <c r="H18" s="13">
        <v>25</v>
      </c>
      <c r="I18" s="34">
        <v>8000</v>
      </c>
      <c r="J18" s="5">
        <v>9310</v>
      </c>
      <c r="K18" s="15">
        <f>L18</f>
        <v>9308</v>
      </c>
      <c r="L18" s="15">
        <f>2918*2+1736*2</f>
        <v>9308</v>
      </c>
      <c r="M18" s="16">
        <f t="shared" si="0"/>
        <v>9308</v>
      </c>
      <c r="N18" s="16">
        <v>0</v>
      </c>
      <c r="O18" s="62">
        <f t="shared" si="1"/>
        <v>0</v>
      </c>
      <c r="P18" s="42">
        <f t="shared" si="2"/>
        <v>22</v>
      </c>
      <c r="Q18" s="43">
        <f t="shared" si="3"/>
        <v>2</v>
      </c>
      <c r="R18" s="7"/>
      <c r="S18" s="6">
        <v>2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0.99978517722878624</v>
      </c>
      <c r="AC18" s="9">
        <f t="shared" si="5"/>
        <v>0.91666666666666663</v>
      </c>
      <c r="AD18" s="10">
        <f t="shared" si="6"/>
        <v>0.91646974579305396</v>
      </c>
      <c r="AE18" s="39">
        <f t="shared" si="7"/>
        <v>0.46899656788204525</v>
      </c>
      <c r="AF18" s="94">
        <f t="shared" si="8"/>
        <v>12</v>
      </c>
    </row>
    <row r="19" spans="1:36" ht="27" customHeight="1">
      <c r="A19" s="110">
        <v>13</v>
      </c>
      <c r="B19" s="11" t="s">
        <v>59</v>
      </c>
      <c r="C19" s="37" t="s">
        <v>119</v>
      </c>
      <c r="D19" s="55" t="s">
        <v>197</v>
      </c>
      <c r="E19" s="57" t="s">
        <v>928</v>
      </c>
      <c r="F19" s="33" t="s">
        <v>218</v>
      </c>
      <c r="G19" s="12">
        <v>1</v>
      </c>
      <c r="H19" s="13">
        <v>25</v>
      </c>
      <c r="I19" s="34">
        <v>6000</v>
      </c>
      <c r="J19" s="5">
        <v>4420</v>
      </c>
      <c r="K19" s="15">
        <f>L19+4882</f>
        <v>9301</v>
      </c>
      <c r="L19" s="15">
        <f>2440+1979</f>
        <v>4419</v>
      </c>
      <c r="M19" s="16">
        <f t="shared" si="0"/>
        <v>4419</v>
      </c>
      <c r="N19" s="16">
        <v>0</v>
      </c>
      <c r="O19" s="62">
        <f t="shared" si="1"/>
        <v>0</v>
      </c>
      <c r="P19" s="42">
        <f t="shared" si="2"/>
        <v>22</v>
      </c>
      <c r="Q19" s="43">
        <f t="shared" si="3"/>
        <v>2</v>
      </c>
      <c r="R19" s="7"/>
      <c r="S19" s="6">
        <v>2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0.9997737556561086</v>
      </c>
      <c r="AC19" s="9">
        <f t="shared" si="5"/>
        <v>0.91666666666666663</v>
      </c>
      <c r="AD19" s="10">
        <f t="shared" si="6"/>
        <v>0.91645927601809951</v>
      </c>
      <c r="AE19" s="39">
        <f t="shared" si="7"/>
        <v>0.46899656788204525</v>
      </c>
      <c r="AF19" s="94">
        <f t="shared" si="8"/>
        <v>13</v>
      </c>
    </row>
    <row r="20" spans="1:36" ht="27" customHeight="1">
      <c r="A20" s="110">
        <v>14</v>
      </c>
      <c r="B20" s="11" t="s">
        <v>59</v>
      </c>
      <c r="C20" s="37" t="s">
        <v>119</v>
      </c>
      <c r="D20" s="55" t="s">
        <v>58</v>
      </c>
      <c r="E20" s="57" t="s">
        <v>187</v>
      </c>
      <c r="F20" s="33" t="s">
        <v>136</v>
      </c>
      <c r="G20" s="36">
        <v>1</v>
      </c>
      <c r="H20" s="38">
        <v>25</v>
      </c>
      <c r="I20" s="7">
        <v>50000</v>
      </c>
      <c r="J20" s="5">
        <v>4730</v>
      </c>
      <c r="K20" s="15">
        <f>L20+4442+4907+4868</f>
        <v>18942</v>
      </c>
      <c r="L20" s="15">
        <f>2371+2354</f>
        <v>4725</v>
      </c>
      <c r="M20" s="16">
        <f t="shared" si="0"/>
        <v>4725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0.9989429175475687</v>
      </c>
      <c r="AC20" s="9">
        <f t="shared" si="5"/>
        <v>1</v>
      </c>
      <c r="AD20" s="10">
        <f t="shared" si="6"/>
        <v>0.9989429175475687</v>
      </c>
      <c r="AE20" s="39">
        <f t="shared" si="7"/>
        <v>0.46899656788204525</v>
      </c>
      <c r="AF20" s="94">
        <f t="shared" si="8"/>
        <v>14</v>
      </c>
    </row>
    <row r="21" spans="1:36" ht="27" customHeight="1" thickBot="1">
      <c r="A21" s="110">
        <v>15</v>
      </c>
      <c r="B21" s="11" t="s">
        <v>59</v>
      </c>
      <c r="C21" s="11" t="s">
        <v>116</v>
      </c>
      <c r="D21" s="55"/>
      <c r="E21" s="56" t="s">
        <v>599</v>
      </c>
      <c r="F21" s="12" t="s">
        <v>117</v>
      </c>
      <c r="G21" s="12">
        <v>4</v>
      </c>
      <c r="H21" s="38">
        <v>20</v>
      </c>
      <c r="I21" s="7">
        <v>200000</v>
      </c>
      <c r="J21" s="14">
        <v>33300</v>
      </c>
      <c r="K21" s="15">
        <f>L21+50220+52380+58428+58872+64080+33228</f>
        <v>317208</v>
      </c>
      <c r="L21" s="15">
        <v>0</v>
      </c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0.46899656788204525</v>
      </c>
      <c r="AF21" s="94">
        <f t="shared" si="8"/>
        <v>15</v>
      </c>
    </row>
    <row r="22" spans="1:36" ht="31.5" customHeight="1" thickBot="1">
      <c r="A22" s="418" t="s">
        <v>34</v>
      </c>
      <c r="B22" s="419"/>
      <c r="C22" s="419"/>
      <c r="D22" s="419"/>
      <c r="E22" s="419"/>
      <c r="F22" s="419"/>
      <c r="G22" s="419"/>
      <c r="H22" s="420"/>
      <c r="I22" s="25">
        <f t="shared" ref="I22:N22" si="17">SUM(I6:I21)</f>
        <v>486350</v>
      </c>
      <c r="J22" s="22">
        <f t="shared" si="17"/>
        <v>81110</v>
      </c>
      <c r="K22" s="23">
        <f t="shared" si="17"/>
        <v>446011</v>
      </c>
      <c r="L22" s="24">
        <f t="shared" si="17"/>
        <v>37895</v>
      </c>
      <c r="M22" s="23">
        <f t="shared" si="17"/>
        <v>37895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170</v>
      </c>
      <c r="Q22" s="46">
        <f t="shared" si="18"/>
        <v>214</v>
      </c>
      <c r="R22" s="26">
        <f t="shared" si="18"/>
        <v>24</v>
      </c>
      <c r="S22" s="27">
        <f t="shared" si="18"/>
        <v>71</v>
      </c>
      <c r="T22" s="27">
        <f t="shared" si="18"/>
        <v>13</v>
      </c>
      <c r="U22" s="27">
        <f t="shared" si="18"/>
        <v>0</v>
      </c>
      <c r="V22" s="28">
        <f t="shared" si="18"/>
        <v>0</v>
      </c>
      <c r="W22" s="29">
        <f t="shared" si="18"/>
        <v>106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0.66279762155388</v>
      </c>
      <c r="AC22" s="4">
        <f>SUM(AC6:AC21)/15</f>
        <v>0.47222222222222227</v>
      </c>
      <c r="AD22" s="4">
        <f>SUM(AD6:AD21)/15</f>
        <v>0.46899656788204525</v>
      </c>
      <c r="AE22" s="32"/>
    </row>
    <row r="24" spans="1:36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21" t="s">
        <v>46</v>
      </c>
      <c r="B49" s="421"/>
      <c r="C49" s="421"/>
      <c r="D49" s="421"/>
      <c r="E49" s="42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22" t="s">
        <v>968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4"/>
      <c r="N50" s="425" t="s">
        <v>984</v>
      </c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26"/>
      <c r="AD50" s="427"/>
    </row>
    <row r="51" spans="1:32" ht="27" customHeight="1">
      <c r="A51" s="428" t="s">
        <v>2</v>
      </c>
      <c r="B51" s="429"/>
      <c r="C51" s="365" t="s">
        <v>47</v>
      </c>
      <c r="D51" s="365" t="s">
        <v>48</v>
      </c>
      <c r="E51" s="365" t="s">
        <v>110</v>
      </c>
      <c r="F51" s="429" t="s">
        <v>109</v>
      </c>
      <c r="G51" s="429"/>
      <c r="H51" s="429"/>
      <c r="I51" s="429"/>
      <c r="J51" s="429"/>
      <c r="K51" s="429"/>
      <c r="L51" s="429"/>
      <c r="M51" s="430"/>
      <c r="N51" s="73" t="s">
        <v>114</v>
      </c>
      <c r="O51" s="365" t="s">
        <v>47</v>
      </c>
      <c r="P51" s="431" t="s">
        <v>48</v>
      </c>
      <c r="Q51" s="432"/>
      <c r="R51" s="431" t="s">
        <v>39</v>
      </c>
      <c r="S51" s="433"/>
      <c r="T51" s="433"/>
      <c r="U51" s="432"/>
      <c r="V51" s="431" t="s">
        <v>49</v>
      </c>
      <c r="W51" s="433"/>
      <c r="X51" s="433"/>
      <c r="Y51" s="433"/>
      <c r="Z51" s="433"/>
      <c r="AA51" s="433"/>
      <c r="AB51" s="433"/>
      <c r="AC51" s="433"/>
      <c r="AD51" s="434"/>
    </row>
    <row r="52" spans="1:32" ht="27" customHeight="1">
      <c r="A52" s="445" t="s">
        <v>902</v>
      </c>
      <c r="B52" s="446"/>
      <c r="C52" s="364" t="s">
        <v>196</v>
      </c>
      <c r="D52" s="361" t="s">
        <v>966</v>
      </c>
      <c r="E52" s="364" t="s">
        <v>969</v>
      </c>
      <c r="F52" s="447" t="s">
        <v>194</v>
      </c>
      <c r="G52" s="447"/>
      <c r="H52" s="447"/>
      <c r="I52" s="447"/>
      <c r="J52" s="447"/>
      <c r="K52" s="447"/>
      <c r="L52" s="447"/>
      <c r="M52" s="448"/>
      <c r="N52" s="360" t="s">
        <v>989</v>
      </c>
      <c r="O52" s="74" t="s">
        <v>383</v>
      </c>
      <c r="P52" s="449" t="s">
        <v>977</v>
      </c>
      <c r="Q52" s="450"/>
      <c r="R52" s="451" t="s">
        <v>920</v>
      </c>
      <c r="S52" s="451"/>
      <c r="T52" s="451"/>
      <c r="U52" s="451"/>
      <c r="V52" s="447" t="s">
        <v>990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902</v>
      </c>
      <c r="B53" s="446"/>
      <c r="C53" s="364" t="s">
        <v>970</v>
      </c>
      <c r="D53" s="361" t="s">
        <v>971</v>
      </c>
      <c r="E53" s="364" t="s">
        <v>972</v>
      </c>
      <c r="F53" s="447" t="s">
        <v>973</v>
      </c>
      <c r="G53" s="447"/>
      <c r="H53" s="447"/>
      <c r="I53" s="447"/>
      <c r="J53" s="447"/>
      <c r="K53" s="447"/>
      <c r="L53" s="447"/>
      <c r="M53" s="448"/>
      <c r="N53" s="360" t="s">
        <v>985</v>
      </c>
      <c r="O53" s="74" t="s">
        <v>191</v>
      </c>
      <c r="P53" s="449" t="s">
        <v>986</v>
      </c>
      <c r="Q53" s="450"/>
      <c r="R53" s="451" t="s">
        <v>987</v>
      </c>
      <c r="S53" s="451"/>
      <c r="T53" s="451"/>
      <c r="U53" s="451"/>
      <c r="V53" s="447" t="s">
        <v>990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974</v>
      </c>
      <c r="B54" s="446"/>
      <c r="C54" s="364" t="s">
        <v>948</v>
      </c>
      <c r="D54" s="361" t="s">
        <v>945</v>
      </c>
      <c r="E54" s="364" t="s">
        <v>961</v>
      </c>
      <c r="F54" s="447" t="s">
        <v>975</v>
      </c>
      <c r="G54" s="447"/>
      <c r="H54" s="447"/>
      <c r="I54" s="447"/>
      <c r="J54" s="447"/>
      <c r="K54" s="447"/>
      <c r="L54" s="447"/>
      <c r="M54" s="448"/>
      <c r="N54" s="360" t="s">
        <v>992</v>
      </c>
      <c r="O54" s="74" t="s">
        <v>979</v>
      </c>
      <c r="P54" s="449" t="s">
        <v>993</v>
      </c>
      <c r="Q54" s="450"/>
      <c r="R54" s="451" t="s">
        <v>994</v>
      </c>
      <c r="S54" s="451"/>
      <c r="T54" s="451"/>
      <c r="U54" s="451"/>
      <c r="V54" s="447" t="s">
        <v>995</v>
      </c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 t="s">
        <v>910</v>
      </c>
      <c r="B55" s="446"/>
      <c r="C55" s="364" t="s">
        <v>952</v>
      </c>
      <c r="D55" s="361" t="s">
        <v>197</v>
      </c>
      <c r="E55" s="364" t="s">
        <v>928</v>
      </c>
      <c r="F55" s="447" t="s">
        <v>976</v>
      </c>
      <c r="G55" s="447"/>
      <c r="H55" s="447"/>
      <c r="I55" s="447"/>
      <c r="J55" s="447"/>
      <c r="K55" s="447"/>
      <c r="L55" s="447"/>
      <c r="M55" s="448"/>
      <c r="N55" s="360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 t="s">
        <v>119</v>
      </c>
      <c r="B56" s="446"/>
      <c r="C56" s="364" t="s">
        <v>383</v>
      </c>
      <c r="D56" s="361" t="s">
        <v>977</v>
      </c>
      <c r="E56" s="364" t="s">
        <v>978</v>
      </c>
      <c r="F56" s="447" t="s">
        <v>991</v>
      </c>
      <c r="G56" s="447"/>
      <c r="H56" s="447"/>
      <c r="I56" s="447"/>
      <c r="J56" s="447"/>
      <c r="K56" s="447"/>
      <c r="L56" s="447"/>
      <c r="M56" s="448"/>
      <c r="N56" s="360"/>
      <c r="O56" s="74"/>
      <c r="P56" s="449"/>
      <c r="Q56" s="450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 t="s">
        <v>200</v>
      </c>
      <c r="B57" s="446"/>
      <c r="C57" s="364" t="s">
        <v>979</v>
      </c>
      <c r="D57" s="361" t="s">
        <v>980</v>
      </c>
      <c r="E57" s="364" t="s">
        <v>982</v>
      </c>
      <c r="F57" s="447" t="s">
        <v>983</v>
      </c>
      <c r="G57" s="447"/>
      <c r="H57" s="447"/>
      <c r="I57" s="447"/>
      <c r="J57" s="447"/>
      <c r="K57" s="447"/>
      <c r="L57" s="447"/>
      <c r="M57" s="448"/>
      <c r="N57" s="360"/>
      <c r="O57" s="74"/>
      <c r="P57" s="451"/>
      <c r="Q57" s="451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 t="s">
        <v>985</v>
      </c>
      <c r="B58" s="446"/>
      <c r="C58" s="364" t="s">
        <v>191</v>
      </c>
      <c r="D58" s="361" t="s">
        <v>986</v>
      </c>
      <c r="E58" s="364" t="s">
        <v>987</v>
      </c>
      <c r="F58" s="447" t="s">
        <v>988</v>
      </c>
      <c r="G58" s="447"/>
      <c r="H58" s="447"/>
      <c r="I58" s="447"/>
      <c r="J58" s="447"/>
      <c r="K58" s="447"/>
      <c r="L58" s="447"/>
      <c r="M58" s="448"/>
      <c r="N58" s="360"/>
      <c r="O58" s="74"/>
      <c r="P58" s="449"/>
      <c r="Q58" s="450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45"/>
      <c r="B59" s="446"/>
      <c r="C59" s="364"/>
      <c r="D59" s="361"/>
      <c r="E59" s="364"/>
      <c r="F59" s="447"/>
      <c r="G59" s="447"/>
      <c r="H59" s="447"/>
      <c r="I59" s="447"/>
      <c r="J59" s="447"/>
      <c r="K59" s="447"/>
      <c r="L59" s="447"/>
      <c r="M59" s="448"/>
      <c r="N59" s="360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</row>
    <row r="60" spans="1:32" ht="27" customHeight="1">
      <c r="A60" s="452"/>
      <c r="B60" s="451"/>
      <c r="C60" s="361"/>
      <c r="D60" s="361"/>
      <c r="E60" s="361"/>
      <c r="F60" s="447"/>
      <c r="G60" s="447"/>
      <c r="H60" s="447"/>
      <c r="I60" s="447"/>
      <c r="J60" s="447"/>
      <c r="K60" s="447"/>
      <c r="L60" s="447"/>
      <c r="M60" s="448"/>
      <c r="N60" s="360"/>
      <c r="O60" s="74"/>
      <c r="P60" s="451"/>
      <c r="Q60" s="451"/>
      <c r="R60" s="451"/>
      <c r="S60" s="451"/>
      <c r="T60" s="451"/>
      <c r="U60" s="451"/>
      <c r="V60" s="447"/>
      <c r="W60" s="447"/>
      <c r="X60" s="447"/>
      <c r="Y60" s="447"/>
      <c r="Z60" s="447"/>
      <c r="AA60" s="447"/>
      <c r="AB60" s="447"/>
      <c r="AC60" s="447"/>
      <c r="AD60" s="448"/>
      <c r="AF60" s="94">
        <f>8*3000</f>
        <v>24000</v>
      </c>
    </row>
    <row r="61" spans="1:32" ht="27" customHeight="1" thickBot="1">
      <c r="A61" s="453"/>
      <c r="B61" s="454"/>
      <c r="C61" s="363"/>
      <c r="D61" s="363"/>
      <c r="E61" s="363"/>
      <c r="F61" s="455"/>
      <c r="G61" s="455"/>
      <c r="H61" s="455"/>
      <c r="I61" s="455"/>
      <c r="J61" s="455"/>
      <c r="K61" s="455"/>
      <c r="L61" s="455"/>
      <c r="M61" s="456"/>
      <c r="N61" s="362"/>
      <c r="O61" s="121"/>
      <c r="P61" s="454"/>
      <c r="Q61" s="454"/>
      <c r="R61" s="454"/>
      <c r="S61" s="454"/>
      <c r="T61" s="454"/>
      <c r="U61" s="454"/>
      <c r="V61" s="455"/>
      <c r="W61" s="455"/>
      <c r="X61" s="455"/>
      <c r="Y61" s="455"/>
      <c r="Z61" s="455"/>
      <c r="AA61" s="455"/>
      <c r="AB61" s="455"/>
      <c r="AC61" s="455"/>
      <c r="AD61" s="456"/>
      <c r="AF61" s="94">
        <f>16*3000</f>
        <v>48000</v>
      </c>
    </row>
    <row r="62" spans="1:32" ht="27.75" thickBot="1">
      <c r="A62" s="457" t="s">
        <v>996</v>
      </c>
      <c r="B62" s="457"/>
      <c r="C62" s="457"/>
      <c r="D62" s="457"/>
      <c r="E62" s="45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58" t="s">
        <v>115</v>
      </c>
      <c r="B63" s="459"/>
      <c r="C63" s="359" t="s">
        <v>2</v>
      </c>
      <c r="D63" s="359" t="s">
        <v>38</v>
      </c>
      <c r="E63" s="359" t="s">
        <v>3</v>
      </c>
      <c r="F63" s="459" t="s">
        <v>112</v>
      </c>
      <c r="G63" s="459"/>
      <c r="H63" s="459"/>
      <c r="I63" s="459"/>
      <c r="J63" s="459"/>
      <c r="K63" s="459" t="s">
        <v>40</v>
      </c>
      <c r="L63" s="459"/>
      <c r="M63" s="359" t="s">
        <v>41</v>
      </c>
      <c r="N63" s="459" t="s">
        <v>42</v>
      </c>
      <c r="O63" s="459"/>
      <c r="P63" s="460" t="s">
        <v>43</v>
      </c>
      <c r="Q63" s="461"/>
      <c r="R63" s="460" t="s">
        <v>44</v>
      </c>
      <c r="S63" s="462"/>
      <c r="T63" s="462"/>
      <c r="U63" s="462"/>
      <c r="V63" s="462"/>
      <c r="W63" s="462"/>
      <c r="X63" s="462"/>
      <c r="Y63" s="462"/>
      <c r="Z63" s="462"/>
      <c r="AA63" s="461"/>
      <c r="AB63" s="459" t="s">
        <v>45</v>
      </c>
      <c r="AC63" s="459"/>
      <c r="AD63" s="463"/>
      <c r="AF63" s="94">
        <f>SUM(AF60:AF62)</f>
        <v>96000</v>
      </c>
    </row>
    <row r="64" spans="1:32" ht="25.5" customHeight="1">
      <c r="A64" s="464">
        <v>1</v>
      </c>
      <c r="B64" s="465"/>
      <c r="C64" s="124"/>
      <c r="D64" s="355"/>
      <c r="E64" s="357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2</v>
      </c>
      <c r="B65" s="465"/>
      <c r="C65" s="124"/>
      <c r="D65" s="355"/>
      <c r="E65" s="357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3</v>
      </c>
      <c r="B66" s="465"/>
      <c r="C66" s="124"/>
      <c r="D66" s="355"/>
      <c r="E66" s="357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4</v>
      </c>
      <c r="B67" s="465"/>
      <c r="C67" s="124"/>
      <c r="D67" s="355"/>
      <c r="E67" s="357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5</v>
      </c>
      <c r="B68" s="465"/>
      <c r="C68" s="124"/>
      <c r="D68" s="355"/>
      <c r="E68" s="357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6</v>
      </c>
      <c r="B69" s="465"/>
      <c r="C69" s="124"/>
      <c r="D69" s="355"/>
      <c r="E69" s="357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7</v>
      </c>
      <c r="B70" s="465"/>
      <c r="C70" s="124"/>
      <c r="D70" s="355"/>
      <c r="E70" s="357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5.5" customHeight="1">
      <c r="A71" s="464">
        <v>8</v>
      </c>
      <c r="B71" s="465"/>
      <c r="C71" s="124"/>
      <c r="D71" s="355"/>
      <c r="E71" s="357"/>
      <c r="F71" s="466"/>
      <c r="G71" s="467"/>
      <c r="H71" s="467"/>
      <c r="I71" s="467"/>
      <c r="J71" s="467"/>
      <c r="K71" s="467"/>
      <c r="L71" s="467"/>
      <c r="M71" s="54"/>
      <c r="N71" s="467"/>
      <c r="O71" s="467"/>
      <c r="P71" s="468"/>
      <c r="Q71" s="468"/>
      <c r="R71" s="447"/>
      <c r="S71" s="447"/>
      <c r="T71" s="447"/>
      <c r="U71" s="447"/>
      <c r="V71" s="447"/>
      <c r="W71" s="447"/>
      <c r="X71" s="447"/>
      <c r="Y71" s="447"/>
      <c r="Z71" s="447"/>
      <c r="AA71" s="447"/>
      <c r="AB71" s="467"/>
      <c r="AC71" s="467"/>
      <c r="AD71" s="469"/>
      <c r="AF71" s="53"/>
    </row>
    <row r="72" spans="1:32" ht="26.25" customHeight="1" thickBot="1">
      <c r="A72" s="470" t="s">
        <v>997</v>
      </c>
      <c r="B72" s="470"/>
      <c r="C72" s="470"/>
      <c r="D72" s="470"/>
      <c r="E72" s="470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71" t="s">
        <v>115</v>
      </c>
      <c r="B73" s="472"/>
      <c r="C73" s="358" t="s">
        <v>2</v>
      </c>
      <c r="D73" s="358" t="s">
        <v>38</v>
      </c>
      <c r="E73" s="358" t="s">
        <v>3</v>
      </c>
      <c r="F73" s="472" t="s">
        <v>39</v>
      </c>
      <c r="G73" s="472"/>
      <c r="H73" s="472"/>
      <c r="I73" s="472"/>
      <c r="J73" s="472"/>
      <c r="K73" s="473" t="s">
        <v>60</v>
      </c>
      <c r="L73" s="474"/>
      <c r="M73" s="474"/>
      <c r="N73" s="474"/>
      <c r="O73" s="474"/>
      <c r="P73" s="474"/>
      <c r="Q73" s="474"/>
      <c r="R73" s="474"/>
      <c r="S73" s="475"/>
      <c r="T73" s="472" t="s">
        <v>50</v>
      </c>
      <c r="U73" s="472"/>
      <c r="V73" s="473" t="s">
        <v>51</v>
      </c>
      <c r="W73" s="475"/>
      <c r="X73" s="474" t="s">
        <v>52</v>
      </c>
      <c r="Y73" s="474"/>
      <c r="Z73" s="474"/>
      <c r="AA73" s="474"/>
      <c r="AB73" s="474"/>
      <c r="AC73" s="474"/>
      <c r="AD73" s="476"/>
      <c r="AF73" s="53"/>
    </row>
    <row r="74" spans="1:32" ht="33.75" customHeight="1">
      <c r="A74" s="485">
        <v>1</v>
      </c>
      <c r="B74" s="486"/>
      <c r="C74" s="356" t="s">
        <v>118</v>
      </c>
      <c r="D74" s="356"/>
      <c r="E74" s="71" t="s">
        <v>124</v>
      </c>
      <c r="F74" s="487" t="s">
        <v>125</v>
      </c>
      <c r="G74" s="488"/>
      <c r="H74" s="488"/>
      <c r="I74" s="488"/>
      <c r="J74" s="489"/>
      <c r="K74" s="490" t="s">
        <v>120</v>
      </c>
      <c r="L74" s="491"/>
      <c r="M74" s="491"/>
      <c r="N74" s="491"/>
      <c r="O74" s="491"/>
      <c r="P74" s="491"/>
      <c r="Q74" s="491"/>
      <c r="R74" s="491"/>
      <c r="S74" s="492"/>
      <c r="T74" s="493">
        <v>42901</v>
      </c>
      <c r="U74" s="494"/>
      <c r="V74" s="495"/>
      <c r="W74" s="495"/>
      <c r="X74" s="496"/>
      <c r="Y74" s="496"/>
      <c r="Z74" s="496"/>
      <c r="AA74" s="496"/>
      <c r="AB74" s="496"/>
      <c r="AC74" s="496"/>
      <c r="AD74" s="497"/>
      <c r="AF74" s="53"/>
    </row>
    <row r="75" spans="1:32" ht="30" customHeight="1">
      <c r="A75" s="477">
        <f>A74+1</f>
        <v>2</v>
      </c>
      <c r="B75" s="478"/>
      <c r="C75" s="355" t="s">
        <v>118</v>
      </c>
      <c r="D75" s="355"/>
      <c r="E75" s="35" t="s">
        <v>121</v>
      </c>
      <c r="F75" s="478" t="s">
        <v>122</v>
      </c>
      <c r="G75" s="478"/>
      <c r="H75" s="478"/>
      <c r="I75" s="478"/>
      <c r="J75" s="478"/>
      <c r="K75" s="479" t="s">
        <v>123</v>
      </c>
      <c r="L75" s="480"/>
      <c r="M75" s="480"/>
      <c r="N75" s="480"/>
      <c r="O75" s="480"/>
      <c r="P75" s="480"/>
      <c r="Q75" s="480"/>
      <c r="R75" s="480"/>
      <c r="S75" s="481"/>
      <c r="T75" s="482">
        <v>42867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ref="A76:A82" si="19">A75+1</f>
        <v>3</v>
      </c>
      <c r="B76" s="478"/>
      <c r="C76" s="355" t="s">
        <v>144</v>
      </c>
      <c r="D76" s="355"/>
      <c r="E76" s="35" t="s">
        <v>139</v>
      </c>
      <c r="F76" s="478" t="s">
        <v>145</v>
      </c>
      <c r="G76" s="478"/>
      <c r="H76" s="478"/>
      <c r="I76" s="478"/>
      <c r="J76" s="478"/>
      <c r="K76" s="479" t="s">
        <v>120</v>
      </c>
      <c r="L76" s="480"/>
      <c r="M76" s="480"/>
      <c r="N76" s="480"/>
      <c r="O76" s="480"/>
      <c r="P76" s="480"/>
      <c r="Q76" s="480"/>
      <c r="R76" s="480"/>
      <c r="S76" s="481"/>
      <c r="T76" s="482">
        <v>42937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9"/>
        <v>4</v>
      </c>
      <c r="B77" s="478"/>
      <c r="C77" s="355" t="s">
        <v>119</v>
      </c>
      <c r="D77" s="355"/>
      <c r="E77" s="35" t="s">
        <v>137</v>
      </c>
      <c r="F77" s="478" t="s">
        <v>138</v>
      </c>
      <c r="G77" s="478"/>
      <c r="H77" s="478"/>
      <c r="I77" s="478"/>
      <c r="J77" s="478"/>
      <c r="K77" s="479" t="s">
        <v>140</v>
      </c>
      <c r="L77" s="480"/>
      <c r="M77" s="480"/>
      <c r="N77" s="480"/>
      <c r="O77" s="480"/>
      <c r="P77" s="480"/>
      <c r="Q77" s="480"/>
      <c r="R77" s="480"/>
      <c r="S77" s="481"/>
      <c r="T77" s="482">
        <v>42920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9"/>
        <v>5</v>
      </c>
      <c r="B78" s="478"/>
      <c r="C78" s="355" t="s">
        <v>119</v>
      </c>
      <c r="D78" s="355"/>
      <c r="E78" s="35" t="s">
        <v>207</v>
      </c>
      <c r="F78" s="478" t="s">
        <v>913</v>
      </c>
      <c r="G78" s="478"/>
      <c r="H78" s="478"/>
      <c r="I78" s="478"/>
      <c r="J78" s="478"/>
      <c r="K78" s="479" t="s">
        <v>140</v>
      </c>
      <c r="L78" s="480"/>
      <c r="M78" s="480"/>
      <c r="N78" s="480"/>
      <c r="O78" s="480"/>
      <c r="P78" s="480"/>
      <c r="Q78" s="480"/>
      <c r="R78" s="480"/>
      <c r="S78" s="481"/>
      <c r="T78" s="482">
        <v>43003</v>
      </c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9"/>
        <v>6</v>
      </c>
      <c r="B79" s="478"/>
      <c r="C79" s="355" t="s">
        <v>119</v>
      </c>
      <c r="D79" s="355"/>
      <c r="E79" s="35" t="s">
        <v>931</v>
      </c>
      <c r="F79" s="478" t="s">
        <v>920</v>
      </c>
      <c r="G79" s="478"/>
      <c r="H79" s="478"/>
      <c r="I79" s="478"/>
      <c r="J79" s="478"/>
      <c r="K79" s="479" t="s">
        <v>140</v>
      </c>
      <c r="L79" s="480"/>
      <c r="M79" s="480"/>
      <c r="N79" s="480"/>
      <c r="O79" s="480"/>
      <c r="P79" s="480"/>
      <c r="Q79" s="480"/>
      <c r="R79" s="480"/>
      <c r="S79" s="481"/>
      <c r="T79" s="482">
        <v>43003</v>
      </c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9"/>
        <v>7</v>
      </c>
      <c r="B80" s="478"/>
      <c r="C80" s="355"/>
      <c r="D80" s="355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9"/>
        <v>8</v>
      </c>
      <c r="B81" s="478"/>
      <c r="C81" s="355"/>
      <c r="D81" s="355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0" customHeight="1">
      <c r="A82" s="477">
        <f t="shared" si="19"/>
        <v>9</v>
      </c>
      <c r="B82" s="478"/>
      <c r="C82" s="355"/>
      <c r="D82" s="355"/>
      <c r="E82" s="35"/>
      <c r="F82" s="478"/>
      <c r="G82" s="478"/>
      <c r="H82" s="478"/>
      <c r="I82" s="478"/>
      <c r="J82" s="478"/>
      <c r="K82" s="479"/>
      <c r="L82" s="480"/>
      <c r="M82" s="480"/>
      <c r="N82" s="480"/>
      <c r="O82" s="480"/>
      <c r="P82" s="480"/>
      <c r="Q82" s="480"/>
      <c r="R82" s="480"/>
      <c r="S82" s="481"/>
      <c r="T82" s="482"/>
      <c r="U82" s="482"/>
      <c r="V82" s="482"/>
      <c r="W82" s="482"/>
      <c r="X82" s="483"/>
      <c r="Y82" s="483"/>
      <c r="Z82" s="483"/>
      <c r="AA82" s="483"/>
      <c r="AB82" s="483"/>
      <c r="AC82" s="483"/>
      <c r="AD82" s="484"/>
      <c r="AF82" s="53"/>
    </row>
    <row r="83" spans="1:32" ht="36" thickBot="1">
      <c r="A83" s="470" t="s">
        <v>998</v>
      </c>
      <c r="B83" s="470"/>
      <c r="C83" s="470"/>
      <c r="D83" s="470"/>
      <c r="E83" s="470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98" t="s">
        <v>37</v>
      </c>
      <c r="B84" s="499"/>
      <c r="C84" s="499" t="s">
        <v>53</v>
      </c>
      <c r="D84" s="499"/>
      <c r="E84" s="499" t="s">
        <v>54</v>
      </c>
      <c r="F84" s="499"/>
      <c r="G84" s="499"/>
      <c r="H84" s="499"/>
      <c r="I84" s="499"/>
      <c r="J84" s="499"/>
      <c r="K84" s="499" t="s">
        <v>55</v>
      </c>
      <c r="L84" s="499"/>
      <c r="M84" s="499"/>
      <c r="N84" s="499"/>
      <c r="O84" s="499"/>
      <c r="P84" s="499"/>
      <c r="Q84" s="499"/>
      <c r="R84" s="499"/>
      <c r="S84" s="499"/>
      <c r="T84" s="499" t="s">
        <v>56</v>
      </c>
      <c r="U84" s="499"/>
      <c r="V84" s="499" t="s">
        <v>57</v>
      </c>
      <c r="W84" s="499"/>
      <c r="X84" s="499"/>
      <c r="Y84" s="499" t="s">
        <v>52</v>
      </c>
      <c r="Z84" s="499"/>
      <c r="AA84" s="499"/>
      <c r="AB84" s="499"/>
      <c r="AC84" s="499"/>
      <c r="AD84" s="500"/>
      <c r="AF84" s="53"/>
    </row>
    <row r="85" spans="1:32" ht="30.75" customHeight="1">
      <c r="A85" s="485">
        <v>1</v>
      </c>
      <c r="B85" s="486"/>
      <c r="C85" s="501">
        <v>1</v>
      </c>
      <c r="D85" s="501"/>
      <c r="E85" s="501" t="s">
        <v>129</v>
      </c>
      <c r="F85" s="501"/>
      <c r="G85" s="501"/>
      <c r="H85" s="501"/>
      <c r="I85" s="501"/>
      <c r="J85" s="501"/>
      <c r="K85" s="501" t="s">
        <v>130</v>
      </c>
      <c r="L85" s="501"/>
      <c r="M85" s="501"/>
      <c r="N85" s="501"/>
      <c r="O85" s="501"/>
      <c r="P85" s="501"/>
      <c r="Q85" s="501"/>
      <c r="R85" s="501"/>
      <c r="S85" s="501"/>
      <c r="T85" s="501" t="s">
        <v>131</v>
      </c>
      <c r="U85" s="501"/>
      <c r="V85" s="502">
        <v>1500000</v>
      </c>
      <c r="W85" s="502"/>
      <c r="X85" s="502"/>
      <c r="Y85" s="503" t="s">
        <v>132</v>
      </c>
      <c r="Z85" s="503"/>
      <c r="AA85" s="503"/>
      <c r="AB85" s="503"/>
      <c r="AC85" s="503"/>
      <c r="AD85" s="504"/>
      <c r="AF85" s="53"/>
    </row>
    <row r="86" spans="1:32" ht="30.75" customHeight="1">
      <c r="A86" s="477">
        <v>2</v>
      </c>
      <c r="B86" s="478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512"/>
      <c r="R86" s="512"/>
      <c r="S86" s="512"/>
      <c r="T86" s="513"/>
      <c r="U86" s="513"/>
      <c r="V86" s="514"/>
      <c r="W86" s="514"/>
      <c r="X86" s="514"/>
      <c r="Y86" s="505"/>
      <c r="Z86" s="505"/>
      <c r="AA86" s="505"/>
      <c r="AB86" s="505"/>
      <c r="AC86" s="505"/>
      <c r="AD86" s="506"/>
      <c r="AF86" s="53"/>
    </row>
    <row r="87" spans="1:32" ht="30.75" customHeight="1" thickBot="1">
      <c r="A87" s="507">
        <v>3</v>
      </c>
      <c r="B87" s="508"/>
      <c r="C87" s="509"/>
      <c r="D87" s="509"/>
      <c r="E87" s="509"/>
      <c r="F87" s="509"/>
      <c r="G87" s="509"/>
      <c r="H87" s="509"/>
      <c r="I87" s="509"/>
      <c r="J87" s="509"/>
      <c r="K87" s="509"/>
      <c r="L87" s="509"/>
      <c r="M87" s="509"/>
      <c r="N87" s="509"/>
      <c r="O87" s="509"/>
      <c r="P87" s="509"/>
      <c r="Q87" s="509"/>
      <c r="R87" s="509"/>
      <c r="S87" s="509"/>
      <c r="T87" s="509"/>
      <c r="U87" s="509"/>
      <c r="V87" s="509"/>
      <c r="W87" s="509"/>
      <c r="X87" s="509"/>
      <c r="Y87" s="510"/>
      <c r="Z87" s="510"/>
      <c r="AA87" s="510"/>
      <c r="AB87" s="510"/>
      <c r="AC87" s="510"/>
      <c r="AD87" s="511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J86"/>
  <sheetViews>
    <sheetView zoomScale="72" zoomScaleNormal="72" zoomScaleSheetLayoutView="70" workbookViewId="0">
      <selection activeCell="C78" sqref="C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999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367" t="s">
        <v>17</v>
      </c>
      <c r="L5" s="367" t="s">
        <v>18</v>
      </c>
      <c r="M5" s="367" t="s">
        <v>19</v>
      </c>
      <c r="N5" s="36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0.47171085092290393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59</v>
      </c>
      <c r="C7" s="37" t="s">
        <v>119</v>
      </c>
      <c r="D7" s="55" t="s">
        <v>151</v>
      </c>
      <c r="E7" s="57" t="s">
        <v>894</v>
      </c>
      <c r="F7" s="33" t="s">
        <v>895</v>
      </c>
      <c r="G7" s="12">
        <v>1</v>
      </c>
      <c r="H7" s="13">
        <v>25</v>
      </c>
      <c r="I7" s="34">
        <v>3000</v>
      </c>
      <c r="J7" s="5">
        <v>2580</v>
      </c>
      <c r="K7" s="15">
        <f>L7+2574</f>
        <v>2574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0.47171085092290393</v>
      </c>
      <c r="AF7" s="94">
        <f t="shared" si="8"/>
        <v>2</v>
      </c>
    </row>
    <row r="8" spans="1:36" ht="27" customHeight="1">
      <c r="A8" s="109">
        <v>3</v>
      </c>
      <c r="B8" s="11" t="s">
        <v>59</v>
      </c>
      <c r="C8" s="11" t="s">
        <v>666</v>
      </c>
      <c r="D8" s="55" t="s">
        <v>713</v>
      </c>
      <c r="E8" s="56" t="s">
        <v>731</v>
      </c>
      <c r="F8" s="12" t="s">
        <v>714</v>
      </c>
      <c r="G8" s="12" t="s">
        <v>715</v>
      </c>
      <c r="H8" s="13">
        <v>25</v>
      </c>
      <c r="I8" s="34">
        <v>1000</v>
      </c>
      <c r="J8" s="14">
        <v>470</v>
      </c>
      <c r="K8" s="15">
        <f>L8+3387</f>
        <v>3856</v>
      </c>
      <c r="L8" s="15">
        <v>469</v>
      </c>
      <c r="M8" s="16">
        <f t="shared" si="0"/>
        <v>469</v>
      </c>
      <c r="N8" s="16">
        <v>0</v>
      </c>
      <c r="O8" s="62">
        <f t="shared" si="1"/>
        <v>0</v>
      </c>
      <c r="P8" s="42">
        <f t="shared" si="2"/>
        <v>6</v>
      </c>
      <c r="Q8" s="43">
        <f t="shared" si="3"/>
        <v>18</v>
      </c>
      <c r="R8" s="7"/>
      <c r="S8" s="6"/>
      <c r="T8" s="17"/>
      <c r="U8" s="17"/>
      <c r="V8" s="18">
        <v>18</v>
      </c>
      <c r="W8" s="19"/>
      <c r="X8" s="17"/>
      <c r="Y8" s="20"/>
      <c r="Z8" s="20"/>
      <c r="AA8" s="21"/>
      <c r="AB8" s="8">
        <f t="shared" si="4"/>
        <v>0.99787234042553197</v>
      </c>
      <c r="AC8" s="9">
        <f t="shared" si="5"/>
        <v>0.25</v>
      </c>
      <c r="AD8" s="10">
        <f t="shared" si="6"/>
        <v>0.24946808510638299</v>
      </c>
      <c r="AE8" s="39">
        <f t="shared" si="7"/>
        <v>0.47171085092290393</v>
      </c>
      <c r="AF8" s="94">
        <f>A8</f>
        <v>3</v>
      </c>
    </row>
    <row r="9" spans="1:36" ht="27" customHeight="1">
      <c r="A9" s="110">
        <v>4</v>
      </c>
      <c r="B9" s="11" t="s">
        <v>59</v>
      </c>
      <c r="C9" s="11" t="s">
        <v>119</v>
      </c>
      <c r="D9" s="55" t="s">
        <v>139</v>
      </c>
      <c r="E9" s="56" t="s">
        <v>896</v>
      </c>
      <c r="F9" s="12" t="s">
        <v>213</v>
      </c>
      <c r="G9" s="36">
        <v>1</v>
      </c>
      <c r="H9" s="38">
        <v>25</v>
      </c>
      <c r="I9" s="34">
        <v>50000</v>
      </c>
      <c r="J9" s="5">
        <v>5630</v>
      </c>
      <c r="K9" s="15">
        <f>L9+5005+3240+5678</f>
        <v>19547</v>
      </c>
      <c r="L9" s="15">
        <f>2948+2676</f>
        <v>5624</v>
      </c>
      <c r="M9" s="16">
        <f t="shared" si="0"/>
        <v>5624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0.99893428063943157</v>
      </c>
      <c r="AC9" s="9">
        <f t="shared" si="5"/>
        <v>1</v>
      </c>
      <c r="AD9" s="10">
        <f t="shared" si="6"/>
        <v>0.99893428063943157</v>
      </c>
      <c r="AE9" s="39">
        <f t="shared" si="7"/>
        <v>0.47171085092290393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119</v>
      </c>
      <c r="D10" s="55" t="s">
        <v>759</v>
      </c>
      <c r="E10" s="57" t="s">
        <v>760</v>
      </c>
      <c r="F10" s="12">
        <v>7301</v>
      </c>
      <c r="G10" s="12">
        <v>1</v>
      </c>
      <c r="H10" s="13">
        <v>25</v>
      </c>
      <c r="I10" s="34">
        <v>25000</v>
      </c>
      <c r="J10" s="14">
        <v>4420</v>
      </c>
      <c r="K10" s="15">
        <f>L10+2754+5439+775</f>
        <v>13382</v>
      </c>
      <c r="L10" s="15">
        <f>3225+1189</f>
        <v>4414</v>
      </c>
      <c r="M10" s="16">
        <f t="shared" si="0"/>
        <v>4414</v>
      </c>
      <c r="N10" s="16">
        <v>0</v>
      </c>
      <c r="O10" s="62">
        <f t="shared" si="1"/>
        <v>0</v>
      </c>
      <c r="P10" s="42">
        <f t="shared" si="2"/>
        <v>20</v>
      </c>
      <c r="Q10" s="43">
        <f t="shared" si="3"/>
        <v>4</v>
      </c>
      <c r="R10" s="7"/>
      <c r="S10" s="6">
        <v>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0.99864253393665159</v>
      </c>
      <c r="AC10" s="9">
        <f t="shared" si="5"/>
        <v>0.83333333333333337</v>
      </c>
      <c r="AD10" s="10">
        <f t="shared" si="6"/>
        <v>0.83220211161387636</v>
      </c>
      <c r="AE10" s="39">
        <f t="shared" si="7"/>
        <v>0.47171085092290393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666</v>
      </c>
      <c r="D11" s="55" t="s">
        <v>1000</v>
      </c>
      <c r="E11" s="56" t="s">
        <v>1001</v>
      </c>
      <c r="F11" s="12" t="s">
        <v>1002</v>
      </c>
      <c r="G11" s="12" t="s">
        <v>715</v>
      </c>
      <c r="H11" s="13">
        <v>25</v>
      </c>
      <c r="I11" s="34">
        <v>5000</v>
      </c>
      <c r="J11" s="14">
        <v>4770</v>
      </c>
      <c r="K11" s="15">
        <f>L11</f>
        <v>4764</v>
      </c>
      <c r="L11" s="15">
        <f>965*2+1417*2</f>
        <v>4764</v>
      </c>
      <c r="M11" s="16">
        <f t="shared" si="0"/>
        <v>4764</v>
      </c>
      <c r="N11" s="16">
        <v>0</v>
      </c>
      <c r="O11" s="62">
        <f t="shared" si="1"/>
        <v>0</v>
      </c>
      <c r="P11" s="42">
        <f t="shared" si="2"/>
        <v>14</v>
      </c>
      <c r="Q11" s="43">
        <f t="shared" si="3"/>
        <v>10</v>
      </c>
      <c r="R11" s="7"/>
      <c r="S11" s="6">
        <v>8</v>
      </c>
      <c r="T11" s="17">
        <v>2</v>
      </c>
      <c r="U11" s="17"/>
      <c r="V11" s="18"/>
      <c r="W11" s="19"/>
      <c r="X11" s="17"/>
      <c r="Y11" s="20"/>
      <c r="Z11" s="20"/>
      <c r="AA11" s="21"/>
      <c r="AB11" s="8">
        <f t="shared" si="4"/>
        <v>0.99874213836477987</v>
      </c>
      <c r="AC11" s="9">
        <f t="shared" si="5"/>
        <v>0.58333333333333337</v>
      </c>
      <c r="AD11" s="10">
        <f t="shared" si="6"/>
        <v>0.58259958071278828</v>
      </c>
      <c r="AE11" s="39">
        <f t="shared" si="7"/>
        <v>0.47171085092290393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118</v>
      </c>
      <c r="D12" s="55" t="s">
        <v>294</v>
      </c>
      <c r="E12" s="57" t="s">
        <v>295</v>
      </c>
      <c r="F12" s="12" t="s">
        <v>167</v>
      </c>
      <c r="G12" s="12">
        <v>1</v>
      </c>
      <c r="H12" s="13">
        <v>25</v>
      </c>
      <c r="I12" s="7">
        <v>35000</v>
      </c>
      <c r="J12" s="14">
        <v>3410</v>
      </c>
      <c r="K12" s="15">
        <f>L12+3048+3908+1500+3674+4638+4098+3327+1990+2919+4095+4963+4957+2551</f>
        <v>49070</v>
      </c>
      <c r="L12" s="15">
        <f>2645+757</f>
        <v>3402</v>
      </c>
      <c r="M12" s="16">
        <f t="shared" si="0"/>
        <v>3402</v>
      </c>
      <c r="N12" s="16">
        <v>0</v>
      </c>
      <c r="O12" s="62">
        <f t="shared" si="1"/>
        <v>0</v>
      </c>
      <c r="P12" s="42">
        <f t="shared" si="2"/>
        <v>17</v>
      </c>
      <c r="Q12" s="43">
        <f t="shared" si="3"/>
        <v>7</v>
      </c>
      <c r="R12" s="7"/>
      <c r="S12" s="6">
        <v>7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0.99765395894428155</v>
      </c>
      <c r="AC12" s="9">
        <f t="shared" si="5"/>
        <v>0.70833333333333337</v>
      </c>
      <c r="AD12" s="10">
        <f t="shared" si="6"/>
        <v>0.70667155425219952</v>
      </c>
      <c r="AE12" s="39">
        <f t="shared" si="7"/>
        <v>0.47171085092290393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119</v>
      </c>
      <c r="D13" s="55" t="s">
        <v>963</v>
      </c>
      <c r="E13" s="56" t="s">
        <v>964</v>
      </c>
      <c r="F13" s="12" t="s">
        <v>965</v>
      </c>
      <c r="G13" s="12">
        <v>1</v>
      </c>
      <c r="H13" s="13">
        <v>25</v>
      </c>
      <c r="I13" s="7">
        <v>50000</v>
      </c>
      <c r="J13" s="14">
        <v>6130</v>
      </c>
      <c r="K13" s="15">
        <f>L13+2835</f>
        <v>8964</v>
      </c>
      <c r="L13" s="15">
        <f>3230+2899</f>
        <v>6129</v>
      </c>
      <c r="M13" s="16">
        <f t="shared" si="0"/>
        <v>6129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0.99983686786296899</v>
      </c>
      <c r="AC13" s="9">
        <f t="shared" si="5"/>
        <v>1</v>
      </c>
      <c r="AD13" s="10">
        <f t="shared" si="6"/>
        <v>0.99983686786296899</v>
      </c>
      <c r="AE13" s="39">
        <f t="shared" si="7"/>
        <v>0.47171085092290393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632</v>
      </c>
      <c r="F14" s="33" t="s">
        <v>633</v>
      </c>
      <c r="G14" s="36">
        <v>1</v>
      </c>
      <c r="H14" s="38">
        <v>40</v>
      </c>
      <c r="I14" s="7">
        <v>500</v>
      </c>
      <c r="J14" s="5">
        <v>300</v>
      </c>
      <c r="K14" s="15">
        <f>L14</f>
        <v>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>
        <v>24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0.47171085092290393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277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L15+903</f>
        <v>903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0.47171085092290393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1003</v>
      </c>
      <c r="D16" s="55" t="s">
        <v>1004</v>
      </c>
      <c r="E16" s="56" t="s">
        <v>1005</v>
      </c>
      <c r="F16" s="12">
        <v>7301</v>
      </c>
      <c r="G16" s="36">
        <v>1</v>
      </c>
      <c r="H16" s="38">
        <v>25</v>
      </c>
      <c r="I16" s="7">
        <f>16000+9000</f>
        <v>25000</v>
      </c>
      <c r="J16" s="14">
        <v>4380</v>
      </c>
      <c r="K16" s="15">
        <f>L16</f>
        <v>4379</v>
      </c>
      <c r="L16" s="15">
        <f>2573+1806</f>
        <v>4379</v>
      </c>
      <c r="M16" s="16">
        <f t="shared" si="0"/>
        <v>4379</v>
      </c>
      <c r="N16" s="16">
        <v>0</v>
      </c>
      <c r="O16" s="62">
        <f t="shared" si="1"/>
        <v>0</v>
      </c>
      <c r="P16" s="42">
        <f t="shared" si="2"/>
        <v>23</v>
      </c>
      <c r="Q16" s="43">
        <f t="shared" si="3"/>
        <v>1</v>
      </c>
      <c r="R16" s="7"/>
      <c r="S16" s="6"/>
      <c r="T16" s="17">
        <v>1</v>
      </c>
      <c r="U16" s="17"/>
      <c r="V16" s="18"/>
      <c r="W16" s="19"/>
      <c r="X16" s="17"/>
      <c r="Y16" s="20"/>
      <c r="Z16" s="20"/>
      <c r="AA16" s="21"/>
      <c r="AB16" s="8">
        <f t="shared" si="4"/>
        <v>0.99977168949771689</v>
      </c>
      <c r="AC16" s="9">
        <f t="shared" si="5"/>
        <v>0.95833333333333337</v>
      </c>
      <c r="AD16" s="10">
        <f t="shared" si="6"/>
        <v>0.95811453576864536</v>
      </c>
      <c r="AE16" s="39">
        <f t="shared" si="7"/>
        <v>0.47171085092290393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144</v>
      </c>
      <c r="D17" s="55" t="s">
        <v>150</v>
      </c>
      <c r="E17" s="56" t="s">
        <v>940</v>
      </c>
      <c r="F17" s="12" t="s">
        <v>363</v>
      </c>
      <c r="G17" s="12">
        <v>2</v>
      </c>
      <c r="H17" s="13">
        <v>25</v>
      </c>
      <c r="I17" s="34">
        <v>8000</v>
      </c>
      <c r="J17" s="5">
        <v>3740</v>
      </c>
      <c r="K17" s="15">
        <f>L17+9308</f>
        <v>13048</v>
      </c>
      <c r="L17" s="15">
        <f>1870*2</f>
        <v>3740</v>
      </c>
      <c r="M17" s="16">
        <f t="shared" si="0"/>
        <v>3740</v>
      </c>
      <c r="N17" s="16">
        <v>0</v>
      </c>
      <c r="O17" s="62">
        <f t="shared" si="1"/>
        <v>0</v>
      </c>
      <c r="P17" s="42">
        <f t="shared" si="2"/>
        <v>6</v>
      </c>
      <c r="Q17" s="43">
        <f t="shared" si="3"/>
        <v>18</v>
      </c>
      <c r="R17" s="7"/>
      <c r="S17" s="6"/>
      <c r="T17" s="17"/>
      <c r="U17" s="17"/>
      <c r="V17" s="18"/>
      <c r="W17" s="19">
        <v>18</v>
      </c>
      <c r="X17" s="17"/>
      <c r="Y17" s="20"/>
      <c r="Z17" s="20"/>
      <c r="AA17" s="21"/>
      <c r="AB17" s="8">
        <f t="shared" si="4"/>
        <v>1</v>
      </c>
      <c r="AC17" s="9">
        <f t="shared" si="5"/>
        <v>0.25</v>
      </c>
      <c r="AD17" s="10">
        <f t="shared" si="6"/>
        <v>0.25</v>
      </c>
      <c r="AE17" s="39">
        <f t="shared" si="7"/>
        <v>0.47171085092290393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1003</v>
      </c>
      <c r="D18" s="55" t="s">
        <v>1006</v>
      </c>
      <c r="E18" s="57" t="s">
        <v>1007</v>
      </c>
      <c r="F18" s="33" t="s">
        <v>218</v>
      </c>
      <c r="G18" s="12">
        <v>1</v>
      </c>
      <c r="H18" s="13">
        <v>25</v>
      </c>
      <c r="I18" s="34">
        <v>7000</v>
      </c>
      <c r="J18" s="5">
        <v>4710</v>
      </c>
      <c r="K18" s="15">
        <f>L18</f>
        <v>4709</v>
      </c>
      <c r="L18" s="15">
        <f>2758+1951</f>
        <v>4709</v>
      </c>
      <c r="M18" s="16">
        <f t="shared" si="0"/>
        <v>4709</v>
      </c>
      <c r="N18" s="16">
        <v>0</v>
      </c>
      <c r="O18" s="62">
        <f t="shared" si="1"/>
        <v>0</v>
      </c>
      <c r="P18" s="42">
        <f t="shared" si="2"/>
        <v>23</v>
      </c>
      <c r="Q18" s="43">
        <f t="shared" si="3"/>
        <v>1</v>
      </c>
      <c r="R18" s="7"/>
      <c r="S18" s="6"/>
      <c r="T18" s="17">
        <v>1</v>
      </c>
      <c r="U18" s="17"/>
      <c r="V18" s="18"/>
      <c r="W18" s="19"/>
      <c r="X18" s="17"/>
      <c r="Y18" s="20"/>
      <c r="Z18" s="20"/>
      <c r="AA18" s="21"/>
      <c r="AB18" s="8">
        <f t="shared" si="4"/>
        <v>0.99978768577494692</v>
      </c>
      <c r="AC18" s="9">
        <f t="shared" si="5"/>
        <v>0.95833333333333337</v>
      </c>
      <c r="AD18" s="10">
        <f t="shared" si="6"/>
        <v>0.95812986553432422</v>
      </c>
      <c r="AE18" s="39">
        <f t="shared" si="7"/>
        <v>0.47171085092290393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119</v>
      </c>
      <c r="D19" s="55" t="s">
        <v>58</v>
      </c>
      <c r="E19" s="57" t="s">
        <v>187</v>
      </c>
      <c r="F19" s="33" t="s">
        <v>136</v>
      </c>
      <c r="G19" s="36">
        <v>1</v>
      </c>
      <c r="H19" s="38">
        <v>25</v>
      </c>
      <c r="I19" s="7">
        <v>50000</v>
      </c>
      <c r="J19" s="5">
        <v>2210</v>
      </c>
      <c r="K19" s="15">
        <f>L19+4442+4907+4868+4725</f>
        <v>21144</v>
      </c>
      <c r="L19" s="15">
        <f>2202</f>
        <v>2202</v>
      </c>
      <c r="M19" s="16">
        <f t="shared" si="0"/>
        <v>2202</v>
      </c>
      <c r="N19" s="16">
        <v>0</v>
      </c>
      <c r="O19" s="62">
        <f t="shared" si="1"/>
        <v>0</v>
      </c>
      <c r="P19" s="42">
        <f t="shared" si="2"/>
        <v>13</v>
      </c>
      <c r="Q19" s="43">
        <f t="shared" si="3"/>
        <v>11</v>
      </c>
      <c r="R19" s="7"/>
      <c r="S19" s="6">
        <v>11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0.99638009049773757</v>
      </c>
      <c r="AC19" s="9">
        <f t="shared" si="5"/>
        <v>0.54166666666666663</v>
      </c>
      <c r="AD19" s="10">
        <f t="shared" si="6"/>
        <v>0.53970588235294115</v>
      </c>
      <c r="AE19" s="39">
        <f t="shared" si="7"/>
        <v>0.47171085092290393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599</v>
      </c>
      <c r="F20" s="12" t="s">
        <v>117</v>
      </c>
      <c r="G20" s="12">
        <v>4</v>
      </c>
      <c r="H20" s="38">
        <v>20</v>
      </c>
      <c r="I20" s="7">
        <v>200000</v>
      </c>
      <c r="J20" s="14">
        <v>33300</v>
      </c>
      <c r="K20" s="15">
        <f>L20+50220+52380+58428+58872+64080+33228</f>
        <v>317208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0.47171085092290393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461150</v>
      </c>
      <c r="J21" s="22">
        <f t="shared" si="9"/>
        <v>78930</v>
      </c>
      <c r="K21" s="23">
        <f t="shared" si="9"/>
        <v>465510</v>
      </c>
      <c r="L21" s="24">
        <f t="shared" si="9"/>
        <v>39832</v>
      </c>
      <c r="M21" s="23">
        <f t="shared" si="9"/>
        <v>39832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170</v>
      </c>
      <c r="Q21" s="46">
        <f t="shared" si="10"/>
        <v>190</v>
      </c>
      <c r="R21" s="26">
        <f t="shared" si="10"/>
        <v>24</v>
      </c>
      <c r="S21" s="27">
        <f t="shared" si="10"/>
        <v>54</v>
      </c>
      <c r="T21" s="27">
        <f t="shared" si="10"/>
        <v>4</v>
      </c>
      <c r="U21" s="27">
        <f t="shared" si="10"/>
        <v>0</v>
      </c>
      <c r="V21" s="28">
        <f t="shared" si="10"/>
        <v>18</v>
      </c>
      <c r="W21" s="29">
        <f t="shared" si="10"/>
        <v>90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0.66584143906293647</v>
      </c>
      <c r="AC21" s="4">
        <f>SUM(AC6:AC20)/15</f>
        <v>0.47222222222222221</v>
      </c>
      <c r="AD21" s="4">
        <f>SUM(AD6:AD20)/15</f>
        <v>0.47171085092290393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1008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1026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368" t="s">
        <v>47</v>
      </c>
      <c r="D50" s="368" t="s">
        <v>48</v>
      </c>
      <c r="E50" s="368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368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1009</v>
      </c>
      <c r="B51" s="446"/>
      <c r="C51" s="369" t="s">
        <v>196</v>
      </c>
      <c r="D51" s="370" t="s">
        <v>1010</v>
      </c>
      <c r="E51" s="369" t="s">
        <v>1011</v>
      </c>
      <c r="F51" s="447" t="s">
        <v>194</v>
      </c>
      <c r="G51" s="447"/>
      <c r="H51" s="447"/>
      <c r="I51" s="447"/>
      <c r="J51" s="447"/>
      <c r="K51" s="447"/>
      <c r="L51" s="447"/>
      <c r="M51" s="448"/>
      <c r="N51" s="371" t="s">
        <v>992</v>
      </c>
      <c r="O51" s="74" t="s">
        <v>979</v>
      </c>
      <c r="P51" s="449" t="s">
        <v>993</v>
      </c>
      <c r="Q51" s="450"/>
      <c r="R51" s="451" t="s">
        <v>994</v>
      </c>
      <c r="S51" s="451"/>
      <c r="T51" s="451"/>
      <c r="U51" s="451"/>
      <c r="V51" s="447" t="s">
        <v>1027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902</v>
      </c>
      <c r="B52" s="446"/>
      <c r="C52" s="369" t="s">
        <v>1012</v>
      </c>
      <c r="D52" s="370" t="s">
        <v>1013</v>
      </c>
      <c r="E52" s="369" t="s">
        <v>1028</v>
      </c>
      <c r="F52" s="447" t="s">
        <v>1014</v>
      </c>
      <c r="G52" s="447"/>
      <c r="H52" s="447"/>
      <c r="I52" s="447"/>
      <c r="J52" s="447"/>
      <c r="K52" s="447"/>
      <c r="L52" s="447"/>
      <c r="M52" s="448"/>
      <c r="N52" s="371" t="s">
        <v>880</v>
      </c>
      <c r="O52" s="74" t="s">
        <v>1012</v>
      </c>
      <c r="P52" s="449" t="s">
        <v>1031</v>
      </c>
      <c r="Q52" s="450"/>
      <c r="R52" s="451" t="s">
        <v>1029</v>
      </c>
      <c r="S52" s="451"/>
      <c r="T52" s="451"/>
      <c r="U52" s="451"/>
      <c r="V52" s="447" t="s">
        <v>1032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874</v>
      </c>
      <c r="B53" s="446"/>
      <c r="C53" s="369" t="s">
        <v>1015</v>
      </c>
      <c r="D53" s="370" t="s">
        <v>1016</v>
      </c>
      <c r="E53" s="369" t="s">
        <v>1017</v>
      </c>
      <c r="F53" s="447" t="s">
        <v>194</v>
      </c>
      <c r="G53" s="447"/>
      <c r="H53" s="447"/>
      <c r="I53" s="447"/>
      <c r="J53" s="447"/>
      <c r="K53" s="447"/>
      <c r="L53" s="447"/>
      <c r="M53" s="448"/>
      <c r="N53" s="371" t="s">
        <v>1033</v>
      </c>
      <c r="O53" s="74" t="s">
        <v>907</v>
      </c>
      <c r="P53" s="449" t="s">
        <v>1034</v>
      </c>
      <c r="Q53" s="450"/>
      <c r="R53" s="451" t="s">
        <v>1035</v>
      </c>
      <c r="S53" s="451"/>
      <c r="T53" s="451"/>
      <c r="U53" s="451"/>
      <c r="V53" s="447" t="s">
        <v>1036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119</v>
      </c>
      <c r="B54" s="446"/>
      <c r="C54" s="369" t="s">
        <v>383</v>
      </c>
      <c r="D54" s="370" t="s">
        <v>977</v>
      </c>
      <c r="E54" s="369" t="s">
        <v>978</v>
      </c>
      <c r="F54" s="447" t="s">
        <v>1018</v>
      </c>
      <c r="G54" s="447"/>
      <c r="H54" s="447"/>
      <c r="I54" s="447"/>
      <c r="J54" s="447"/>
      <c r="K54" s="447"/>
      <c r="L54" s="447"/>
      <c r="M54" s="448"/>
      <c r="N54" s="371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 t="s">
        <v>200</v>
      </c>
      <c r="B55" s="446"/>
      <c r="C55" s="369" t="s">
        <v>1019</v>
      </c>
      <c r="D55" s="370" t="s">
        <v>1030</v>
      </c>
      <c r="E55" s="369" t="s">
        <v>1029</v>
      </c>
      <c r="F55" s="447" t="s">
        <v>1020</v>
      </c>
      <c r="G55" s="447"/>
      <c r="H55" s="447"/>
      <c r="I55" s="447"/>
      <c r="J55" s="447"/>
      <c r="K55" s="447"/>
      <c r="L55" s="447"/>
      <c r="M55" s="448"/>
      <c r="N55" s="371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 t="s">
        <v>985</v>
      </c>
      <c r="B56" s="446"/>
      <c r="C56" s="369" t="s">
        <v>191</v>
      </c>
      <c r="D56" s="370" t="s">
        <v>986</v>
      </c>
      <c r="E56" s="369" t="s">
        <v>987</v>
      </c>
      <c r="F56" s="447" t="s">
        <v>1021</v>
      </c>
      <c r="G56" s="447"/>
      <c r="H56" s="447"/>
      <c r="I56" s="447"/>
      <c r="J56" s="447"/>
      <c r="K56" s="447"/>
      <c r="L56" s="447"/>
      <c r="M56" s="448"/>
      <c r="N56" s="371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 t="s">
        <v>119</v>
      </c>
      <c r="B57" s="446"/>
      <c r="C57" s="369" t="s">
        <v>1022</v>
      </c>
      <c r="D57" s="370" t="s">
        <v>1023</v>
      </c>
      <c r="E57" s="369" t="s">
        <v>1024</v>
      </c>
      <c r="F57" s="447" t="s">
        <v>1025</v>
      </c>
      <c r="G57" s="447"/>
      <c r="H57" s="447"/>
      <c r="I57" s="447"/>
      <c r="J57" s="447"/>
      <c r="K57" s="447"/>
      <c r="L57" s="447"/>
      <c r="M57" s="448"/>
      <c r="N57" s="371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369"/>
      <c r="D58" s="370"/>
      <c r="E58" s="369"/>
      <c r="F58" s="447"/>
      <c r="G58" s="447"/>
      <c r="H58" s="447"/>
      <c r="I58" s="447"/>
      <c r="J58" s="447"/>
      <c r="K58" s="447"/>
      <c r="L58" s="447"/>
      <c r="M58" s="448"/>
      <c r="N58" s="371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370"/>
      <c r="D59" s="370"/>
      <c r="E59" s="370"/>
      <c r="F59" s="447"/>
      <c r="G59" s="447"/>
      <c r="H59" s="447"/>
      <c r="I59" s="447"/>
      <c r="J59" s="447"/>
      <c r="K59" s="447"/>
      <c r="L59" s="447"/>
      <c r="M59" s="448"/>
      <c r="N59" s="371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373"/>
      <c r="D60" s="373"/>
      <c r="E60" s="373"/>
      <c r="F60" s="455"/>
      <c r="G60" s="455"/>
      <c r="H60" s="455"/>
      <c r="I60" s="455"/>
      <c r="J60" s="455"/>
      <c r="K60" s="455"/>
      <c r="L60" s="455"/>
      <c r="M60" s="456"/>
      <c r="N60" s="372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1037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374" t="s">
        <v>2</v>
      </c>
      <c r="D62" s="374" t="s">
        <v>38</v>
      </c>
      <c r="E62" s="374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374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1033</v>
      </c>
      <c r="D63" s="377"/>
      <c r="E63" s="375" t="s">
        <v>1038</v>
      </c>
      <c r="F63" s="466" t="s">
        <v>1039</v>
      </c>
      <c r="G63" s="467"/>
      <c r="H63" s="467"/>
      <c r="I63" s="467"/>
      <c r="J63" s="467"/>
      <c r="K63" s="467" t="s">
        <v>1040</v>
      </c>
      <c r="L63" s="467"/>
      <c r="M63" s="54" t="s">
        <v>1041</v>
      </c>
      <c r="N63" s="467">
        <v>12</v>
      </c>
      <c r="O63" s="467"/>
      <c r="P63" s="468">
        <v>50</v>
      </c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/>
      <c r="D64" s="377"/>
      <c r="E64" s="375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377"/>
      <c r="E65" s="375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377"/>
      <c r="E66" s="375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377"/>
      <c r="E67" s="375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377"/>
      <c r="E68" s="375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377"/>
      <c r="E69" s="375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377"/>
      <c r="E70" s="375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1042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376" t="s">
        <v>2</v>
      </c>
      <c r="D72" s="376" t="s">
        <v>38</v>
      </c>
      <c r="E72" s="376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378" t="s">
        <v>118</v>
      </c>
      <c r="D73" s="378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377" t="s">
        <v>118</v>
      </c>
      <c r="D74" s="377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377" t="s">
        <v>144</v>
      </c>
      <c r="D75" s="377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377" t="s">
        <v>119</v>
      </c>
      <c r="D76" s="377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377"/>
      <c r="D77" s="377"/>
      <c r="E77" s="35"/>
      <c r="F77" s="478"/>
      <c r="G77" s="478"/>
      <c r="H77" s="478"/>
      <c r="I77" s="478"/>
      <c r="J77" s="478"/>
      <c r="K77" s="479"/>
      <c r="L77" s="480"/>
      <c r="M77" s="480"/>
      <c r="N77" s="480"/>
      <c r="O77" s="480"/>
      <c r="P77" s="480"/>
      <c r="Q77" s="480"/>
      <c r="R77" s="480"/>
      <c r="S77" s="481"/>
      <c r="T77" s="482"/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377"/>
      <c r="D78" s="377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377"/>
      <c r="D79" s="377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377"/>
      <c r="D80" s="377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377"/>
      <c r="D81" s="377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1043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J88"/>
  <sheetViews>
    <sheetView tabSelected="1" zoomScale="72" zoomScaleNormal="72" zoomScaleSheetLayoutView="70" workbookViewId="0">
      <selection activeCell="X19" sqref="X1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04" t="s">
        <v>1044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2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390" t="s">
        <v>17</v>
      </c>
      <c r="L5" s="390" t="s">
        <v>18</v>
      </c>
      <c r="M5" s="390" t="s">
        <v>19</v>
      </c>
      <c r="N5" s="39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2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 t="shared" ref="AE6:AE22" si="7">$AD$23</f>
        <v>0.57994977941653736</v>
      </c>
      <c r="AF6" s="94">
        <f t="shared" ref="AF6:AF22" si="8">A6</f>
        <v>1</v>
      </c>
    </row>
    <row r="7" spans="1:32" ht="27" customHeight="1">
      <c r="A7" s="108">
        <v>2</v>
      </c>
      <c r="B7" s="11" t="s">
        <v>59</v>
      </c>
      <c r="C7" s="37" t="s">
        <v>119</v>
      </c>
      <c r="D7" s="55" t="s">
        <v>151</v>
      </c>
      <c r="E7" s="57" t="s">
        <v>894</v>
      </c>
      <c r="F7" s="33" t="s">
        <v>895</v>
      </c>
      <c r="G7" s="12">
        <v>1</v>
      </c>
      <c r="H7" s="13">
        <v>25</v>
      </c>
      <c r="I7" s="34">
        <v>3000</v>
      </c>
      <c r="J7" s="5">
        <v>2580</v>
      </c>
      <c r="K7" s="15">
        <f>L7+2574</f>
        <v>2574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0.57994977941653736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666</v>
      </c>
      <c r="D8" s="55" t="s">
        <v>713</v>
      </c>
      <c r="E8" s="56" t="s">
        <v>731</v>
      </c>
      <c r="F8" s="12" t="s">
        <v>714</v>
      </c>
      <c r="G8" s="12" t="s">
        <v>715</v>
      </c>
      <c r="H8" s="13">
        <v>25</v>
      </c>
      <c r="I8" s="34">
        <v>1000</v>
      </c>
      <c r="J8" s="14">
        <v>470</v>
      </c>
      <c r="K8" s="15">
        <f>L8+3387+469</f>
        <v>3856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0.57994977941653736</v>
      </c>
      <c r="AF8" s="94">
        <f>A8</f>
        <v>3</v>
      </c>
    </row>
    <row r="9" spans="1:32" ht="27" customHeight="1">
      <c r="A9" s="110">
        <v>4</v>
      </c>
      <c r="B9" s="11" t="s">
        <v>59</v>
      </c>
      <c r="C9" s="11" t="s">
        <v>119</v>
      </c>
      <c r="D9" s="55" t="s">
        <v>139</v>
      </c>
      <c r="E9" s="56" t="s">
        <v>896</v>
      </c>
      <c r="F9" s="12" t="s">
        <v>213</v>
      </c>
      <c r="G9" s="36">
        <v>1</v>
      </c>
      <c r="H9" s="38">
        <v>25</v>
      </c>
      <c r="I9" s="34">
        <v>50000</v>
      </c>
      <c r="J9" s="5">
        <v>4070</v>
      </c>
      <c r="K9" s="15">
        <f>L9+5005+3240+5678+5624</f>
        <v>23609</v>
      </c>
      <c r="L9" s="15">
        <f>2913+1149</f>
        <v>4062</v>
      </c>
      <c r="M9" s="16">
        <f t="shared" si="0"/>
        <v>4062</v>
      </c>
      <c r="N9" s="16">
        <v>0</v>
      </c>
      <c r="O9" s="62">
        <f t="shared" si="1"/>
        <v>0</v>
      </c>
      <c r="P9" s="42">
        <f t="shared" si="2"/>
        <v>21</v>
      </c>
      <c r="Q9" s="43">
        <f t="shared" si="3"/>
        <v>3</v>
      </c>
      <c r="R9" s="7"/>
      <c r="S9" s="6">
        <v>3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0.99803439803439808</v>
      </c>
      <c r="AC9" s="9">
        <f t="shared" si="5"/>
        <v>0.875</v>
      </c>
      <c r="AD9" s="10">
        <f t="shared" si="6"/>
        <v>0.87328009828009834</v>
      </c>
      <c r="AE9" s="39">
        <f t="shared" si="7"/>
        <v>0.57994977941653736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119</v>
      </c>
      <c r="D10" s="55" t="s">
        <v>759</v>
      </c>
      <c r="E10" s="57" t="s">
        <v>760</v>
      </c>
      <c r="F10" s="12">
        <v>7301</v>
      </c>
      <c r="G10" s="12">
        <v>1</v>
      </c>
      <c r="H10" s="13">
        <v>25</v>
      </c>
      <c r="I10" s="34">
        <v>25000</v>
      </c>
      <c r="J10" s="14">
        <v>6140</v>
      </c>
      <c r="K10" s="15">
        <f>L10+2754+5439+775+4414</f>
        <v>19521</v>
      </c>
      <c r="L10" s="15">
        <f>3206+2933</f>
        <v>6139</v>
      </c>
      <c r="M10" s="16">
        <f t="shared" si="0"/>
        <v>6139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0.99983713355048864</v>
      </c>
      <c r="AC10" s="9">
        <f t="shared" si="5"/>
        <v>1</v>
      </c>
      <c r="AD10" s="10">
        <f t="shared" si="6"/>
        <v>0.99983713355048864</v>
      </c>
      <c r="AE10" s="39">
        <f t="shared" si="7"/>
        <v>0.57994977941653736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666</v>
      </c>
      <c r="D11" s="55" t="s">
        <v>1000</v>
      </c>
      <c r="E11" s="56" t="s">
        <v>1001</v>
      </c>
      <c r="F11" s="12" t="s">
        <v>1002</v>
      </c>
      <c r="G11" s="12" t="s">
        <v>715</v>
      </c>
      <c r="H11" s="13">
        <v>25</v>
      </c>
      <c r="I11" s="34">
        <v>5000</v>
      </c>
      <c r="J11" s="14">
        <v>1160</v>
      </c>
      <c r="K11" s="15">
        <f>L11+4764</f>
        <v>5916</v>
      </c>
      <c r="L11" s="15">
        <f>576*2</f>
        <v>1152</v>
      </c>
      <c r="M11" s="16">
        <f t="shared" si="0"/>
        <v>1152</v>
      </c>
      <c r="N11" s="16">
        <v>0</v>
      </c>
      <c r="O11" s="62">
        <f t="shared" si="1"/>
        <v>0</v>
      </c>
      <c r="P11" s="42">
        <f t="shared" si="2"/>
        <v>4</v>
      </c>
      <c r="Q11" s="43">
        <f t="shared" si="3"/>
        <v>20</v>
      </c>
      <c r="R11" s="7"/>
      <c r="S11" s="6"/>
      <c r="T11" s="17"/>
      <c r="U11" s="17"/>
      <c r="V11" s="18"/>
      <c r="W11" s="19">
        <v>20</v>
      </c>
      <c r="X11" s="17"/>
      <c r="Y11" s="20"/>
      <c r="Z11" s="20"/>
      <c r="AA11" s="21"/>
      <c r="AB11" s="8">
        <f t="shared" si="4"/>
        <v>0.99310344827586206</v>
      </c>
      <c r="AC11" s="9">
        <f t="shared" si="5"/>
        <v>0.16666666666666666</v>
      </c>
      <c r="AD11" s="10">
        <f t="shared" si="6"/>
        <v>0.16551724137931034</v>
      </c>
      <c r="AE11" s="39">
        <f t="shared" si="7"/>
        <v>0.57994977941653736</v>
      </c>
      <c r="AF11" s="94">
        <f t="shared" si="8"/>
        <v>6</v>
      </c>
    </row>
    <row r="12" spans="1:32" ht="27" customHeight="1">
      <c r="A12" s="110">
        <v>6</v>
      </c>
      <c r="B12" s="11" t="s">
        <v>59</v>
      </c>
      <c r="C12" s="11" t="s">
        <v>1045</v>
      </c>
      <c r="D12" s="55" t="s">
        <v>1000</v>
      </c>
      <c r="E12" s="56" t="s">
        <v>1046</v>
      </c>
      <c r="F12" s="12" t="s">
        <v>1047</v>
      </c>
      <c r="G12" s="12">
        <v>1</v>
      </c>
      <c r="H12" s="13">
        <v>25</v>
      </c>
      <c r="I12" s="34">
        <v>12000</v>
      </c>
      <c r="J12" s="14">
        <v>2650</v>
      </c>
      <c r="K12" s="15">
        <f>L12</f>
        <v>2644</v>
      </c>
      <c r="L12" s="15">
        <f>2644</f>
        <v>2644</v>
      </c>
      <c r="M12" s="16">
        <f t="shared" ref="M12:M13" si="9">L12-N12</f>
        <v>2644</v>
      </c>
      <c r="N12" s="16">
        <v>0</v>
      </c>
      <c r="O12" s="62">
        <f t="shared" ref="O12:O13" si="10">IF(L12=0,"0",N12/L12)</f>
        <v>0</v>
      </c>
      <c r="P12" s="42">
        <f t="shared" ref="P12:P13" si="11">IF(L12=0,"0",(24-Q12))</f>
        <v>13</v>
      </c>
      <c r="Q12" s="43">
        <f t="shared" ref="Q12:Q13" si="12">SUM(R12:AA12)</f>
        <v>11</v>
      </c>
      <c r="R12" s="7"/>
      <c r="S12" s="6"/>
      <c r="T12" s="17">
        <v>11</v>
      </c>
      <c r="U12" s="17"/>
      <c r="V12" s="18"/>
      <c r="W12" s="19"/>
      <c r="X12" s="17"/>
      <c r="Y12" s="20"/>
      <c r="Z12" s="20"/>
      <c r="AA12" s="21"/>
      <c r="AB12" s="8">
        <f t="shared" ref="AB12:AB13" si="13">IF(J12=0,"0",(L12/J12))</f>
        <v>0.99773584905660373</v>
      </c>
      <c r="AC12" s="9">
        <f t="shared" ref="AC12:AC13" si="14">IF(P12=0,"0",(P12/24))</f>
        <v>0.54166666666666663</v>
      </c>
      <c r="AD12" s="10">
        <f t="shared" ref="AD12:AD13" si="15">AC12*AB12*(1-O12)</f>
        <v>0.540440251572327</v>
      </c>
      <c r="AE12" s="39">
        <f t="shared" si="7"/>
        <v>0.57994977941653736</v>
      </c>
      <c r="AF12" s="94">
        <f t="shared" ref="AF12" si="16">A12</f>
        <v>6</v>
      </c>
    </row>
    <row r="13" spans="1:32" ht="27" customHeight="1">
      <c r="A13" s="110">
        <v>6</v>
      </c>
      <c r="B13" s="11" t="s">
        <v>59</v>
      </c>
      <c r="C13" s="11" t="s">
        <v>666</v>
      </c>
      <c r="D13" s="55" t="s">
        <v>713</v>
      </c>
      <c r="E13" s="56" t="s">
        <v>731</v>
      </c>
      <c r="F13" s="12" t="s">
        <v>714</v>
      </c>
      <c r="G13" s="12" t="s">
        <v>715</v>
      </c>
      <c r="H13" s="13">
        <v>25</v>
      </c>
      <c r="I13" s="34">
        <v>1000</v>
      </c>
      <c r="J13" s="14">
        <v>1090</v>
      </c>
      <c r="K13" s="15">
        <f>L13</f>
        <v>1089</v>
      </c>
      <c r="L13" s="15">
        <v>1089</v>
      </c>
      <c r="M13" s="16">
        <f t="shared" si="9"/>
        <v>1089</v>
      </c>
      <c r="N13" s="16">
        <v>0</v>
      </c>
      <c r="O13" s="62">
        <f t="shared" si="10"/>
        <v>0</v>
      </c>
      <c r="P13" s="42">
        <f t="shared" si="11"/>
        <v>6</v>
      </c>
      <c r="Q13" s="43">
        <f t="shared" si="12"/>
        <v>18</v>
      </c>
      <c r="R13" s="7"/>
      <c r="S13" s="6"/>
      <c r="T13" s="17"/>
      <c r="U13" s="17"/>
      <c r="V13" s="18"/>
      <c r="W13" s="19">
        <v>18</v>
      </c>
      <c r="X13" s="17"/>
      <c r="Y13" s="20"/>
      <c r="Z13" s="20"/>
      <c r="AA13" s="21"/>
      <c r="AB13" s="8">
        <f t="shared" si="13"/>
        <v>0.99908256880733948</v>
      </c>
      <c r="AC13" s="9">
        <f t="shared" si="14"/>
        <v>0.25</v>
      </c>
      <c r="AD13" s="10">
        <f t="shared" si="15"/>
        <v>0.24977064220183487</v>
      </c>
      <c r="AE13" s="39">
        <f t="shared" si="7"/>
        <v>0.57994977941653736</v>
      </c>
      <c r="AF13" s="94">
        <f>A13</f>
        <v>6</v>
      </c>
    </row>
    <row r="14" spans="1:32" ht="27" customHeight="1">
      <c r="A14" s="110">
        <v>7</v>
      </c>
      <c r="B14" s="11" t="s">
        <v>59</v>
      </c>
      <c r="C14" s="11" t="s">
        <v>118</v>
      </c>
      <c r="D14" s="55" t="s">
        <v>294</v>
      </c>
      <c r="E14" s="57" t="s">
        <v>295</v>
      </c>
      <c r="F14" s="12" t="s">
        <v>167</v>
      </c>
      <c r="G14" s="12">
        <v>1</v>
      </c>
      <c r="H14" s="13">
        <v>25</v>
      </c>
      <c r="I14" s="7">
        <v>35000</v>
      </c>
      <c r="J14" s="14">
        <v>4960</v>
      </c>
      <c r="K14" s="15">
        <f>L14+3048+3908+1500+3674+4638+4098+3327+1990+2919+4095+4963+4957+2551+3402</f>
        <v>54030</v>
      </c>
      <c r="L14" s="15">
        <f>2574+2386</f>
        <v>4960</v>
      </c>
      <c r="M14" s="16">
        <f t="shared" si="0"/>
        <v>4960</v>
      </c>
      <c r="N14" s="16">
        <v>0</v>
      </c>
      <c r="O14" s="62">
        <f t="shared" si="1"/>
        <v>0</v>
      </c>
      <c r="P14" s="42">
        <f t="shared" si="2"/>
        <v>24</v>
      </c>
      <c r="Q14" s="43">
        <f t="shared" si="3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1</v>
      </c>
      <c r="AD14" s="10">
        <f t="shared" si="6"/>
        <v>1</v>
      </c>
      <c r="AE14" s="39">
        <f t="shared" si="7"/>
        <v>0.57994977941653736</v>
      </c>
      <c r="AF14" s="94">
        <f t="shared" si="8"/>
        <v>7</v>
      </c>
    </row>
    <row r="15" spans="1:32" ht="27" customHeight="1">
      <c r="A15" s="110">
        <v>8</v>
      </c>
      <c r="B15" s="11" t="s">
        <v>59</v>
      </c>
      <c r="C15" s="11" t="s">
        <v>119</v>
      </c>
      <c r="D15" s="55" t="s">
        <v>963</v>
      </c>
      <c r="E15" s="56" t="s">
        <v>964</v>
      </c>
      <c r="F15" s="12" t="s">
        <v>965</v>
      </c>
      <c r="G15" s="12">
        <v>1</v>
      </c>
      <c r="H15" s="13">
        <v>25</v>
      </c>
      <c r="I15" s="7">
        <v>50000</v>
      </c>
      <c r="J15" s="14">
        <v>6090</v>
      </c>
      <c r="K15" s="15">
        <f>L15+2835+6129</f>
        <v>15050</v>
      </c>
      <c r="L15" s="15">
        <f>3186+2900</f>
        <v>6086</v>
      </c>
      <c r="M15" s="16">
        <f t="shared" si="0"/>
        <v>6086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0.99934318555008206</v>
      </c>
      <c r="AC15" s="9">
        <f t="shared" si="5"/>
        <v>1</v>
      </c>
      <c r="AD15" s="10">
        <f t="shared" si="6"/>
        <v>0.99934318555008206</v>
      </c>
      <c r="AE15" s="39">
        <f t="shared" si="7"/>
        <v>0.57994977941653736</v>
      </c>
      <c r="AF15" s="94">
        <f t="shared" si="8"/>
        <v>8</v>
      </c>
    </row>
    <row r="16" spans="1:32" ht="27" customHeight="1">
      <c r="A16" s="109">
        <v>9</v>
      </c>
      <c r="B16" s="11" t="s">
        <v>59</v>
      </c>
      <c r="C16" s="37" t="s">
        <v>144</v>
      </c>
      <c r="D16" s="55" t="s">
        <v>1048</v>
      </c>
      <c r="E16" s="57" t="s">
        <v>1070</v>
      </c>
      <c r="F16" s="33" t="s">
        <v>1050</v>
      </c>
      <c r="G16" s="36" t="s">
        <v>1051</v>
      </c>
      <c r="H16" s="38">
        <v>30</v>
      </c>
      <c r="I16" s="7">
        <v>2000</v>
      </c>
      <c r="J16" s="5">
        <v>2240</v>
      </c>
      <c r="K16" s="15">
        <f>L16</f>
        <v>2238</v>
      </c>
      <c r="L16" s="15">
        <f>1119*2</f>
        <v>2238</v>
      </c>
      <c r="M16" s="16">
        <f t="shared" si="0"/>
        <v>2238</v>
      </c>
      <c r="N16" s="16">
        <v>0</v>
      </c>
      <c r="O16" s="62">
        <f t="shared" si="1"/>
        <v>0</v>
      </c>
      <c r="P16" s="42">
        <f t="shared" si="2"/>
        <v>16</v>
      </c>
      <c r="Q16" s="43">
        <f t="shared" si="3"/>
        <v>8</v>
      </c>
      <c r="R16" s="7"/>
      <c r="S16" s="6"/>
      <c r="T16" s="17"/>
      <c r="U16" s="17"/>
      <c r="V16" s="18"/>
      <c r="W16" s="19">
        <v>8</v>
      </c>
      <c r="X16" s="17"/>
      <c r="Y16" s="20"/>
      <c r="Z16" s="20"/>
      <c r="AA16" s="21"/>
      <c r="AB16" s="8">
        <f t="shared" si="4"/>
        <v>0.99910714285714286</v>
      </c>
      <c r="AC16" s="9">
        <f t="shared" si="5"/>
        <v>0.66666666666666663</v>
      </c>
      <c r="AD16" s="10">
        <f t="shared" si="6"/>
        <v>0.66607142857142854</v>
      </c>
      <c r="AE16" s="39">
        <f t="shared" si="7"/>
        <v>0.57994977941653736</v>
      </c>
      <c r="AF16" s="94">
        <f t="shared" si="8"/>
        <v>9</v>
      </c>
    </row>
    <row r="17" spans="1:36" ht="27" customHeight="1">
      <c r="A17" s="109">
        <v>10</v>
      </c>
      <c r="B17" s="11" t="s">
        <v>59</v>
      </c>
      <c r="C17" s="11" t="s">
        <v>146</v>
      </c>
      <c r="D17" s="55" t="s">
        <v>137</v>
      </c>
      <c r="E17" s="57" t="s">
        <v>1052</v>
      </c>
      <c r="F17" s="12" t="s">
        <v>148</v>
      </c>
      <c r="G17" s="12">
        <v>1</v>
      </c>
      <c r="H17" s="13">
        <v>25</v>
      </c>
      <c r="I17" s="34">
        <v>560</v>
      </c>
      <c r="J17" s="14">
        <v>790</v>
      </c>
      <c r="K17" s="15">
        <f>L17</f>
        <v>788</v>
      </c>
      <c r="L17" s="15">
        <f>788</f>
        <v>788</v>
      </c>
      <c r="M17" s="16">
        <f t="shared" si="0"/>
        <v>788</v>
      </c>
      <c r="N17" s="16">
        <v>0</v>
      </c>
      <c r="O17" s="62">
        <f t="shared" si="1"/>
        <v>0</v>
      </c>
      <c r="P17" s="42">
        <f t="shared" si="2"/>
        <v>5</v>
      </c>
      <c r="Q17" s="43">
        <f t="shared" si="3"/>
        <v>19</v>
      </c>
      <c r="R17" s="7"/>
      <c r="S17" s="6"/>
      <c r="T17" s="17"/>
      <c r="U17" s="17"/>
      <c r="V17" s="18"/>
      <c r="W17" s="19">
        <v>19</v>
      </c>
      <c r="X17" s="17"/>
      <c r="Y17" s="20"/>
      <c r="Z17" s="20"/>
      <c r="AA17" s="21"/>
      <c r="AB17" s="8">
        <f t="shared" si="4"/>
        <v>0.99746835443037973</v>
      </c>
      <c r="AC17" s="9">
        <f t="shared" si="5"/>
        <v>0.20833333333333334</v>
      </c>
      <c r="AD17" s="10">
        <f t="shared" si="6"/>
        <v>0.2078059071729958</v>
      </c>
      <c r="AE17" s="39">
        <f t="shared" si="7"/>
        <v>0.57994977941653736</v>
      </c>
      <c r="AF17" s="94">
        <f t="shared" si="8"/>
        <v>10</v>
      </c>
    </row>
    <row r="18" spans="1:36" ht="27.75" customHeight="1">
      <c r="A18" s="109">
        <v>11</v>
      </c>
      <c r="B18" s="11" t="s">
        <v>59</v>
      </c>
      <c r="C18" s="11" t="s">
        <v>1003</v>
      </c>
      <c r="D18" s="55" t="s">
        <v>1004</v>
      </c>
      <c r="E18" s="56" t="s">
        <v>1005</v>
      </c>
      <c r="F18" s="12">
        <v>7301</v>
      </c>
      <c r="G18" s="36">
        <v>1</v>
      </c>
      <c r="H18" s="38">
        <v>25</v>
      </c>
      <c r="I18" s="7">
        <f>16000+9000</f>
        <v>25000</v>
      </c>
      <c r="J18" s="14">
        <v>4840</v>
      </c>
      <c r="K18" s="15">
        <f>L18+4379</f>
        <v>9210</v>
      </c>
      <c r="L18" s="15">
        <f>2521+2310</f>
        <v>4831</v>
      </c>
      <c r="M18" s="16">
        <f t="shared" si="0"/>
        <v>4831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0.99814049586776854</v>
      </c>
      <c r="AC18" s="9">
        <f t="shared" si="5"/>
        <v>1</v>
      </c>
      <c r="AD18" s="10">
        <f t="shared" si="6"/>
        <v>0.99814049586776854</v>
      </c>
      <c r="AE18" s="39">
        <f t="shared" si="7"/>
        <v>0.57994977941653736</v>
      </c>
      <c r="AF18" s="94">
        <f>A18</f>
        <v>11</v>
      </c>
      <c r="AJ18" s="15"/>
    </row>
    <row r="19" spans="1:36" ht="27" customHeight="1">
      <c r="A19" s="109">
        <v>12</v>
      </c>
      <c r="B19" s="11" t="s">
        <v>59</v>
      </c>
      <c r="C19" s="37" t="s">
        <v>1045</v>
      </c>
      <c r="D19" s="55" t="s">
        <v>1053</v>
      </c>
      <c r="E19" s="56" t="s">
        <v>1054</v>
      </c>
      <c r="F19" s="12">
        <v>8301</v>
      </c>
      <c r="G19" s="12">
        <v>1</v>
      </c>
      <c r="H19" s="13">
        <v>25</v>
      </c>
      <c r="I19" s="34">
        <v>8500</v>
      </c>
      <c r="J19" s="5">
        <v>3740</v>
      </c>
      <c r="K19" s="15">
        <f>L19</f>
        <v>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>
        <v>24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0.57994977941653736</v>
      </c>
      <c r="AF19" s="94">
        <f t="shared" si="8"/>
        <v>12</v>
      </c>
    </row>
    <row r="20" spans="1:36" ht="27" customHeight="1">
      <c r="A20" s="110">
        <v>13</v>
      </c>
      <c r="B20" s="11" t="s">
        <v>59</v>
      </c>
      <c r="C20" s="37" t="s">
        <v>1003</v>
      </c>
      <c r="D20" s="55" t="s">
        <v>1006</v>
      </c>
      <c r="E20" s="57" t="s">
        <v>1007</v>
      </c>
      <c r="F20" s="33" t="s">
        <v>218</v>
      </c>
      <c r="G20" s="12">
        <v>1</v>
      </c>
      <c r="H20" s="13">
        <v>25</v>
      </c>
      <c r="I20" s="34">
        <v>7000</v>
      </c>
      <c r="J20" s="5">
        <v>5210</v>
      </c>
      <c r="K20" s="15">
        <f>L20+4709</f>
        <v>9914</v>
      </c>
      <c r="L20" s="15">
        <f>2696+2509</f>
        <v>5205</v>
      </c>
      <c r="M20" s="16">
        <f t="shared" si="0"/>
        <v>5205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0.99904030710172742</v>
      </c>
      <c r="AC20" s="9">
        <f t="shared" si="5"/>
        <v>1</v>
      </c>
      <c r="AD20" s="10">
        <f t="shared" si="6"/>
        <v>0.99904030710172742</v>
      </c>
      <c r="AE20" s="39">
        <f t="shared" si="7"/>
        <v>0.57994977941653736</v>
      </c>
      <c r="AF20" s="94">
        <f t="shared" si="8"/>
        <v>13</v>
      </c>
    </row>
    <row r="21" spans="1:36" ht="27" customHeight="1">
      <c r="A21" s="110">
        <v>14</v>
      </c>
      <c r="B21" s="11" t="s">
        <v>59</v>
      </c>
      <c r="C21" s="37" t="s">
        <v>119</v>
      </c>
      <c r="D21" s="55" t="s">
        <v>58</v>
      </c>
      <c r="E21" s="57" t="s">
        <v>187</v>
      </c>
      <c r="F21" s="33" t="s">
        <v>136</v>
      </c>
      <c r="G21" s="36">
        <v>1</v>
      </c>
      <c r="H21" s="38">
        <v>25</v>
      </c>
      <c r="I21" s="7">
        <v>50000</v>
      </c>
      <c r="J21" s="5">
        <v>4890</v>
      </c>
      <c r="K21" s="15">
        <f>L21+4442+4907+4868+4725+2202</f>
        <v>26034</v>
      </c>
      <c r="L21" s="15">
        <f>2554+2336</f>
        <v>4890</v>
      </c>
      <c r="M21" s="16">
        <f t="shared" si="0"/>
        <v>4890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1</v>
      </c>
      <c r="AD21" s="10">
        <f t="shared" si="6"/>
        <v>1</v>
      </c>
      <c r="AE21" s="39">
        <f t="shared" si="7"/>
        <v>0.57994977941653736</v>
      </c>
      <c r="AF21" s="94">
        <f t="shared" si="8"/>
        <v>14</v>
      </c>
    </row>
    <row r="22" spans="1:36" ht="27" customHeight="1" thickBot="1">
      <c r="A22" s="110">
        <v>15</v>
      </c>
      <c r="B22" s="11" t="s">
        <v>59</v>
      </c>
      <c r="C22" s="11" t="s">
        <v>116</v>
      </c>
      <c r="D22" s="55"/>
      <c r="E22" s="56" t="s">
        <v>599</v>
      </c>
      <c r="F22" s="12" t="s">
        <v>117</v>
      </c>
      <c r="G22" s="12">
        <v>4</v>
      </c>
      <c r="H22" s="38">
        <v>20</v>
      </c>
      <c r="I22" s="7">
        <v>200000</v>
      </c>
      <c r="J22" s="14">
        <v>33300</v>
      </c>
      <c r="K22" s="15">
        <f>L22+50220+52380+58428+58872+64080+33228</f>
        <v>317208</v>
      </c>
      <c r="L22" s="15"/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/>
      <c r="T22" s="17"/>
      <c r="U22" s="17"/>
      <c r="V22" s="18"/>
      <c r="W22" s="19">
        <v>24</v>
      </c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 t="shared" si="7"/>
        <v>0.57994977941653736</v>
      </c>
      <c r="AF22" s="94">
        <f t="shared" si="8"/>
        <v>15</v>
      </c>
    </row>
    <row r="23" spans="1:36" ht="31.5" customHeight="1" thickBot="1">
      <c r="A23" s="418" t="s">
        <v>34</v>
      </c>
      <c r="B23" s="419"/>
      <c r="C23" s="419"/>
      <c r="D23" s="419"/>
      <c r="E23" s="419"/>
      <c r="F23" s="419"/>
      <c r="G23" s="419"/>
      <c r="H23" s="420"/>
      <c r="I23" s="25">
        <f t="shared" ref="I23:N23" si="17">SUM(I6:I22)</f>
        <v>476060</v>
      </c>
      <c r="J23" s="22">
        <f t="shared" si="17"/>
        <v>86190</v>
      </c>
      <c r="K23" s="23">
        <f t="shared" si="17"/>
        <v>495643</v>
      </c>
      <c r="L23" s="24">
        <f t="shared" si="17"/>
        <v>44084</v>
      </c>
      <c r="M23" s="23">
        <f t="shared" si="17"/>
        <v>44084</v>
      </c>
      <c r="N23" s="24">
        <f t="shared" si="17"/>
        <v>0</v>
      </c>
      <c r="O23" s="44">
        <f t="shared" si="1"/>
        <v>0</v>
      </c>
      <c r="P23" s="45">
        <f t="shared" ref="P23:AA23" si="18">SUM(P6:P22)</f>
        <v>209</v>
      </c>
      <c r="Q23" s="46">
        <f t="shared" si="18"/>
        <v>199</v>
      </c>
      <c r="R23" s="26">
        <f t="shared" si="18"/>
        <v>24</v>
      </c>
      <c r="S23" s="27">
        <f t="shared" si="18"/>
        <v>27</v>
      </c>
      <c r="T23" s="27">
        <f t="shared" si="18"/>
        <v>11</v>
      </c>
      <c r="U23" s="27">
        <f t="shared" si="18"/>
        <v>0</v>
      </c>
      <c r="V23" s="28">
        <f t="shared" si="18"/>
        <v>0</v>
      </c>
      <c r="W23" s="29">
        <f t="shared" si="18"/>
        <v>137</v>
      </c>
      <c r="X23" s="30">
        <f t="shared" si="18"/>
        <v>0</v>
      </c>
      <c r="Y23" s="30">
        <f t="shared" si="18"/>
        <v>0</v>
      </c>
      <c r="Z23" s="30">
        <f t="shared" si="18"/>
        <v>0</v>
      </c>
      <c r="AA23" s="30">
        <f t="shared" si="18"/>
        <v>0</v>
      </c>
      <c r="AB23" s="31">
        <f>SUM(AB6:AB22)/15</f>
        <v>0.79872619223545283</v>
      </c>
      <c r="AC23" s="4">
        <f>SUM(AC6:AC22)/15</f>
        <v>0.58055555555555549</v>
      </c>
      <c r="AD23" s="4">
        <f>SUM(AD6:AD22)/15</f>
        <v>0.57994977941653736</v>
      </c>
      <c r="AE23" s="32"/>
    </row>
    <row r="25" spans="1:36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21" t="s">
        <v>46</v>
      </c>
      <c r="B50" s="421"/>
      <c r="C50" s="421"/>
      <c r="D50" s="421"/>
      <c r="E50" s="421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22" t="s">
        <v>1055</v>
      </c>
      <c r="B51" s="423"/>
      <c r="C51" s="423"/>
      <c r="D51" s="423"/>
      <c r="E51" s="423"/>
      <c r="F51" s="423"/>
      <c r="G51" s="423"/>
      <c r="H51" s="423"/>
      <c r="I51" s="423"/>
      <c r="J51" s="423"/>
      <c r="K51" s="423"/>
      <c r="L51" s="423"/>
      <c r="M51" s="424"/>
      <c r="N51" s="425" t="s">
        <v>1072</v>
      </c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6"/>
      <c r="AB51" s="426"/>
      <c r="AC51" s="426"/>
      <c r="AD51" s="427"/>
    </row>
    <row r="52" spans="1:32" ht="27" customHeight="1">
      <c r="A52" s="428" t="s">
        <v>2</v>
      </c>
      <c r="B52" s="429"/>
      <c r="C52" s="389" t="s">
        <v>47</v>
      </c>
      <c r="D52" s="389" t="s">
        <v>48</v>
      </c>
      <c r="E52" s="389" t="s">
        <v>110</v>
      </c>
      <c r="F52" s="429" t="s">
        <v>109</v>
      </c>
      <c r="G52" s="429"/>
      <c r="H52" s="429"/>
      <c r="I52" s="429"/>
      <c r="J52" s="429"/>
      <c r="K52" s="429"/>
      <c r="L52" s="429"/>
      <c r="M52" s="430"/>
      <c r="N52" s="73" t="s">
        <v>114</v>
      </c>
      <c r="O52" s="389" t="s">
        <v>47</v>
      </c>
      <c r="P52" s="431" t="s">
        <v>48</v>
      </c>
      <c r="Q52" s="432"/>
      <c r="R52" s="431" t="s">
        <v>39</v>
      </c>
      <c r="S52" s="433"/>
      <c r="T52" s="433"/>
      <c r="U52" s="432"/>
      <c r="V52" s="431" t="s">
        <v>49</v>
      </c>
      <c r="W52" s="433"/>
      <c r="X52" s="433"/>
      <c r="Y52" s="433"/>
      <c r="Z52" s="433"/>
      <c r="AA52" s="433"/>
      <c r="AB52" s="433"/>
      <c r="AC52" s="433"/>
      <c r="AD52" s="434"/>
    </row>
    <row r="53" spans="1:32" ht="27" customHeight="1">
      <c r="A53" s="445" t="s">
        <v>1056</v>
      </c>
      <c r="B53" s="446"/>
      <c r="C53" s="388" t="s">
        <v>1057</v>
      </c>
      <c r="D53" s="385" t="s">
        <v>1030</v>
      </c>
      <c r="E53" s="388" t="s">
        <v>1029</v>
      </c>
      <c r="F53" s="447" t="s">
        <v>1058</v>
      </c>
      <c r="G53" s="447"/>
      <c r="H53" s="447"/>
      <c r="I53" s="447"/>
      <c r="J53" s="447"/>
      <c r="K53" s="447"/>
      <c r="L53" s="447"/>
      <c r="M53" s="448"/>
      <c r="N53" s="384" t="s">
        <v>1065</v>
      </c>
      <c r="O53" s="74" t="s">
        <v>149</v>
      </c>
      <c r="P53" s="449" t="s">
        <v>1073</v>
      </c>
      <c r="Q53" s="450"/>
      <c r="R53" s="451" t="s">
        <v>1074</v>
      </c>
      <c r="S53" s="451"/>
      <c r="T53" s="451"/>
      <c r="U53" s="451"/>
      <c r="V53" s="447" t="s">
        <v>1075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902</v>
      </c>
      <c r="B54" s="446"/>
      <c r="C54" s="388" t="s">
        <v>1012</v>
      </c>
      <c r="D54" s="385" t="s">
        <v>1013</v>
      </c>
      <c r="E54" s="388" t="s">
        <v>1028</v>
      </c>
      <c r="F54" s="447" t="s">
        <v>1059</v>
      </c>
      <c r="G54" s="447"/>
      <c r="H54" s="447"/>
      <c r="I54" s="447"/>
      <c r="J54" s="447"/>
      <c r="K54" s="447"/>
      <c r="L54" s="447"/>
      <c r="M54" s="448"/>
      <c r="N54" s="384" t="s">
        <v>146</v>
      </c>
      <c r="O54" s="74" t="s">
        <v>1076</v>
      </c>
      <c r="P54" s="449" t="s">
        <v>1060</v>
      </c>
      <c r="Q54" s="450"/>
      <c r="R54" s="451" t="s">
        <v>1077</v>
      </c>
      <c r="S54" s="451"/>
      <c r="T54" s="451"/>
      <c r="U54" s="451"/>
      <c r="V54" s="447" t="s">
        <v>1078</v>
      </c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 t="s">
        <v>874</v>
      </c>
      <c r="B55" s="446"/>
      <c r="C55" s="388" t="s">
        <v>1057</v>
      </c>
      <c r="D55" s="385" t="s">
        <v>1060</v>
      </c>
      <c r="E55" s="388" t="s">
        <v>1061</v>
      </c>
      <c r="F55" s="447" t="s">
        <v>194</v>
      </c>
      <c r="G55" s="447"/>
      <c r="H55" s="447"/>
      <c r="I55" s="447"/>
      <c r="J55" s="447"/>
      <c r="K55" s="447"/>
      <c r="L55" s="447"/>
      <c r="M55" s="448"/>
      <c r="N55" s="384" t="s">
        <v>146</v>
      </c>
      <c r="O55" s="74" t="s">
        <v>1079</v>
      </c>
      <c r="P55" s="449" t="s">
        <v>1080</v>
      </c>
      <c r="Q55" s="450"/>
      <c r="R55" s="451" t="s">
        <v>1081</v>
      </c>
      <c r="S55" s="451"/>
      <c r="T55" s="451"/>
      <c r="U55" s="451"/>
      <c r="V55" s="447" t="s">
        <v>1078</v>
      </c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 t="s">
        <v>1045</v>
      </c>
      <c r="B56" s="446"/>
      <c r="C56" s="388" t="s">
        <v>1062</v>
      </c>
      <c r="D56" s="385" t="s">
        <v>1063</v>
      </c>
      <c r="E56" s="388" t="s">
        <v>1054</v>
      </c>
      <c r="F56" s="447" t="s">
        <v>1064</v>
      </c>
      <c r="G56" s="447"/>
      <c r="H56" s="447"/>
      <c r="I56" s="447"/>
      <c r="J56" s="447"/>
      <c r="K56" s="447"/>
      <c r="L56" s="447"/>
      <c r="M56" s="448"/>
      <c r="N56" s="384" t="s">
        <v>1083</v>
      </c>
      <c r="O56" s="74" t="s">
        <v>1084</v>
      </c>
      <c r="P56" s="449" t="s">
        <v>1085</v>
      </c>
      <c r="Q56" s="450"/>
      <c r="R56" s="451" t="s">
        <v>1082</v>
      </c>
      <c r="S56" s="451"/>
      <c r="T56" s="451"/>
      <c r="U56" s="451"/>
      <c r="V56" s="447" t="s">
        <v>1078</v>
      </c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 t="s">
        <v>1065</v>
      </c>
      <c r="B57" s="446"/>
      <c r="C57" s="388" t="s">
        <v>1066</v>
      </c>
      <c r="D57" s="385" t="s">
        <v>1067</v>
      </c>
      <c r="E57" s="388" t="s">
        <v>1052</v>
      </c>
      <c r="F57" s="447" t="s">
        <v>194</v>
      </c>
      <c r="G57" s="447"/>
      <c r="H57" s="447"/>
      <c r="I57" s="447"/>
      <c r="J57" s="447"/>
      <c r="K57" s="447"/>
      <c r="L57" s="447"/>
      <c r="M57" s="448"/>
      <c r="N57" s="384" t="s">
        <v>1086</v>
      </c>
      <c r="O57" s="74" t="s">
        <v>1087</v>
      </c>
      <c r="P57" s="449" t="s">
        <v>1067</v>
      </c>
      <c r="Q57" s="450"/>
      <c r="R57" s="451" t="s">
        <v>1088</v>
      </c>
      <c r="S57" s="451"/>
      <c r="T57" s="451"/>
      <c r="U57" s="451"/>
      <c r="V57" s="447" t="s">
        <v>1078</v>
      </c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 t="s">
        <v>144</v>
      </c>
      <c r="B58" s="446"/>
      <c r="C58" s="388" t="s">
        <v>1068</v>
      </c>
      <c r="D58" s="385" t="s">
        <v>1069</v>
      </c>
      <c r="E58" s="388" t="s">
        <v>1049</v>
      </c>
      <c r="F58" s="447" t="s">
        <v>1071</v>
      </c>
      <c r="G58" s="447"/>
      <c r="H58" s="447"/>
      <c r="I58" s="447"/>
      <c r="J58" s="447"/>
      <c r="K58" s="447"/>
      <c r="L58" s="447"/>
      <c r="M58" s="448"/>
      <c r="N58" s="384" t="s">
        <v>1090</v>
      </c>
      <c r="O58" s="74" t="s">
        <v>1062</v>
      </c>
      <c r="P58" s="451" t="s">
        <v>1091</v>
      </c>
      <c r="Q58" s="451"/>
      <c r="R58" s="451" t="s">
        <v>1089</v>
      </c>
      <c r="S58" s="451"/>
      <c r="T58" s="451"/>
      <c r="U58" s="451"/>
      <c r="V58" s="447" t="s">
        <v>1092</v>
      </c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45"/>
      <c r="B59" s="446"/>
      <c r="C59" s="388"/>
      <c r="D59" s="385"/>
      <c r="E59" s="388"/>
      <c r="F59" s="447"/>
      <c r="G59" s="447"/>
      <c r="H59" s="447"/>
      <c r="I59" s="447"/>
      <c r="J59" s="447"/>
      <c r="K59" s="447"/>
      <c r="L59" s="447"/>
      <c r="M59" s="448"/>
      <c r="N59" s="384"/>
      <c r="O59" s="74"/>
      <c r="P59" s="449"/>
      <c r="Q59" s="450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</row>
    <row r="60" spans="1:32" ht="27" customHeight="1">
      <c r="A60" s="445"/>
      <c r="B60" s="446"/>
      <c r="C60" s="388"/>
      <c r="D60" s="385"/>
      <c r="E60" s="388"/>
      <c r="F60" s="447"/>
      <c r="G60" s="447"/>
      <c r="H60" s="447"/>
      <c r="I60" s="447"/>
      <c r="J60" s="447"/>
      <c r="K60" s="447"/>
      <c r="L60" s="447"/>
      <c r="M60" s="448"/>
      <c r="N60" s="384"/>
      <c r="O60" s="74"/>
      <c r="P60" s="451"/>
      <c r="Q60" s="451"/>
      <c r="R60" s="451"/>
      <c r="S60" s="451"/>
      <c r="T60" s="451"/>
      <c r="U60" s="451"/>
      <c r="V60" s="447"/>
      <c r="W60" s="447"/>
      <c r="X60" s="447"/>
      <c r="Y60" s="447"/>
      <c r="Z60" s="447"/>
      <c r="AA60" s="447"/>
      <c r="AB60" s="447"/>
      <c r="AC60" s="447"/>
      <c r="AD60" s="448"/>
    </row>
    <row r="61" spans="1:32" ht="27" customHeight="1">
      <c r="A61" s="452"/>
      <c r="B61" s="451"/>
      <c r="C61" s="385"/>
      <c r="D61" s="385"/>
      <c r="E61" s="385"/>
      <c r="F61" s="447"/>
      <c r="G61" s="447"/>
      <c r="H61" s="447"/>
      <c r="I61" s="447"/>
      <c r="J61" s="447"/>
      <c r="K61" s="447"/>
      <c r="L61" s="447"/>
      <c r="M61" s="448"/>
      <c r="N61" s="384"/>
      <c r="O61" s="74"/>
      <c r="P61" s="451"/>
      <c r="Q61" s="451"/>
      <c r="R61" s="451"/>
      <c r="S61" s="451"/>
      <c r="T61" s="451"/>
      <c r="U61" s="451"/>
      <c r="V61" s="447"/>
      <c r="W61" s="447"/>
      <c r="X61" s="447"/>
      <c r="Y61" s="447"/>
      <c r="Z61" s="447"/>
      <c r="AA61" s="447"/>
      <c r="AB61" s="447"/>
      <c r="AC61" s="447"/>
      <c r="AD61" s="448"/>
      <c r="AF61" s="94">
        <f>8*3000</f>
        <v>24000</v>
      </c>
    </row>
    <row r="62" spans="1:32" ht="27" customHeight="1" thickBot="1">
      <c r="A62" s="453"/>
      <c r="B62" s="454"/>
      <c r="C62" s="387"/>
      <c r="D62" s="387"/>
      <c r="E62" s="387"/>
      <c r="F62" s="455"/>
      <c r="G62" s="455"/>
      <c r="H62" s="455"/>
      <c r="I62" s="455"/>
      <c r="J62" s="455"/>
      <c r="K62" s="455"/>
      <c r="L62" s="455"/>
      <c r="M62" s="456"/>
      <c r="N62" s="386"/>
      <c r="O62" s="121"/>
      <c r="P62" s="454"/>
      <c r="Q62" s="454"/>
      <c r="R62" s="454"/>
      <c r="S62" s="454"/>
      <c r="T62" s="454"/>
      <c r="U62" s="454"/>
      <c r="V62" s="455"/>
      <c r="W62" s="455"/>
      <c r="X62" s="455"/>
      <c r="Y62" s="455"/>
      <c r="Z62" s="455"/>
      <c r="AA62" s="455"/>
      <c r="AB62" s="455"/>
      <c r="AC62" s="455"/>
      <c r="AD62" s="456"/>
      <c r="AF62" s="94">
        <f>16*3000</f>
        <v>48000</v>
      </c>
    </row>
    <row r="63" spans="1:32" ht="27.75" thickBot="1">
      <c r="A63" s="457" t="s">
        <v>1098</v>
      </c>
      <c r="B63" s="457"/>
      <c r="C63" s="457"/>
      <c r="D63" s="457"/>
      <c r="E63" s="457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458" t="s">
        <v>115</v>
      </c>
      <c r="B64" s="459"/>
      <c r="C64" s="383" t="s">
        <v>2</v>
      </c>
      <c r="D64" s="383" t="s">
        <v>38</v>
      </c>
      <c r="E64" s="383" t="s">
        <v>3</v>
      </c>
      <c r="F64" s="459" t="s">
        <v>112</v>
      </c>
      <c r="G64" s="459"/>
      <c r="H64" s="459"/>
      <c r="I64" s="459"/>
      <c r="J64" s="459"/>
      <c r="K64" s="459" t="s">
        <v>40</v>
      </c>
      <c r="L64" s="459"/>
      <c r="M64" s="383" t="s">
        <v>41</v>
      </c>
      <c r="N64" s="459" t="s">
        <v>42</v>
      </c>
      <c r="O64" s="459"/>
      <c r="P64" s="460" t="s">
        <v>43</v>
      </c>
      <c r="Q64" s="461"/>
      <c r="R64" s="460" t="s">
        <v>44</v>
      </c>
      <c r="S64" s="462"/>
      <c r="T64" s="462"/>
      <c r="U64" s="462"/>
      <c r="V64" s="462"/>
      <c r="W64" s="462"/>
      <c r="X64" s="462"/>
      <c r="Y64" s="462"/>
      <c r="Z64" s="462"/>
      <c r="AA64" s="461"/>
      <c r="AB64" s="459" t="s">
        <v>45</v>
      </c>
      <c r="AC64" s="459"/>
      <c r="AD64" s="463"/>
      <c r="AF64" s="94">
        <f>SUM(AF61:AF63)</f>
        <v>96000</v>
      </c>
    </row>
    <row r="65" spans="1:32" ht="25.5" customHeight="1">
      <c r="A65" s="464">
        <v>1</v>
      </c>
      <c r="B65" s="465"/>
      <c r="C65" s="124" t="s">
        <v>144</v>
      </c>
      <c r="D65" s="379"/>
      <c r="E65" s="381" t="s">
        <v>1093</v>
      </c>
      <c r="F65" s="466" t="s">
        <v>1094</v>
      </c>
      <c r="G65" s="467"/>
      <c r="H65" s="467"/>
      <c r="I65" s="467"/>
      <c r="J65" s="467"/>
      <c r="K65" s="467" t="s">
        <v>1095</v>
      </c>
      <c r="L65" s="467"/>
      <c r="M65" s="54" t="s">
        <v>1096</v>
      </c>
      <c r="N65" s="467">
        <v>9</v>
      </c>
      <c r="O65" s="467"/>
      <c r="P65" s="468" t="s">
        <v>1097</v>
      </c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2</v>
      </c>
      <c r="B66" s="465"/>
      <c r="C66" s="124"/>
      <c r="D66" s="379"/>
      <c r="E66" s="381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3</v>
      </c>
      <c r="B67" s="465"/>
      <c r="C67" s="124"/>
      <c r="D67" s="379"/>
      <c r="E67" s="381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4</v>
      </c>
      <c r="B68" s="465"/>
      <c r="C68" s="124"/>
      <c r="D68" s="379"/>
      <c r="E68" s="381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5</v>
      </c>
      <c r="B69" s="465"/>
      <c r="C69" s="124"/>
      <c r="D69" s="379"/>
      <c r="E69" s="381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6</v>
      </c>
      <c r="B70" s="465"/>
      <c r="C70" s="124"/>
      <c r="D70" s="379"/>
      <c r="E70" s="381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5.5" customHeight="1">
      <c r="A71" s="464">
        <v>7</v>
      </c>
      <c r="B71" s="465"/>
      <c r="C71" s="124"/>
      <c r="D71" s="379"/>
      <c r="E71" s="381"/>
      <c r="F71" s="466"/>
      <c r="G71" s="467"/>
      <c r="H71" s="467"/>
      <c r="I71" s="467"/>
      <c r="J71" s="467"/>
      <c r="K71" s="467"/>
      <c r="L71" s="467"/>
      <c r="M71" s="54"/>
      <c r="N71" s="467"/>
      <c r="O71" s="467"/>
      <c r="P71" s="468"/>
      <c r="Q71" s="468"/>
      <c r="R71" s="447"/>
      <c r="S71" s="447"/>
      <c r="T71" s="447"/>
      <c r="U71" s="447"/>
      <c r="V71" s="447"/>
      <c r="W71" s="447"/>
      <c r="X71" s="447"/>
      <c r="Y71" s="447"/>
      <c r="Z71" s="447"/>
      <c r="AA71" s="447"/>
      <c r="AB71" s="467"/>
      <c r="AC71" s="467"/>
      <c r="AD71" s="469"/>
      <c r="AF71" s="53"/>
    </row>
    <row r="72" spans="1:32" ht="25.5" customHeight="1">
      <c r="A72" s="464">
        <v>8</v>
      </c>
      <c r="B72" s="465"/>
      <c r="C72" s="124"/>
      <c r="D72" s="379"/>
      <c r="E72" s="381"/>
      <c r="F72" s="466"/>
      <c r="G72" s="467"/>
      <c r="H72" s="467"/>
      <c r="I72" s="467"/>
      <c r="J72" s="467"/>
      <c r="K72" s="467"/>
      <c r="L72" s="467"/>
      <c r="M72" s="54"/>
      <c r="N72" s="467"/>
      <c r="O72" s="467"/>
      <c r="P72" s="468"/>
      <c r="Q72" s="468"/>
      <c r="R72" s="447"/>
      <c r="S72" s="447"/>
      <c r="T72" s="447"/>
      <c r="U72" s="447"/>
      <c r="V72" s="447"/>
      <c r="W72" s="447"/>
      <c r="X72" s="447"/>
      <c r="Y72" s="447"/>
      <c r="Z72" s="447"/>
      <c r="AA72" s="447"/>
      <c r="AB72" s="467"/>
      <c r="AC72" s="467"/>
      <c r="AD72" s="469"/>
      <c r="AF72" s="53"/>
    </row>
    <row r="73" spans="1:32" ht="26.25" customHeight="1" thickBot="1">
      <c r="A73" s="470" t="s">
        <v>1099</v>
      </c>
      <c r="B73" s="470"/>
      <c r="C73" s="470"/>
      <c r="D73" s="470"/>
      <c r="E73" s="470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471" t="s">
        <v>115</v>
      </c>
      <c r="B74" s="472"/>
      <c r="C74" s="382" t="s">
        <v>2</v>
      </c>
      <c r="D74" s="382" t="s">
        <v>38</v>
      </c>
      <c r="E74" s="382" t="s">
        <v>3</v>
      </c>
      <c r="F74" s="472" t="s">
        <v>39</v>
      </c>
      <c r="G74" s="472"/>
      <c r="H74" s="472"/>
      <c r="I74" s="472"/>
      <c r="J74" s="472"/>
      <c r="K74" s="473" t="s">
        <v>60</v>
      </c>
      <c r="L74" s="474"/>
      <c r="M74" s="474"/>
      <c r="N74" s="474"/>
      <c r="O74" s="474"/>
      <c r="P74" s="474"/>
      <c r="Q74" s="474"/>
      <c r="R74" s="474"/>
      <c r="S74" s="475"/>
      <c r="T74" s="472" t="s">
        <v>50</v>
      </c>
      <c r="U74" s="472"/>
      <c r="V74" s="473" t="s">
        <v>51</v>
      </c>
      <c r="W74" s="475"/>
      <c r="X74" s="474" t="s">
        <v>52</v>
      </c>
      <c r="Y74" s="474"/>
      <c r="Z74" s="474"/>
      <c r="AA74" s="474"/>
      <c r="AB74" s="474"/>
      <c r="AC74" s="474"/>
      <c r="AD74" s="476"/>
      <c r="AF74" s="53"/>
    </row>
    <row r="75" spans="1:32" ht="33.75" customHeight="1">
      <c r="A75" s="485">
        <v>1</v>
      </c>
      <c r="B75" s="486"/>
      <c r="C75" s="380" t="s">
        <v>118</v>
      </c>
      <c r="D75" s="380"/>
      <c r="E75" s="71" t="s">
        <v>124</v>
      </c>
      <c r="F75" s="487" t="s">
        <v>125</v>
      </c>
      <c r="G75" s="488"/>
      <c r="H75" s="488"/>
      <c r="I75" s="488"/>
      <c r="J75" s="489"/>
      <c r="K75" s="490" t="s">
        <v>120</v>
      </c>
      <c r="L75" s="491"/>
      <c r="M75" s="491"/>
      <c r="N75" s="491"/>
      <c r="O75" s="491"/>
      <c r="P75" s="491"/>
      <c r="Q75" s="491"/>
      <c r="R75" s="491"/>
      <c r="S75" s="492"/>
      <c r="T75" s="493">
        <v>42901</v>
      </c>
      <c r="U75" s="494"/>
      <c r="V75" s="495"/>
      <c r="W75" s="495"/>
      <c r="X75" s="496"/>
      <c r="Y75" s="496"/>
      <c r="Z75" s="496"/>
      <c r="AA75" s="496"/>
      <c r="AB75" s="496"/>
      <c r="AC75" s="496"/>
      <c r="AD75" s="497"/>
      <c r="AF75" s="53"/>
    </row>
    <row r="76" spans="1:32" ht="30" customHeight="1">
      <c r="A76" s="477">
        <f>A75+1</f>
        <v>2</v>
      </c>
      <c r="B76" s="478"/>
      <c r="C76" s="379" t="s">
        <v>118</v>
      </c>
      <c r="D76" s="379"/>
      <c r="E76" s="35" t="s">
        <v>121</v>
      </c>
      <c r="F76" s="478" t="s">
        <v>122</v>
      </c>
      <c r="G76" s="478"/>
      <c r="H76" s="478"/>
      <c r="I76" s="478"/>
      <c r="J76" s="478"/>
      <c r="K76" s="479" t="s">
        <v>123</v>
      </c>
      <c r="L76" s="480"/>
      <c r="M76" s="480"/>
      <c r="N76" s="480"/>
      <c r="O76" s="480"/>
      <c r="P76" s="480"/>
      <c r="Q76" s="480"/>
      <c r="R76" s="480"/>
      <c r="S76" s="481"/>
      <c r="T76" s="482">
        <v>42867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ref="A77:A83" si="19">A76+1</f>
        <v>3</v>
      </c>
      <c r="B77" s="478"/>
      <c r="C77" s="379" t="s">
        <v>144</v>
      </c>
      <c r="D77" s="379"/>
      <c r="E77" s="35" t="s">
        <v>139</v>
      </c>
      <c r="F77" s="478" t="s">
        <v>145</v>
      </c>
      <c r="G77" s="478"/>
      <c r="H77" s="478"/>
      <c r="I77" s="478"/>
      <c r="J77" s="478"/>
      <c r="K77" s="479" t="s">
        <v>120</v>
      </c>
      <c r="L77" s="480"/>
      <c r="M77" s="480"/>
      <c r="N77" s="480"/>
      <c r="O77" s="480"/>
      <c r="P77" s="480"/>
      <c r="Q77" s="480"/>
      <c r="R77" s="480"/>
      <c r="S77" s="481"/>
      <c r="T77" s="482">
        <v>42937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9"/>
        <v>4</v>
      </c>
      <c r="B78" s="478"/>
      <c r="C78" s="379" t="s">
        <v>119</v>
      </c>
      <c r="D78" s="379"/>
      <c r="E78" s="35" t="s">
        <v>137</v>
      </c>
      <c r="F78" s="478" t="s">
        <v>138</v>
      </c>
      <c r="G78" s="478"/>
      <c r="H78" s="478"/>
      <c r="I78" s="478"/>
      <c r="J78" s="478"/>
      <c r="K78" s="479" t="s">
        <v>140</v>
      </c>
      <c r="L78" s="480"/>
      <c r="M78" s="480"/>
      <c r="N78" s="480"/>
      <c r="O78" s="480"/>
      <c r="P78" s="480"/>
      <c r="Q78" s="480"/>
      <c r="R78" s="480"/>
      <c r="S78" s="481"/>
      <c r="T78" s="482">
        <v>42920</v>
      </c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9"/>
        <v>5</v>
      </c>
      <c r="B79" s="478"/>
      <c r="C79" s="379"/>
      <c r="D79" s="379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9"/>
        <v>6</v>
      </c>
      <c r="B80" s="478"/>
      <c r="C80" s="379"/>
      <c r="D80" s="379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9"/>
        <v>7</v>
      </c>
      <c r="B81" s="478"/>
      <c r="C81" s="379"/>
      <c r="D81" s="379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0" customHeight="1">
      <c r="A82" s="477">
        <f t="shared" si="19"/>
        <v>8</v>
      </c>
      <c r="B82" s="478"/>
      <c r="C82" s="379"/>
      <c r="D82" s="379"/>
      <c r="E82" s="35"/>
      <c r="F82" s="478"/>
      <c r="G82" s="478"/>
      <c r="H82" s="478"/>
      <c r="I82" s="478"/>
      <c r="J82" s="478"/>
      <c r="K82" s="479"/>
      <c r="L82" s="480"/>
      <c r="M82" s="480"/>
      <c r="N82" s="480"/>
      <c r="O82" s="480"/>
      <c r="P82" s="480"/>
      <c r="Q82" s="480"/>
      <c r="R82" s="480"/>
      <c r="S82" s="481"/>
      <c r="T82" s="482"/>
      <c r="U82" s="482"/>
      <c r="V82" s="482"/>
      <c r="W82" s="482"/>
      <c r="X82" s="483"/>
      <c r="Y82" s="483"/>
      <c r="Z82" s="483"/>
      <c r="AA82" s="483"/>
      <c r="AB82" s="483"/>
      <c r="AC82" s="483"/>
      <c r="AD82" s="484"/>
      <c r="AF82" s="53"/>
    </row>
    <row r="83" spans="1:32" ht="30" customHeight="1">
      <c r="A83" s="477">
        <f t="shared" si="19"/>
        <v>9</v>
      </c>
      <c r="B83" s="478"/>
      <c r="C83" s="379"/>
      <c r="D83" s="379"/>
      <c r="E83" s="35"/>
      <c r="F83" s="478"/>
      <c r="G83" s="478"/>
      <c r="H83" s="478"/>
      <c r="I83" s="478"/>
      <c r="J83" s="478"/>
      <c r="K83" s="479"/>
      <c r="L83" s="480"/>
      <c r="M83" s="480"/>
      <c r="N83" s="480"/>
      <c r="O83" s="480"/>
      <c r="P83" s="480"/>
      <c r="Q83" s="480"/>
      <c r="R83" s="480"/>
      <c r="S83" s="481"/>
      <c r="T83" s="482"/>
      <c r="U83" s="482"/>
      <c r="V83" s="482"/>
      <c r="W83" s="482"/>
      <c r="X83" s="483"/>
      <c r="Y83" s="483"/>
      <c r="Z83" s="483"/>
      <c r="AA83" s="483"/>
      <c r="AB83" s="483"/>
      <c r="AC83" s="483"/>
      <c r="AD83" s="484"/>
      <c r="AF83" s="53"/>
    </row>
    <row r="84" spans="1:32" ht="36" thickBot="1">
      <c r="A84" s="470" t="s">
        <v>1100</v>
      </c>
      <c r="B84" s="470"/>
      <c r="C84" s="470"/>
      <c r="D84" s="470"/>
      <c r="E84" s="470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498" t="s">
        <v>37</v>
      </c>
      <c r="B85" s="499"/>
      <c r="C85" s="499" t="s">
        <v>53</v>
      </c>
      <c r="D85" s="499"/>
      <c r="E85" s="499" t="s">
        <v>54</v>
      </c>
      <c r="F85" s="499"/>
      <c r="G85" s="499"/>
      <c r="H85" s="499"/>
      <c r="I85" s="499"/>
      <c r="J85" s="499"/>
      <c r="K85" s="499" t="s">
        <v>55</v>
      </c>
      <c r="L85" s="499"/>
      <c r="M85" s="499"/>
      <c r="N85" s="499"/>
      <c r="O85" s="499"/>
      <c r="P85" s="499"/>
      <c r="Q85" s="499"/>
      <c r="R85" s="499"/>
      <c r="S85" s="499"/>
      <c r="T85" s="499" t="s">
        <v>56</v>
      </c>
      <c r="U85" s="499"/>
      <c r="V85" s="499" t="s">
        <v>57</v>
      </c>
      <c r="W85" s="499"/>
      <c r="X85" s="499"/>
      <c r="Y85" s="499" t="s">
        <v>52</v>
      </c>
      <c r="Z85" s="499"/>
      <c r="AA85" s="499"/>
      <c r="AB85" s="499"/>
      <c r="AC85" s="499"/>
      <c r="AD85" s="500"/>
      <c r="AF85" s="53"/>
    </row>
    <row r="86" spans="1:32" ht="30.75" customHeight="1">
      <c r="A86" s="485">
        <v>1</v>
      </c>
      <c r="B86" s="486"/>
      <c r="C86" s="501">
        <v>1</v>
      </c>
      <c r="D86" s="501"/>
      <c r="E86" s="501" t="s">
        <v>129</v>
      </c>
      <c r="F86" s="501"/>
      <c r="G86" s="501"/>
      <c r="H86" s="501"/>
      <c r="I86" s="501"/>
      <c r="J86" s="501"/>
      <c r="K86" s="501" t="s">
        <v>130</v>
      </c>
      <c r="L86" s="501"/>
      <c r="M86" s="501"/>
      <c r="N86" s="501"/>
      <c r="O86" s="501"/>
      <c r="P86" s="501"/>
      <c r="Q86" s="501"/>
      <c r="R86" s="501"/>
      <c r="S86" s="501"/>
      <c r="T86" s="501" t="s">
        <v>131</v>
      </c>
      <c r="U86" s="501"/>
      <c r="V86" s="502">
        <v>1500000</v>
      </c>
      <c r="W86" s="502"/>
      <c r="X86" s="502"/>
      <c r="Y86" s="503" t="s">
        <v>132</v>
      </c>
      <c r="Z86" s="503"/>
      <c r="AA86" s="503"/>
      <c r="AB86" s="503"/>
      <c r="AC86" s="503"/>
      <c r="AD86" s="504"/>
      <c r="AF86" s="53"/>
    </row>
    <row r="87" spans="1:32" ht="30.75" customHeight="1">
      <c r="A87" s="477">
        <v>2</v>
      </c>
      <c r="B87" s="478"/>
      <c r="C87" s="512"/>
      <c r="D87" s="512"/>
      <c r="E87" s="512"/>
      <c r="F87" s="512"/>
      <c r="G87" s="512"/>
      <c r="H87" s="512"/>
      <c r="I87" s="512"/>
      <c r="J87" s="512"/>
      <c r="K87" s="512"/>
      <c r="L87" s="512"/>
      <c r="M87" s="512"/>
      <c r="N87" s="512"/>
      <c r="O87" s="512"/>
      <c r="P87" s="512"/>
      <c r="Q87" s="512"/>
      <c r="R87" s="512"/>
      <c r="S87" s="512"/>
      <c r="T87" s="513"/>
      <c r="U87" s="513"/>
      <c r="V87" s="514"/>
      <c r="W87" s="514"/>
      <c r="X87" s="514"/>
      <c r="Y87" s="505"/>
      <c r="Z87" s="505"/>
      <c r="AA87" s="505"/>
      <c r="AB87" s="505"/>
      <c r="AC87" s="505"/>
      <c r="AD87" s="506"/>
      <c r="AF87" s="53"/>
    </row>
    <row r="88" spans="1:32" ht="30.75" customHeight="1" thickBot="1">
      <c r="A88" s="507">
        <v>3</v>
      </c>
      <c r="B88" s="508"/>
      <c r="C88" s="509"/>
      <c r="D88" s="509"/>
      <c r="E88" s="509"/>
      <c r="F88" s="509"/>
      <c r="G88" s="509"/>
      <c r="H88" s="509"/>
      <c r="I88" s="509"/>
      <c r="J88" s="509"/>
      <c r="K88" s="509"/>
      <c r="L88" s="509"/>
      <c r="M88" s="509"/>
      <c r="N88" s="509"/>
      <c r="O88" s="509"/>
      <c r="P88" s="509"/>
      <c r="Q88" s="509"/>
      <c r="R88" s="509"/>
      <c r="S88" s="509"/>
      <c r="T88" s="509"/>
      <c r="U88" s="509"/>
      <c r="V88" s="509"/>
      <c r="W88" s="509"/>
      <c r="X88" s="509"/>
      <c r="Y88" s="510"/>
      <c r="Z88" s="510"/>
      <c r="AA88" s="510"/>
      <c r="AB88" s="510"/>
      <c r="AC88" s="510"/>
      <c r="AD88" s="511"/>
      <c r="AF88" s="53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J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1101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391" t="s">
        <v>17</v>
      </c>
      <c r="L5" s="391" t="s">
        <v>18</v>
      </c>
      <c r="M5" s="391" t="s">
        <v>19</v>
      </c>
      <c r="N5" s="39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0.60200606017580316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59</v>
      </c>
      <c r="C7" s="37" t="s">
        <v>1102</v>
      </c>
      <c r="D7" s="55" t="s">
        <v>1103</v>
      </c>
      <c r="E7" s="57" t="s">
        <v>1104</v>
      </c>
      <c r="F7" s="33" t="s">
        <v>1105</v>
      </c>
      <c r="G7" s="12">
        <v>2</v>
      </c>
      <c r="H7" s="13">
        <v>25</v>
      </c>
      <c r="I7" s="34">
        <v>2000</v>
      </c>
      <c r="J7" s="5">
        <v>2570</v>
      </c>
      <c r="K7" s="15">
        <f>L7</f>
        <v>2564</v>
      </c>
      <c r="L7" s="15">
        <f>783*2+499*2</f>
        <v>2564</v>
      </c>
      <c r="M7" s="16">
        <f t="shared" si="0"/>
        <v>2564</v>
      </c>
      <c r="N7" s="16">
        <v>0</v>
      </c>
      <c r="O7" s="62">
        <f t="shared" si="1"/>
        <v>0</v>
      </c>
      <c r="P7" s="42">
        <f t="shared" si="2"/>
        <v>8</v>
      </c>
      <c r="Q7" s="43">
        <f t="shared" si="3"/>
        <v>16</v>
      </c>
      <c r="R7" s="7"/>
      <c r="S7" s="6"/>
      <c r="T7" s="17"/>
      <c r="U7" s="17"/>
      <c r="V7" s="18"/>
      <c r="W7" s="19">
        <v>16</v>
      </c>
      <c r="X7" s="17"/>
      <c r="Y7" s="20"/>
      <c r="Z7" s="20"/>
      <c r="AA7" s="21"/>
      <c r="AB7" s="8">
        <f t="shared" si="4"/>
        <v>0.99766536964980546</v>
      </c>
      <c r="AC7" s="9">
        <f t="shared" si="5"/>
        <v>0.33333333333333331</v>
      </c>
      <c r="AD7" s="10">
        <f t="shared" si="6"/>
        <v>0.3325551232166018</v>
      </c>
      <c r="AE7" s="39">
        <f t="shared" si="7"/>
        <v>0.60200606017580316</v>
      </c>
      <c r="AF7" s="94">
        <f t="shared" si="8"/>
        <v>2</v>
      </c>
    </row>
    <row r="8" spans="1:36" ht="27" customHeight="1">
      <c r="A8" s="109">
        <v>3</v>
      </c>
      <c r="B8" s="11" t="s">
        <v>59</v>
      </c>
      <c r="C8" s="11" t="s">
        <v>666</v>
      </c>
      <c r="D8" s="55" t="s">
        <v>713</v>
      </c>
      <c r="E8" s="56" t="s">
        <v>706</v>
      </c>
      <c r="F8" s="12" t="s">
        <v>714</v>
      </c>
      <c r="G8" s="12" t="s">
        <v>715</v>
      </c>
      <c r="H8" s="13">
        <v>25</v>
      </c>
      <c r="I8" s="34">
        <v>1000</v>
      </c>
      <c r="J8" s="14">
        <v>470</v>
      </c>
      <c r="K8" s="15">
        <f>L8+3387+469</f>
        <v>3856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0.60200606017580316</v>
      </c>
      <c r="AF8" s="94">
        <f>A8</f>
        <v>3</v>
      </c>
    </row>
    <row r="9" spans="1:36" ht="27" customHeight="1">
      <c r="A9" s="110">
        <v>4</v>
      </c>
      <c r="B9" s="11" t="s">
        <v>59</v>
      </c>
      <c r="C9" s="11" t="s">
        <v>119</v>
      </c>
      <c r="D9" s="55" t="s">
        <v>139</v>
      </c>
      <c r="E9" s="56" t="s">
        <v>896</v>
      </c>
      <c r="F9" s="12" t="s">
        <v>213</v>
      </c>
      <c r="G9" s="36">
        <v>1</v>
      </c>
      <c r="H9" s="38">
        <v>25</v>
      </c>
      <c r="I9" s="34">
        <v>50000</v>
      </c>
      <c r="J9" s="5">
        <v>5660</v>
      </c>
      <c r="K9" s="15">
        <f>L9+5005+3240+5678+5624+4062</f>
        <v>29263</v>
      </c>
      <c r="L9" s="15">
        <f>2962+2692</f>
        <v>5654</v>
      </c>
      <c r="M9" s="16">
        <f t="shared" si="0"/>
        <v>5654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0.99893992932862186</v>
      </c>
      <c r="AC9" s="9">
        <f t="shared" si="5"/>
        <v>1</v>
      </c>
      <c r="AD9" s="10">
        <f t="shared" si="6"/>
        <v>0.99893992932862186</v>
      </c>
      <c r="AE9" s="39">
        <f t="shared" si="7"/>
        <v>0.60200606017580316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119</v>
      </c>
      <c r="D10" s="55" t="s">
        <v>759</v>
      </c>
      <c r="E10" s="57" t="s">
        <v>760</v>
      </c>
      <c r="F10" s="12">
        <v>7301</v>
      </c>
      <c r="G10" s="12">
        <v>1</v>
      </c>
      <c r="H10" s="13">
        <v>25</v>
      </c>
      <c r="I10" s="34">
        <v>25000</v>
      </c>
      <c r="J10" s="14">
        <v>6180</v>
      </c>
      <c r="K10" s="15">
        <f>L10+2754+5439+775+4414+6139</f>
        <v>25692</v>
      </c>
      <c r="L10" s="15">
        <f>3241+2930</f>
        <v>6171</v>
      </c>
      <c r="M10" s="16">
        <f t="shared" si="0"/>
        <v>6171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0.99854368932038839</v>
      </c>
      <c r="AC10" s="9">
        <f t="shared" si="5"/>
        <v>1</v>
      </c>
      <c r="AD10" s="10">
        <f t="shared" si="6"/>
        <v>0.99854368932038839</v>
      </c>
      <c r="AE10" s="39">
        <f t="shared" si="7"/>
        <v>0.60200606017580316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1045</v>
      </c>
      <c r="D11" s="55" t="s">
        <v>1000</v>
      </c>
      <c r="E11" s="56" t="s">
        <v>1046</v>
      </c>
      <c r="F11" s="12" t="s">
        <v>1047</v>
      </c>
      <c r="G11" s="12">
        <v>1</v>
      </c>
      <c r="H11" s="13">
        <v>25</v>
      </c>
      <c r="I11" s="34">
        <v>12000</v>
      </c>
      <c r="J11" s="14">
        <v>5490</v>
      </c>
      <c r="K11" s="15">
        <f>L11+2644</f>
        <v>8132</v>
      </c>
      <c r="L11" s="15">
        <f>2914+2574</f>
        <v>5488</v>
      </c>
      <c r="M11" s="16">
        <f t="shared" si="0"/>
        <v>5488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0.99963570127504553</v>
      </c>
      <c r="AC11" s="9">
        <f t="shared" si="5"/>
        <v>1</v>
      </c>
      <c r="AD11" s="10">
        <f t="shared" si="6"/>
        <v>0.99963570127504553</v>
      </c>
      <c r="AE11" s="39">
        <f t="shared" si="7"/>
        <v>0.60200606017580316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119</v>
      </c>
      <c r="D12" s="55" t="s">
        <v>1106</v>
      </c>
      <c r="E12" s="57" t="s">
        <v>1107</v>
      </c>
      <c r="F12" s="12" t="s">
        <v>1108</v>
      </c>
      <c r="G12" s="12">
        <v>1</v>
      </c>
      <c r="H12" s="13">
        <v>25</v>
      </c>
      <c r="I12" s="7">
        <v>5000</v>
      </c>
      <c r="J12" s="14">
        <v>4420</v>
      </c>
      <c r="K12" s="15">
        <f>L12</f>
        <v>4419</v>
      </c>
      <c r="L12" s="15">
        <f>2898+1521</f>
        <v>4419</v>
      </c>
      <c r="M12" s="16">
        <f t="shared" si="0"/>
        <v>4419</v>
      </c>
      <c r="N12" s="16">
        <v>0</v>
      </c>
      <c r="O12" s="62">
        <f t="shared" si="1"/>
        <v>0</v>
      </c>
      <c r="P12" s="42">
        <f t="shared" si="2"/>
        <v>22</v>
      </c>
      <c r="Q12" s="43">
        <f t="shared" si="3"/>
        <v>2</v>
      </c>
      <c r="R12" s="7"/>
      <c r="S12" s="6">
        <v>2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0.9997737556561086</v>
      </c>
      <c r="AC12" s="9">
        <f t="shared" si="5"/>
        <v>0.91666666666666663</v>
      </c>
      <c r="AD12" s="10">
        <f t="shared" si="6"/>
        <v>0.91645927601809951</v>
      </c>
      <c r="AE12" s="39">
        <f t="shared" si="7"/>
        <v>0.60200606017580316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119</v>
      </c>
      <c r="D13" s="55" t="s">
        <v>207</v>
      </c>
      <c r="E13" s="56" t="s">
        <v>964</v>
      </c>
      <c r="F13" s="12" t="s">
        <v>965</v>
      </c>
      <c r="G13" s="12">
        <v>1</v>
      </c>
      <c r="H13" s="13">
        <v>25</v>
      </c>
      <c r="I13" s="7">
        <v>50000</v>
      </c>
      <c r="J13" s="14">
        <v>5060</v>
      </c>
      <c r="K13" s="15">
        <f>L13+2835+6129+6086</f>
        <v>20102</v>
      </c>
      <c r="L13" s="15">
        <f>3236+1816</f>
        <v>5052</v>
      </c>
      <c r="M13" s="16">
        <f t="shared" si="0"/>
        <v>5052</v>
      </c>
      <c r="N13" s="16">
        <v>0</v>
      </c>
      <c r="O13" s="62">
        <f t="shared" si="1"/>
        <v>0</v>
      </c>
      <c r="P13" s="42">
        <f t="shared" si="2"/>
        <v>21</v>
      </c>
      <c r="Q13" s="43">
        <f t="shared" si="3"/>
        <v>3</v>
      </c>
      <c r="R13" s="7"/>
      <c r="S13" s="6">
        <v>3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0.99841897233201582</v>
      </c>
      <c r="AC13" s="9">
        <f t="shared" si="5"/>
        <v>0.875</v>
      </c>
      <c r="AD13" s="10">
        <f t="shared" si="6"/>
        <v>0.87361660079051384</v>
      </c>
      <c r="AE13" s="39">
        <f t="shared" si="7"/>
        <v>0.60200606017580316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144</v>
      </c>
      <c r="D14" s="55" t="s">
        <v>1048</v>
      </c>
      <c r="E14" s="57" t="s">
        <v>1070</v>
      </c>
      <c r="F14" s="33" t="s">
        <v>1050</v>
      </c>
      <c r="G14" s="36" t="s">
        <v>1051</v>
      </c>
      <c r="H14" s="38">
        <v>30</v>
      </c>
      <c r="I14" s="7">
        <v>2000</v>
      </c>
      <c r="J14" s="5">
        <v>2240</v>
      </c>
      <c r="K14" s="15">
        <f>L14+2238</f>
        <v>2238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0.60200606017580316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842</v>
      </c>
      <c r="D15" s="55" t="s">
        <v>137</v>
      </c>
      <c r="E15" s="57" t="s">
        <v>1109</v>
      </c>
      <c r="F15" s="12" t="s">
        <v>1110</v>
      </c>
      <c r="G15" s="12">
        <v>1</v>
      </c>
      <c r="H15" s="13">
        <v>25</v>
      </c>
      <c r="I15" s="34">
        <v>1000</v>
      </c>
      <c r="J15" s="14">
        <v>1640</v>
      </c>
      <c r="K15" s="15">
        <f>L15</f>
        <v>1634</v>
      </c>
      <c r="L15" s="15">
        <f>1634</f>
        <v>1634</v>
      </c>
      <c r="M15" s="16">
        <f t="shared" si="0"/>
        <v>1634</v>
      </c>
      <c r="N15" s="16">
        <v>0</v>
      </c>
      <c r="O15" s="62">
        <f t="shared" si="1"/>
        <v>0</v>
      </c>
      <c r="P15" s="42">
        <f t="shared" si="2"/>
        <v>10</v>
      </c>
      <c r="Q15" s="43">
        <f t="shared" si="3"/>
        <v>14</v>
      </c>
      <c r="R15" s="7"/>
      <c r="S15" s="6">
        <v>4</v>
      </c>
      <c r="T15" s="17"/>
      <c r="U15" s="17"/>
      <c r="V15" s="18"/>
      <c r="W15" s="19">
        <v>10</v>
      </c>
      <c r="X15" s="17"/>
      <c r="Y15" s="20"/>
      <c r="Z15" s="20"/>
      <c r="AA15" s="21"/>
      <c r="AB15" s="8">
        <f t="shared" si="4"/>
        <v>0.99634146341463414</v>
      </c>
      <c r="AC15" s="9">
        <f t="shared" si="5"/>
        <v>0.41666666666666669</v>
      </c>
      <c r="AD15" s="10">
        <f t="shared" si="6"/>
        <v>0.41514227642276424</v>
      </c>
      <c r="AE15" s="39">
        <f t="shared" si="7"/>
        <v>0.60200606017580316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1003</v>
      </c>
      <c r="D16" s="55" t="s">
        <v>1004</v>
      </c>
      <c r="E16" s="56" t="s">
        <v>1005</v>
      </c>
      <c r="F16" s="12">
        <v>7301</v>
      </c>
      <c r="G16" s="36">
        <v>1</v>
      </c>
      <c r="H16" s="38">
        <v>25</v>
      </c>
      <c r="I16" s="7">
        <f>16000+9000</f>
        <v>25000</v>
      </c>
      <c r="J16" s="14">
        <v>4910</v>
      </c>
      <c r="K16" s="15">
        <f>L16+4379+4831</f>
        <v>14111</v>
      </c>
      <c r="L16" s="15">
        <f>2556+2345</f>
        <v>4901</v>
      </c>
      <c r="M16" s="16">
        <f t="shared" si="0"/>
        <v>4901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0.99816700610997966</v>
      </c>
      <c r="AC16" s="9">
        <f t="shared" si="5"/>
        <v>1</v>
      </c>
      <c r="AD16" s="10">
        <f t="shared" si="6"/>
        <v>0.99816700610997966</v>
      </c>
      <c r="AE16" s="39">
        <f t="shared" si="7"/>
        <v>0.60200606017580316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1045</v>
      </c>
      <c r="D17" s="55" t="s">
        <v>1053</v>
      </c>
      <c r="E17" s="56" t="s">
        <v>1054</v>
      </c>
      <c r="F17" s="12">
        <v>8301</v>
      </c>
      <c r="G17" s="12">
        <v>1</v>
      </c>
      <c r="H17" s="13">
        <v>25</v>
      </c>
      <c r="I17" s="34">
        <v>8500</v>
      </c>
      <c r="J17" s="5">
        <v>2590</v>
      </c>
      <c r="K17" s="15">
        <f>L17</f>
        <v>2590</v>
      </c>
      <c r="L17" s="15">
        <v>2590</v>
      </c>
      <c r="M17" s="16">
        <f t="shared" si="0"/>
        <v>2590</v>
      </c>
      <c r="N17" s="16">
        <v>0</v>
      </c>
      <c r="O17" s="62">
        <f t="shared" si="1"/>
        <v>0</v>
      </c>
      <c r="P17" s="42">
        <f t="shared" si="2"/>
        <v>13</v>
      </c>
      <c r="Q17" s="43">
        <f t="shared" si="3"/>
        <v>11</v>
      </c>
      <c r="R17" s="7"/>
      <c r="S17" s="6">
        <v>11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1</v>
      </c>
      <c r="AC17" s="9">
        <f t="shared" si="5"/>
        <v>0.54166666666666663</v>
      </c>
      <c r="AD17" s="10">
        <f t="shared" si="6"/>
        <v>0.54166666666666663</v>
      </c>
      <c r="AE17" s="39">
        <f t="shared" si="7"/>
        <v>0.60200606017580316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119</v>
      </c>
      <c r="D18" s="55" t="s">
        <v>1111</v>
      </c>
      <c r="E18" s="57" t="s">
        <v>1112</v>
      </c>
      <c r="F18" s="33" t="s">
        <v>218</v>
      </c>
      <c r="G18" s="12">
        <v>1</v>
      </c>
      <c r="H18" s="13">
        <v>25</v>
      </c>
      <c r="I18" s="34">
        <v>4000</v>
      </c>
      <c r="J18" s="5">
        <v>4950</v>
      </c>
      <c r="K18" s="15">
        <f>L18</f>
        <v>4942</v>
      </c>
      <c r="L18" s="15">
        <f>1984+2958</f>
        <v>4942</v>
      </c>
      <c r="M18" s="16">
        <f t="shared" si="0"/>
        <v>4942</v>
      </c>
      <c r="N18" s="16">
        <v>0</v>
      </c>
      <c r="O18" s="62">
        <f t="shared" si="1"/>
        <v>0</v>
      </c>
      <c r="P18" s="42">
        <f t="shared" si="2"/>
        <v>23</v>
      </c>
      <c r="Q18" s="43">
        <f t="shared" si="3"/>
        <v>1</v>
      </c>
      <c r="R18" s="7"/>
      <c r="S18" s="6"/>
      <c r="T18" s="17">
        <v>1</v>
      </c>
      <c r="U18" s="17"/>
      <c r="V18" s="18"/>
      <c r="W18" s="19"/>
      <c r="X18" s="17"/>
      <c r="Y18" s="20"/>
      <c r="Z18" s="20"/>
      <c r="AA18" s="21"/>
      <c r="AB18" s="8">
        <f t="shared" si="4"/>
        <v>0.99838383838383837</v>
      </c>
      <c r="AC18" s="9">
        <f t="shared" si="5"/>
        <v>0.95833333333333337</v>
      </c>
      <c r="AD18" s="10">
        <f t="shared" si="6"/>
        <v>0.95678451178451185</v>
      </c>
      <c r="AE18" s="39">
        <f t="shared" si="7"/>
        <v>0.60200606017580316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119</v>
      </c>
      <c r="D19" s="55" t="s">
        <v>58</v>
      </c>
      <c r="E19" s="57" t="s">
        <v>187</v>
      </c>
      <c r="F19" s="33" t="s">
        <v>136</v>
      </c>
      <c r="G19" s="36">
        <v>1</v>
      </c>
      <c r="H19" s="38">
        <v>25</v>
      </c>
      <c r="I19" s="7">
        <v>50000</v>
      </c>
      <c r="J19" s="5">
        <v>4930</v>
      </c>
      <c r="K19" s="15">
        <f>L19+4442+4907+4868+4725+2202+4890</f>
        <v>30957</v>
      </c>
      <c r="L19" s="15">
        <f>2581+2342</f>
        <v>4923</v>
      </c>
      <c r="M19" s="16">
        <f t="shared" si="0"/>
        <v>4923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0.99858012170385391</v>
      </c>
      <c r="AC19" s="9">
        <f t="shared" si="5"/>
        <v>1</v>
      </c>
      <c r="AD19" s="10">
        <f t="shared" si="6"/>
        <v>0.99858012170385391</v>
      </c>
      <c r="AE19" s="39">
        <f t="shared" si="7"/>
        <v>0.60200606017580316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599</v>
      </c>
      <c r="F20" s="12" t="s">
        <v>117</v>
      </c>
      <c r="G20" s="12">
        <v>4</v>
      </c>
      <c r="H20" s="38">
        <v>20</v>
      </c>
      <c r="I20" s="7">
        <v>200000</v>
      </c>
      <c r="J20" s="14">
        <v>33300</v>
      </c>
      <c r="K20" s="15">
        <f>L20+50220+52380+58428+58872+64080+33228</f>
        <v>317208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0.60200606017580316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436500</v>
      </c>
      <c r="J21" s="22">
        <f t="shared" si="9"/>
        <v>86380</v>
      </c>
      <c r="K21" s="23">
        <f t="shared" si="9"/>
        <v>469670</v>
      </c>
      <c r="L21" s="24">
        <f t="shared" si="9"/>
        <v>48338</v>
      </c>
      <c r="M21" s="23">
        <f t="shared" si="9"/>
        <v>48338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217</v>
      </c>
      <c r="Q21" s="46">
        <f t="shared" si="10"/>
        <v>143</v>
      </c>
      <c r="R21" s="26">
        <f t="shared" si="10"/>
        <v>24</v>
      </c>
      <c r="S21" s="27">
        <f t="shared" si="10"/>
        <v>20</v>
      </c>
      <c r="T21" s="27">
        <f t="shared" si="10"/>
        <v>1</v>
      </c>
      <c r="U21" s="27">
        <f t="shared" si="10"/>
        <v>0</v>
      </c>
      <c r="V21" s="28">
        <f t="shared" si="10"/>
        <v>0</v>
      </c>
      <c r="W21" s="29">
        <f t="shared" si="10"/>
        <v>98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0.73229665647828612</v>
      </c>
      <c r="AC21" s="4">
        <f>SUM(AC6:AC20)/15</f>
        <v>0.60277777777777786</v>
      </c>
      <c r="AD21" s="4">
        <f>SUM(AD6:AD20)/15</f>
        <v>0.60200606017580316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1113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1127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392" t="s">
        <v>47</v>
      </c>
      <c r="D50" s="392" t="s">
        <v>48</v>
      </c>
      <c r="E50" s="392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392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1115</v>
      </c>
      <c r="B51" s="446"/>
      <c r="C51" s="393" t="s">
        <v>220</v>
      </c>
      <c r="D51" s="394" t="s">
        <v>1103</v>
      </c>
      <c r="E51" s="393" t="s">
        <v>1104</v>
      </c>
      <c r="F51" s="447" t="s">
        <v>1116</v>
      </c>
      <c r="G51" s="447"/>
      <c r="H51" s="447"/>
      <c r="I51" s="447"/>
      <c r="J51" s="447"/>
      <c r="K51" s="447"/>
      <c r="L51" s="447"/>
      <c r="M51" s="448"/>
      <c r="N51" s="395" t="s">
        <v>1065</v>
      </c>
      <c r="O51" s="74" t="s">
        <v>377</v>
      </c>
      <c r="P51" s="449" t="s">
        <v>1130</v>
      </c>
      <c r="Q51" s="450"/>
      <c r="R51" s="451" t="s">
        <v>1131</v>
      </c>
      <c r="S51" s="451"/>
      <c r="T51" s="451"/>
      <c r="U51" s="451"/>
      <c r="V51" s="447" t="s">
        <v>1116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842</v>
      </c>
      <c r="B52" s="446"/>
      <c r="C52" s="393" t="s">
        <v>1117</v>
      </c>
      <c r="D52" s="394" t="s">
        <v>1118</v>
      </c>
      <c r="E52" s="393" t="s">
        <v>1109</v>
      </c>
      <c r="F52" s="447" t="s">
        <v>1116</v>
      </c>
      <c r="G52" s="447"/>
      <c r="H52" s="447"/>
      <c r="I52" s="447"/>
      <c r="J52" s="447"/>
      <c r="K52" s="447"/>
      <c r="L52" s="447"/>
      <c r="M52" s="448"/>
      <c r="N52" s="395" t="s">
        <v>842</v>
      </c>
      <c r="O52" s="74" t="s">
        <v>383</v>
      </c>
      <c r="P52" s="449" t="s">
        <v>58</v>
      </c>
      <c r="Q52" s="450"/>
      <c r="R52" s="451" t="s">
        <v>1132</v>
      </c>
      <c r="S52" s="451"/>
      <c r="T52" s="451"/>
      <c r="U52" s="451"/>
      <c r="V52" s="447" t="s">
        <v>1116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1114</v>
      </c>
      <c r="B53" s="446"/>
      <c r="C53" s="393" t="s">
        <v>1119</v>
      </c>
      <c r="D53" s="394" t="s">
        <v>1120</v>
      </c>
      <c r="E53" s="393" t="s">
        <v>1112</v>
      </c>
      <c r="F53" s="447" t="s">
        <v>194</v>
      </c>
      <c r="G53" s="447"/>
      <c r="H53" s="447"/>
      <c r="I53" s="447"/>
      <c r="J53" s="447"/>
      <c r="K53" s="447"/>
      <c r="L53" s="447"/>
      <c r="M53" s="448"/>
      <c r="N53" s="395" t="s">
        <v>842</v>
      </c>
      <c r="O53" s="74" t="s">
        <v>191</v>
      </c>
      <c r="P53" s="449" t="s">
        <v>197</v>
      </c>
      <c r="Q53" s="450"/>
      <c r="R53" s="451" t="s">
        <v>1133</v>
      </c>
      <c r="S53" s="451"/>
      <c r="T53" s="451"/>
      <c r="U53" s="451"/>
      <c r="V53" s="447" t="s">
        <v>1116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1114</v>
      </c>
      <c r="B54" s="446"/>
      <c r="C54" s="393" t="s">
        <v>191</v>
      </c>
      <c r="D54" s="394" t="s">
        <v>1121</v>
      </c>
      <c r="E54" s="393" t="s">
        <v>1122</v>
      </c>
      <c r="F54" s="447" t="s">
        <v>194</v>
      </c>
      <c r="G54" s="447"/>
      <c r="H54" s="447"/>
      <c r="I54" s="447"/>
      <c r="J54" s="447"/>
      <c r="K54" s="447"/>
      <c r="L54" s="447"/>
      <c r="M54" s="448"/>
      <c r="N54" s="395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 t="s">
        <v>1123</v>
      </c>
      <c r="B55" s="446"/>
      <c r="C55" s="393" t="s">
        <v>1124</v>
      </c>
      <c r="D55" s="394" t="s">
        <v>1091</v>
      </c>
      <c r="E55" s="393" t="s">
        <v>1125</v>
      </c>
      <c r="F55" s="447" t="s">
        <v>1126</v>
      </c>
      <c r="G55" s="447"/>
      <c r="H55" s="447"/>
      <c r="I55" s="447"/>
      <c r="J55" s="447"/>
      <c r="K55" s="447"/>
      <c r="L55" s="447"/>
      <c r="M55" s="448"/>
      <c r="N55" s="395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 t="s">
        <v>119</v>
      </c>
      <c r="B56" s="446"/>
      <c r="C56" s="393" t="s">
        <v>722</v>
      </c>
      <c r="D56" s="394" t="s">
        <v>1106</v>
      </c>
      <c r="E56" s="393" t="s">
        <v>1128</v>
      </c>
      <c r="F56" s="447" t="s">
        <v>1129</v>
      </c>
      <c r="G56" s="447"/>
      <c r="H56" s="447"/>
      <c r="I56" s="447"/>
      <c r="J56" s="447"/>
      <c r="K56" s="447"/>
      <c r="L56" s="447"/>
      <c r="M56" s="448"/>
      <c r="N56" s="395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393"/>
      <c r="D57" s="394"/>
      <c r="E57" s="393"/>
      <c r="F57" s="447"/>
      <c r="G57" s="447"/>
      <c r="H57" s="447"/>
      <c r="I57" s="447"/>
      <c r="J57" s="447"/>
      <c r="K57" s="447"/>
      <c r="L57" s="447"/>
      <c r="M57" s="448"/>
      <c r="N57" s="395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393"/>
      <c r="D58" s="394"/>
      <c r="E58" s="393"/>
      <c r="F58" s="447"/>
      <c r="G58" s="447"/>
      <c r="H58" s="447"/>
      <c r="I58" s="447"/>
      <c r="J58" s="447"/>
      <c r="K58" s="447"/>
      <c r="L58" s="447"/>
      <c r="M58" s="448"/>
      <c r="N58" s="395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394"/>
      <c r="D59" s="394"/>
      <c r="E59" s="394"/>
      <c r="F59" s="447"/>
      <c r="G59" s="447"/>
      <c r="H59" s="447"/>
      <c r="I59" s="447"/>
      <c r="J59" s="447"/>
      <c r="K59" s="447"/>
      <c r="L59" s="447"/>
      <c r="M59" s="448"/>
      <c r="N59" s="395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397"/>
      <c r="D60" s="397"/>
      <c r="E60" s="397"/>
      <c r="F60" s="455"/>
      <c r="G60" s="455"/>
      <c r="H60" s="455"/>
      <c r="I60" s="455"/>
      <c r="J60" s="455"/>
      <c r="K60" s="455"/>
      <c r="L60" s="455"/>
      <c r="M60" s="456"/>
      <c r="N60" s="396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1134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398" t="s">
        <v>2</v>
      </c>
      <c r="D62" s="398" t="s">
        <v>38</v>
      </c>
      <c r="E62" s="398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398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/>
      <c r="D63" s="401"/>
      <c r="E63" s="399"/>
      <c r="F63" s="466"/>
      <c r="G63" s="467"/>
      <c r="H63" s="467"/>
      <c r="I63" s="467"/>
      <c r="J63" s="467"/>
      <c r="K63" s="467"/>
      <c r="L63" s="467"/>
      <c r="M63" s="54"/>
      <c r="N63" s="467"/>
      <c r="O63" s="467"/>
      <c r="P63" s="468"/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/>
      <c r="D64" s="401"/>
      <c r="E64" s="399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401"/>
      <c r="E65" s="399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401"/>
      <c r="E66" s="399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401"/>
      <c r="E67" s="399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401"/>
      <c r="E68" s="399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401"/>
      <c r="E69" s="399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401"/>
      <c r="E70" s="399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1135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400" t="s">
        <v>2</v>
      </c>
      <c r="D72" s="400" t="s">
        <v>38</v>
      </c>
      <c r="E72" s="400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402" t="s">
        <v>118</v>
      </c>
      <c r="D73" s="402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401" t="s">
        <v>118</v>
      </c>
      <c r="D74" s="401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401" t="s">
        <v>144</v>
      </c>
      <c r="D75" s="401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401" t="s">
        <v>119</v>
      </c>
      <c r="D76" s="401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401"/>
      <c r="D77" s="401"/>
      <c r="E77" s="35"/>
      <c r="F77" s="478"/>
      <c r="G77" s="478"/>
      <c r="H77" s="478"/>
      <c r="I77" s="478"/>
      <c r="J77" s="478"/>
      <c r="K77" s="479"/>
      <c r="L77" s="480"/>
      <c r="M77" s="480"/>
      <c r="N77" s="480"/>
      <c r="O77" s="480"/>
      <c r="P77" s="480"/>
      <c r="Q77" s="480"/>
      <c r="R77" s="480"/>
      <c r="S77" s="481"/>
      <c r="T77" s="482"/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401"/>
      <c r="D78" s="401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401"/>
      <c r="D79" s="401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401"/>
      <c r="D80" s="401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401"/>
      <c r="D81" s="401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1136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J87"/>
  <sheetViews>
    <sheetView zoomScale="72" zoomScaleNormal="72" zoomScaleSheetLayoutView="70" workbookViewId="0">
      <selection activeCell="T16" sqref="T1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04" t="s">
        <v>1137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2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391" t="s">
        <v>17</v>
      </c>
      <c r="L5" s="391" t="s">
        <v>18</v>
      </c>
      <c r="M5" s="391" t="s">
        <v>19</v>
      </c>
      <c r="N5" s="39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2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0.55217538422411605</v>
      </c>
      <c r="AF6" s="94">
        <f t="shared" ref="AF6:AF21" si="8">A6</f>
        <v>1</v>
      </c>
    </row>
    <row r="7" spans="1:32" ht="27" customHeight="1">
      <c r="A7" s="108">
        <v>2</v>
      </c>
      <c r="B7" s="11" t="s">
        <v>59</v>
      </c>
      <c r="C7" s="37" t="s">
        <v>1102</v>
      </c>
      <c r="D7" s="55" t="s">
        <v>1103</v>
      </c>
      <c r="E7" s="57" t="s">
        <v>1104</v>
      </c>
      <c r="F7" s="33" t="s">
        <v>1105</v>
      </c>
      <c r="G7" s="12">
        <v>2</v>
      </c>
      <c r="H7" s="13">
        <v>25</v>
      </c>
      <c r="I7" s="34">
        <v>2000</v>
      </c>
      <c r="J7" s="5">
        <v>2570</v>
      </c>
      <c r="K7" s="15">
        <f>L7+2564</f>
        <v>2564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0.55217538422411605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666</v>
      </c>
      <c r="D8" s="55" t="s">
        <v>713</v>
      </c>
      <c r="E8" s="56" t="s">
        <v>706</v>
      </c>
      <c r="F8" s="12" t="s">
        <v>714</v>
      </c>
      <c r="G8" s="12" t="s">
        <v>715</v>
      </c>
      <c r="H8" s="13">
        <v>25</v>
      </c>
      <c r="I8" s="34">
        <v>1000</v>
      </c>
      <c r="J8" s="14">
        <v>470</v>
      </c>
      <c r="K8" s="15">
        <f>L8+3387+469</f>
        <v>3856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0.55217538422411605</v>
      </c>
      <c r="AF8" s="94">
        <f>A8</f>
        <v>3</v>
      </c>
    </row>
    <row r="9" spans="1:32" ht="27" customHeight="1">
      <c r="A9" s="110">
        <v>4</v>
      </c>
      <c r="B9" s="11" t="s">
        <v>59</v>
      </c>
      <c r="C9" s="11" t="s">
        <v>119</v>
      </c>
      <c r="D9" s="55" t="s">
        <v>139</v>
      </c>
      <c r="E9" s="56" t="s">
        <v>896</v>
      </c>
      <c r="F9" s="12" t="s">
        <v>213</v>
      </c>
      <c r="G9" s="36">
        <v>1</v>
      </c>
      <c r="H9" s="38">
        <v>25</v>
      </c>
      <c r="I9" s="34">
        <v>50000</v>
      </c>
      <c r="J9" s="5">
        <v>5640</v>
      </c>
      <c r="K9" s="15">
        <f>L9+5005+3240+5678+5624+4062+5654</f>
        <v>34897</v>
      </c>
      <c r="L9" s="15">
        <f>2326+3308</f>
        <v>5634</v>
      </c>
      <c r="M9" s="16">
        <f t="shared" si="0"/>
        <v>5634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0.99893617021276593</v>
      </c>
      <c r="AC9" s="9">
        <f t="shared" si="5"/>
        <v>1</v>
      </c>
      <c r="AD9" s="10">
        <f t="shared" si="6"/>
        <v>0.99893617021276593</v>
      </c>
      <c r="AE9" s="39">
        <f t="shared" si="7"/>
        <v>0.55217538422411605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842</v>
      </c>
      <c r="D10" s="55" t="s">
        <v>1138</v>
      </c>
      <c r="E10" s="57" t="s">
        <v>1132</v>
      </c>
      <c r="F10" s="12" t="s">
        <v>1139</v>
      </c>
      <c r="G10" s="12">
        <v>1</v>
      </c>
      <c r="H10" s="13">
        <v>25</v>
      </c>
      <c r="I10" s="34">
        <v>1000</v>
      </c>
      <c r="J10" s="14">
        <v>1610</v>
      </c>
      <c r="K10" s="15">
        <f>L10</f>
        <v>1607</v>
      </c>
      <c r="L10" s="15">
        <f>1369+238</f>
        <v>1607</v>
      </c>
      <c r="M10" s="16">
        <f t="shared" si="0"/>
        <v>1607</v>
      </c>
      <c r="N10" s="16">
        <v>0</v>
      </c>
      <c r="O10" s="62">
        <f t="shared" si="1"/>
        <v>0</v>
      </c>
      <c r="P10" s="42">
        <f t="shared" si="2"/>
        <v>10</v>
      </c>
      <c r="Q10" s="43">
        <f t="shared" si="3"/>
        <v>14</v>
      </c>
      <c r="R10" s="7"/>
      <c r="S10" s="6"/>
      <c r="T10" s="17"/>
      <c r="U10" s="17"/>
      <c r="V10" s="18"/>
      <c r="W10" s="19">
        <v>14</v>
      </c>
      <c r="X10" s="17"/>
      <c r="Y10" s="20"/>
      <c r="Z10" s="20"/>
      <c r="AA10" s="21"/>
      <c r="AB10" s="8">
        <f t="shared" si="4"/>
        <v>0.99813664596273288</v>
      </c>
      <c r="AC10" s="9">
        <f t="shared" si="5"/>
        <v>0.41666666666666669</v>
      </c>
      <c r="AD10" s="10">
        <f t="shared" si="6"/>
        <v>0.41589026915113869</v>
      </c>
      <c r="AE10" s="39">
        <f t="shared" si="7"/>
        <v>0.55217538422411605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1045</v>
      </c>
      <c r="D11" s="55" t="s">
        <v>1000</v>
      </c>
      <c r="E11" s="56" t="s">
        <v>1046</v>
      </c>
      <c r="F11" s="12" t="s">
        <v>1047</v>
      </c>
      <c r="G11" s="12">
        <v>1</v>
      </c>
      <c r="H11" s="13">
        <v>25</v>
      </c>
      <c r="I11" s="34">
        <v>12000</v>
      </c>
      <c r="J11" s="14">
        <v>5520</v>
      </c>
      <c r="K11" s="15">
        <f>L11+2644+5488</f>
        <v>13647</v>
      </c>
      <c r="L11" s="15">
        <f>2708+2807</f>
        <v>5515</v>
      </c>
      <c r="M11" s="16">
        <f t="shared" si="0"/>
        <v>5515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0.99909420289855078</v>
      </c>
      <c r="AC11" s="9">
        <f t="shared" si="5"/>
        <v>1</v>
      </c>
      <c r="AD11" s="10">
        <f t="shared" si="6"/>
        <v>0.99909420289855078</v>
      </c>
      <c r="AE11" s="39">
        <f t="shared" si="7"/>
        <v>0.55217538422411605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119</v>
      </c>
      <c r="D12" s="55" t="s">
        <v>1106</v>
      </c>
      <c r="E12" s="57" t="s">
        <v>1107</v>
      </c>
      <c r="F12" s="12" t="s">
        <v>1108</v>
      </c>
      <c r="G12" s="12">
        <v>1</v>
      </c>
      <c r="H12" s="13">
        <v>25</v>
      </c>
      <c r="I12" s="7">
        <v>5000</v>
      </c>
      <c r="J12" s="14">
        <v>1380</v>
      </c>
      <c r="K12" s="15">
        <f>L12+4419</f>
        <v>5798</v>
      </c>
      <c r="L12" s="15">
        <v>1379</v>
      </c>
      <c r="M12" s="16">
        <f t="shared" si="0"/>
        <v>1379</v>
      </c>
      <c r="N12" s="16">
        <v>0</v>
      </c>
      <c r="O12" s="62">
        <f t="shared" si="1"/>
        <v>0</v>
      </c>
      <c r="P12" s="42">
        <f t="shared" si="2"/>
        <v>6</v>
      </c>
      <c r="Q12" s="43">
        <f t="shared" si="3"/>
        <v>18</v>
      </c>
      <c r="R12" s="7"/>
      <c r="S12" s="6"/>
      <c r="T12" s="17"/>
      <c r="U12" s="17"/>
      <c r="V12" s="18"/>
      <c r="W12" s="19">
        <v>18</v>
      </c>
      <c r="X12" s="17"/>
      <c r="Y12" s="20"/>
      <c r="Z12" s="20"/>
      <c r="AA12" s="21"/>
      <c r="AB12" s="8">
        <f t="shared" si="4"/>
        <v>0.99927536231884062</v>
      </c>
      <c r="AC12" s="9">
        <f t="shared" si="5"/>
        <v>0.25</v>
      </c>
      <c r="AD12" s="10">
        <f t="shared" si="6"/>
        <v>0.24981884057971016</v>
      </c>
      <c r="AE12" s="39">
        <f t="shared" si="7"/>
        <v>0.55217538422411605</v>
      </c>
      <c r="AF12" s="94">
        <f t="shared" si="8"/>
        <v>7</v>
      </c>
    </row>
    <row r="13" spans="1:32" ht="27" customHeight="1">
      <c r="A13" s="110">
        <v>7</v>
      </c>
      <c r="B13" s="11" t="s">
        <v>59</v>
      </c>
      <c r="C13" s="11" t="s">
        <v>842</v>
      </c>
      <c r="D13" s="55" t="s">
        <v>1140</v>
      </c>
      <c r="E13" s="57" t="s">
        <v>1141</v>
      </c>
      <c r="F13" s="12" t="s">
        <v>322</v>
      </c>
      <c r="G13" s="12">
        <v>1</v>
      </c>
      <c r="H13" s="13">
        <v>25</v>
      </c>
      <c r="I13" s="7">
        <v>1000</v>
      </c>
      <c r="J13" s="14">
        <v>3820</v>
      </c>
      <c r="K13" s="15">
        <f>L13</f>
        <v>3820</v>
      </c>
      <c r="L13" s="15">
        <f>3432+388</f>
        <v>3820</v>
      </c>
      <c r="M13" s="16">
        <f t="shared" ref="M13" si="9">L13-N13</f>
        <v>3820</v>
      </c>
      <c r="N13" s="16">
        <v>0</v>
      </c>
      <c r="O13" s="62">
        <f t="shared" ref="O13" si="10">IF(L13=0,"0",N13/L13)</f>
        <v>0</v>
      </c>
      <c r="P13" s="42">
        <f t="shared" ref="P13" si="11">IF(L13=0,"0",(24-Q13))</f>
        <v>18</v>
      </c>
      <c r="Q13" s="43">
        <f t="shared" ref="Q13" si="12">SUM(R13:AA13)</f>
        <v>6</v>
      </c>
      <c r="R13" s="7"/>
      <c r="S13" s="6"/>
      <c r="T13" s="17">
        <v>6</v>
      </c>
      <c r="U13" s="17"/>
      <c r="V13" s="18"/>
      <c r="W13" s="19"/>
      <c r="X13" s="17"/>
      <c r="Y13" s="20"/>
      <c r="Z13" s="20"/>
      <c r="AA13" s="21"/>
      <c r="AB13" s="8">
        <f t="shared" ref="AB13" si="13">IF(J13=0,"0",(L13/J13))</f>
        <v>1</v>
      </c>
      <c r="AC13" s="9">
        <f t="shared" ref="AC13" si="14">IF(P13=0,"0",(P13/24))</f>
        <v>0.75</v>
      </c>
      <c r="AD13" s="10">
        <f t="shared" ref="AD13" si="15">AC13*AB13*(1-O13)</f>
        <v>0.75</v>
      </c>
      <c r="AE13" s="39">
        <f t="shared" si="7"/>
        <v>0.55217538422411605</v>
      </c>
      <c r="AF13" s="94">
        <f t="shared" ref="AF13" si="16">A13</f>
        <v>7</v>
      </c>
    </row>
    <row r="14" spans="1:32" ht="27" customHeight="1">
      <c r="A14" s="110">
        <v>8</v>
      </c>
      <c r="B14" s="11" t="s">
        <v>59</v>
      </c>
      <c r="C14" s="11" t="s">
        <v>119</v>
      </c>
      <c r="D14" s="55" t="s">
        <v>207</v>
      </c>
      <c r="E14" s="56" t="s">
        <v>964</v>
      </c>
      <c r="F14" s="12" t="s">
        <v>965</v>
      </c>
      <c r="G14" s="12">
        <v>1</v>
      </c>
      <c r="H14" s="13">
        <v>25</v>
      </c>
      <c r="I14" s="7">
        <v>50000</v>
      </c>
      <c r="J14" s="14">
        <v>6120</v>
      </c>
      <c r="K14" s="15">
        <f>L14+2835+6129+6086+5052</f>
        <v>26214</v>
      </c>
      <c r="L14" s="15">
        <f>2564+3548</f>
        <v>6112</v>
      </c>
      <c r="M14" s="16">
        <f t="shared" si="0"/>
        <v>6112</v>
      </c>
      <c r="N14" s="16">
        <v>0</v>
      </c>
      <c r="O14" s="62">
        <f t="shared" si="1"/>
        <v>0</v>
      </c>
      <c r="P14" s="42">
        <f t="shared" si="2"/>
        <v>24</v>
      </c>
      <c r="Q14" s="43">
        <f t="shared" si="3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0.99869281045751634</v>
      </c>
      <c r="AC14" s="9">
        <f t="shared" si="5"/>
        <v>1</v>
      </c>
      <c r="AD14" s="10">
        <f t="shared" si="6"/>
        <v>0.99869281045751634</v>
      </c>
      <c r="AE14" s="39">
        <f t="shared" si="7"/>
        <v>0.55217538422411605</v>
      </c>
      <c r="AF14" s="94">
        <f t="shared" si="8"/>
        <v>8</v>
      </c>
    </row>
    <row r="15" spans="1:32" ht="27" customHeight="1">
      <c r="A15" s="109">
        <v>9</v>
      </c>
      <c r="B15" s="11" t="s">
        <v>59</v>
      </c>
      <c r="C15" s="37" t="s">
        <v>144</v>
      </c>
      <c r="D15" s="55" t="s">
        <v>1048</v>
      </c>
      <c r="E15" s="57" t="s">
        <v>1070</v>
      </c>
      <c r="F15" s="33" t="s">
        <v>1050</v>
      </c>
      <c r="G15" s="36" t="s">
        <v>1051</v>
      </c>
      <c r="H15" s="38">
        <v>30</v>
      </c>
      <c r="I15" s="7">
        <v>2000</v>
      </c>
      <c r="J15" s="5">
        <v>2240</v>
      </c>
      <c r="K15" s="15">
        <f>L15+2238</f>
        <v>2238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0.55217538422411605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11" t="s">
        <v>842</v>
      </c>
      <c r="D16" s="55" t="s">
        <v>137</v>
      </c>
      <c r="E16" s="57" t="s">
        <v>1109</v>
      </c>
      <c r="F16" s="12" t="s">
        <v>1110</v>
      </c>
      <c r="G16" s="12">
        <v>1</v>
      </c>
      <c r="H16" s="13">
        <v>25</v>
      </c>
      <c r="I16" s="34">
        <v>1000</v>
      </c>
      <c r="J16" s="14">
        <v>1640</v>
      </c>
      <c r="K16" s="15">
        <f>L16+1634</f>
        <v>1634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0.55217538422411605</v>
      </c>
      <c r="AF16" s="94">
        <f t="shared" si="8"/>
        <v>10</v>
      </c>
    </row>
    <row r="17" spans="1:36" ht="27.75" customHeight="1">
      <c r="A17" s="109">
        <v>11</v>
      </c>
      <c r="B17" s="11" t="s">
        <v>59</v>
      </c>
      <c r="C17" s="11" t="s">
        <v>1003</v>
      </c>
      <c r="D17" s="55" t="s">
        <v>1004</v>
      </c>
      <c r="E17" s="56" t="s">
        <v>1005</v>
      </c>
      <c r="F17" s="12">
        <v>7301</v>
      </c>
      <c r="G17" s="36">
        <v>1</v>
      </c>
      <c r="H17" s="38">
        <v>25</v>
      </c>
      <c r="I17" s="7">
        <f>16000+9000</f>
        <v>25000</v>
      </c>
      <c r="J17" s="14">
        <v>4890</v>
      </c>
      <c r="K17" s="15">
        <f>L17+4379+4831+4901</f>
        <v>18993</v>
      </c>
      <c r="L17" s="15">
        <f>2018+2864</f>
        <v>4882</v>
      </c>
      <c r="M17" s="16">
        <f t="shared" si="0"/>
        <v>4882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0.99836400817995907</v>
      </c>
      <c r="AC17" s="9">
        <f t="shared" si="5"/>
        <v>1</v>
      </c>
      <c r="AD17" s="10">
        <f t="shared" si="6"/>
        <v>0.99836400817995907</v>
      </c>
      <c r="AE17" s="39">
        <f t="shared" si="7"/>
        <v>0.55217538422411605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59</v>
      </c>
      <c r="C18" s="37" t="s">
        <v>1045</v>
      </c>
      <c r="D18" s="55" t="s">
        <v>1053</v>
      </c>
      <c r="E18" s="56" t="s">
        <v>1054</v>
      </c>
      <c r="F18" s="12">
        <v>8301</v>
      </c>
      <c r="G18" s="12">
        <v>1</v>
      </c>
      <c r="H18" s="13">
        <v>25</v>
      </c>
      <c r="I18" s="34">
        <v>8500</v>
      </c>
      <c r="J18" s="5">
        <v>6460</v>
      </c>
      <c r="K18" s="15">
        <f>L18+2590</f>
        <v>9043</v>
      </c>
      <c r="L18" s="15">
        <f>2716+3737</f>
        <v>6453</v>
      </c>
      <c r="M18" s="16">
        <f t="shared" si="0"/>
        <v>6453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0.99891640866873066</v>
      </c>
      <c r="AC18" s="9">
        <f t="shared" si="5"/>
        <v>1</v>
      </c>
      <c r="AD18" s="10">
        <f t="shared" si="6"/>
        <v>0.99891640866873066</v>
      </c>
      <c r="AE18" s="39">
        <f t="shared" si="7"/>
        <v>0.55217538422411605</v>
      </c>
      <c r="AF18" s="94">
        <f t="shared" si="8"/>
        <v>12</v>
      </c>
    </row>
    <row r="19" spans="1:36" ht="27" customHeight="1">
      <c r="A19" s="110">
        <v>13</v>
      </c>
      <c r="B19" s="11" t="s">
        <v>59</v>
      </c>
      <c r="C19" s="37" t="s">
        <v>119</v>
      </c>
      <c r="D19" s="55" t="s">
        <v>1138</v>
      </c>
      <c r="E19" s="57" t="s">
        <v>1142</v>
      </c>
      <c r="F19" s="33" t="s">
        <v>1143</v>
      </c>
      <c r="G19" s="12">
        <v>1</v>
      </c>
      <c r="H19" s="13">
        <v>25</v>
      </c>
      <c r="I19" s="34">
        <v>4000</v>
      </c>
      <c r="J19" s="5">
        <v>4070</v>
      </c>
      <c r="K19" s="15">
        <f>L19</f>
        <v>4066</v>
      </c>
      <c r="L19" s="15">
        <f>1583+2483</f>
        <v>4066</v>
      </c>
      <c r="M19" s="16">
        <f t="shared" si="0"/>
        <v>4066</v>
      </c>
      <c r="N19" s="16">
        <v>0</v>
      </c>
      <c r="O19" s="62">
        <f t="shared" si="1"/>
        <v>0</v>
      </c>
      <c r="P19" s="42">
        <f t="shared" si="2"/>
        <v>21</v>
      </c>
      <c r="Q19" s="43">
        <f t="shared" si="3"/>
        <v>3</v>
      </c>
      <c r="R19" s="7"/>
      <c r="S19" s="6">
        <v>3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0.99901719901719899</v>
      </c>
      <c r="AC19" s="9">
        <f t="shared" si="5"/>
        <v>0.875</v>
      </c>
      <c r="AD19" s="10">
        <f t="shared" si="6"/>
        <v>0.87414004914004906</v>
      </c>
      <c r="AE19" s="39">
        <f t="shared" si="7"/>
        <v>0.55217538422411605</v>
      </c>
      <c r="AF19" s="94">
        <f t="shared" si="8"/>
        <v>13</v>
      </c>
    </row>
    <row r="20" spans="1:36" ht="27" customHeight="1">
      <c r="A20" s="110">
        <v>14</v>
      </c>
      <c r="B20" s="11" t="s">
        <v>59</v>
      </c>
      <c r="C20" s="37" t="s">
        <v>119</v>
      </c>
      <c r="D20" s="55" t="s">
        <v>58</v>
      </c>
      <c r="E20" s="57" t="s">
        <v>187</v>
      </c>
      <c r="F20" s="33" t="s">
        <v>136</v>
      </c>
      <c r="G20" s="36">
        <v>1</v>
      </c>
      <c r="H20" s="38">
        <v>25</v>
      </c>
      <c r="I20" s="7">
        <v>50000</v>
      </c>
      <c r="J20" s="5">
        <v>4910</v>
      </c>
      <c r="K20" s="15">
        <f>L20+4442+4907+4868+4725+2202+4890+4923</f>
        <v>35861</v>
      </c>
      <c r="L20" s="15">
        <f>2055+2849</f>
        <v>4904</v>
      </c>
      <c r="M20" s="16">
        <f t="shared" si="0"/>
        <v>4904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0.99877800407331974</v>
      </c>
      <c r="AC20" s="9">
        <f t="shared" si="5"/>
        <v>1</v>
      </c>
      <c r="AD20" s="10">
        <f t="shared" si="6"/>
        <v>0.99877800407331974</v>
      </c>
      <c r="AE20" s="39">
        <f t="shared" si="7"/>
        <v>0.55217538422411605</v>
      </c>
      <c r="AF20" s="94">
        <f t="shared" si="8"/>
        <v>14</v>
      </c>
    </row>
    <row r="21" spans="1:36" ht="27" customHeight="1" thickBot="1">
      <c r="A21" s="110">
        <v>15</v>
      </c>
      <c r="B21" s="11" t="s">
        <v>59</v>
      </c>
      <c r="C21" s="11" t="s">
        <v>116</v>
      </c>
      <c r="D21" s="55"/>
      <c r="E21" s="56" t="s">
        <v>599</v>
      </c>
      <c r="F21" s="12" t="s">
        <v>117</v>
      </c>
      <c r="G21" s="12">
        <v>4</v>
      </c>
      <c r="H21" s="38">
        <v>20</v>
      </c>
      <c r="I21" s="7">
        <v>200000</v>
      </c>
      <c r="J21" s="14">
        <v>33300</v>
      </c>
      <c r="K21" s="15">
        <f>L21+50220+52380+58428+58872+64080+33228</f>
        <v>317208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0.55217538422411605</v>
      </c>
      <c r="AF21" s="94">
        <f t="shared" si="8"/>
        <v>15</v>
      </c>
    </row>
    <row r="22" spans="1:36" ht="31.5" customHeight="1" thickBot="1">
      <c r="A22" s="418" t="s">
        <v>34</v>
      </c>
      <c r="B22" s="419"/>
      <c r="C22" s="419"/>
      <c r="D22" s="419"/>
      <c r="E22" s="419"/>
      <c r="F22" s="419"/>
      <c r="G22" s="419"/>
      <c r="H22" s="420"/>
      <c r="I22" s="25">
        <f t="shared" ref="I22:N22" si="17">SUM(I6:I21)</f>
        <v>413500</v>
      </c>
      <c r="J22" s="22">
        <f t="shared" si="17"/>
        <v>86610</v>
      </c>
      <c r="K22" s="23">
        <f t="shared" si="17"/>
        <v>483408</v>
      </c>
      <c r="L22" s="24">
        <f t="shared" si="17"/>
        <v>44372</v>
      </c>
      <c r="M22" s="23">
        <f t="shared" si="17"/>
        <v>44372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199</v>
      </c>
      <c r="Q22" s="46">
        <f t="shared" si="18"/>
        <v>185</v>
      </c>
      <c r="R22" s="26">
        <f t="shared" si="18"/>
        <v>24</v>
      </c>
      <c r="S22" s="27">
        <f t="shared" si="18"/>
        <v>3</v>
      </c>
      <c r="T22" s="27">
        <f t="shared" si="18"/>
        <v>6</v>
      </c>
      <c r="U22" s="27">
        <f t="shared" si="18"/>
        <v>0</v>
      </c>
      <c r="V22" s="28">
        <f t="shared" si="18"/>
        <v>0</v>
      </c>
      <c r="W22" s="29">
        <f t="shared" si="18"/>
        <v>152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0.66594738745264104</v>
      </c>
      <c r="AC22" s="4">
        <f>SUM(AC6:AC21)/15</f>
        <v>0.55277777777777781</v>
      </c>
      <c r="AD22" s="4">
        <f>SUM(AD6:AD21)/15</f>
        <v>0.55217538422411605</v>
      </c>
      <c r="AE22" s="32"/>
    </row>
    <row r="24" spans="1:36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21" t="s">
        <v>46</v>
      </c>
      <c r="B49" s="421"/>
      <c r="C49" s="421"/>
      <c r="D49" s="421"/>
      <c r="E49" s="42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22" t="s">
        <v>1144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4"/>
      <c r="N50" s="425" t="s">
        <v>1147</v>
      </c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26"/>
      <c r="AD50" s="427"/>
    </row>
    <row r="51" spans="1:32" ht="27" customHeight="1">
      <c r="A51" s="428" t="s">
        <v>2</v>
      </c>
      <c r="B51" s="429"/>
      <c r="C51" s="392" t="s">
        <v>47</v>
      </c>
      <c r="D51" s="392" t="s">
        <v>48</v>
      </c>
      <c r="E51" s="392" t="s">
        <v>110</v>
      </c>
      <c r="F51" s="429" t="s">
        <v>109</v>
      </c>
      <c r="G51" s="429"/>
      <c r="H51" s="429"/>
      <c r="I51" s="429"/>
      <c r="J51" s="429"/>
      <c r="K51" s="429"/>
      <c r="L51" s="429"/>
      <c r="M51" s="430"/>
      <c r="N51" s="73" t="s">
        <v>114</v>
      </c>
      <c r="O51" s="392" t="s">
        <v>47</v>
      </c>
      <c r="P51" s="431" t="s">
        <v>48</v>
      </c>
      <c r="Q51" s="432"/>
      <c r="R51" s="431" t="s">
        <v>39</v>
      </c>
      <c r="S51" s="433"/>
      <c r="T51" s="433"/>
      <c r="U51" s="432"/>
      <c r="V51" s="431" t="s">
        <v>49</v>
      </c>
      <c r="W51" s="433"/>
      <c r="X51" s="433"/>
      <c r="Y51" s="433"/>
      <c r="Z51" s="433"/>
      <c r="AA51" s="433"/>
      <c r="AB51" s="433"/>
      <c r="AC51" s="433"/>
      <c r="AD51" s="434"/>
    </row>
    <row r="52" spans="1:32" ht="27" customHeight="1">
      <c r="A52" s="445" t="s">
        <v>1115</v>
      </c>
      <c r="B52" s="446"/>
      <c r="C52" s="393" t="s">
        <v>383</v>
      </c>
      <c r="D52" s="394" t="s">
        <v>58</v>
      </c>
      <c r="E52" s="393" t="s">
        <v>1132</v>
      </c>
      <c r="F52" s="447" t="s">
        <v>1116</v>
      </c>
      <c r="G52" s="447"/>
      <c r="H52" s="447"/>
      <c r="I52" s="447"/>
      <c r="J52" s="447"/>
      <c r="K52" s="447"/>
      <c r="L52" s="447"/>
      <c r="M52" s="448"/>
      <c r="N52" s="395" t="s">
        <v>1065</v>
      </c>
      <c r="O52" s="74" t="s">
        <v>377</v>
      </c>
      <c r="P52" s="449" t="s">
        <v>1130</v>
      </c>
      <c r="Q52" s="450"/>
      <c r="R52" s="451" t="s">
        <v>1131</v>
      </c>
      <c r="S52" s="451"/>
      <c r="T52" s="451"/>
      <c r="U52" s="451"/>
      <c r="V52" s="447" t="s">
        <v>1148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842</v>
      </c>
      <c r="B53" s="446"/>
      <c r="C53" s="393" t="s">
        <v>191</v>
      </c>
      <c r="D53" s="394" t="s">
        <v>1140</v>
      </c>
      <c r="E53" s="393" t="s">
        <v>1141</v>
      </c>
      <c r="F53" s="447" t="s">
        <v>1116</v>
      </c>
      <c r="G53" s="447"/>
      <c r="H53" s="447"/>
      <c r="I53" s="447"/>
      <c r="J53" s="447"/>
      <c r="K53" s="447"/>
      <c r="L53" s="447"/>
      <c r="M53" s="448"/>
      <c r="N53" s="395" t="s">
        <v>1102</v>
      </c>
      <c r="O53" s="74" t="s">
        <v>383</v>
      </c>
      <c r="P53" s="449" t="s">
        <v>1149</v>
      </c>
      <c r="Q53" s="450"/>
      <c r="R53" s="451" t="s">
        <v>1150</v>
      </c>
      <c r="S53" s="451"/>
      <c r="T53" s="451"/>
      <c r="U53" s="451"/>
      <c r="V53" s="447" t="s">
        <v>1151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1114</v>
      </c>
      <c r="B54" s="446"/>
      <c r="C54" s="393" t="s">
        <v>1119</v>
      </c>
      <c r="D54" s="394" t="s">
        <v>58</v>
      </c>
      <c r="E54" s="393" t="s">
        <v>1145</v>
      </c>
      <c r="F54" s="447" t="s">
        <v>1146</v>
      </c>
      <c r="G54" s="447"/>
      <c r="H54" s="447"/>
      <c r="I54" s="447"/>
      <c r="J54" s="447"/>
      <c r="K54" s="447"/>
      <c r="L54" s="447"/>
      <c r="M54" s="448"/>
      <c r="N54" s="395" t="s">
        <v>842</v>
      </c>
      <c r="O54" s="74" t="s">
        <v>191</v>
      </c>
      <c r="P54" s="449" t="s">
        <v>1152</v>
      </c>
      <c r="Q54" s="450"/>
      <c r="R54" s="451" t="s">
        <v>1153</v>
      </c>
      <c r="S54" s="451"/>
      <c r="T54" s="451"/>
      <c r="U54" s="451"/>
      <c r="V54" s="447" t="s">
        <v>1151</v>
      </c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/>
      <c r="B55" s="446"/>
      <c r="C55" s="393"/>
      <c r="D55" s="394"/>
      <c r="E55" s="393"/>
      <c r="F55" s="447"/>
      <c r="G55" s="447"/>
      <c r="H55" s="447"/>
      <c r="I55" s="447"/>
      <c r="J55" s="447"/>
      <c r="K55" s="447"/>
      <c r="L55" s="447"/>
      <c r="M55" s="448"/>
      <c r="N55" s="395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393"/>
      <c r="D56" s="394"/>
      <c r="E56" s="393"/>
      <c r="F56" s="447"/>
      <c r="G56" s="447"/>
      <c r="H56" s="447"/>
      <c r="I56" s="447"/>
      <c r="J56" s="447"/>
      <c r="K56" s="447"/>
      <c r="L56" s="447"/>
      <c r="M56" s="448"/>
      <c r="N56" s="395"/>
      <c r="O56" s="74"/>
      <c r="P56" s="449"/>
      <c r="Q56" s="450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393"/>
      <c r="D57" s="394"/>
      <c r="E57" s="393"/>
      <c r="F57" s="447"/>
      <c r="G57" s="447"/>
      <c r="H57" s="447"/>
      <c r="I57" s="447"/>
      <c r="J57" s="447"/>
      <c r="K57" s="447"/>
      <c r="L57" s="447"/>
      <c r="M57" s="448"/>
      <c r="N57" s="395"/>
      <c r="O57" s="74"/>
      <c r="P57" s="451"/>
      <c r="Q57" s="451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393"/>
      <c r="D58" s="394"/>
      <c r="E58" s="393"/>
      <c r="F58" s="447"/>
      <c r="G58" s="447"/>
      <c r="H58" s="447"/>
      <c r="I58" s="447"/>
      <c r="J58" s="447"/>
      <c r="K58" s="447"/>
      <c r="L58" s="447"/>
      <c r="M58" s="448"/>
      <c r="N58" s="395"/>
      <c r="O58" s="74"/>
      <c r="P58" s="449"/>
      <c r="Q58" s="450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45"/>
      <c r="B59" s="446"/>
      <c r="C59" s="393"/>
      <c r="D59" s="394"/>
      <c r="E59" s="393"/>
      <c r="F59" s="447"/>
      <c r="G59" s="447"/>
      <c r="H59" s="447"/>
      <c r="I59" s="447"/>
      <c r="J59" s="447"/>
      <c r="K59" s="447"/>
      <c r="L59" s="447"/>
      <c r="M59" s="448"/>
      <c r="N59" s="395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</row>
    <row r="60" spans="1:32" ht="27" customHeight="1">
      <c r="A60" s="452"/>
      <c r="B60" s="451"/>
      <c r="C60" s="394"/>
      <c r="D60" s="394"/>
      <c r="E60" s="394"/>
      <c r="F60" s="447"/>
      <c r="G60" s="447"/>
      <c r="H60" s="447"/>
      <c r="I60" s="447"/>
      <c r="J60" s="447"/>
      <c r="K60" s="447"/>
      <c r="L60" s="447"/>
      <c r="M60" s="448"/>
      <c r="N60" s="395"/>
      <c r="O60" s="74"/>
      <c r="P60" s="451"/>
      <c r="Q60" s="451"/>
      <c r="R60" s="451"/>
      <c r="S60" s="451"/>
      <c r="T60" s="451"/>
      <c r="U60" s="451"/>
      <c r="V60" s="447"/>
      <c r="W60" s="447"/>
      <c r="X60" s="447"/>
      <c r="Y60" s="447"/>
      <c r="Z60" s="447"/>
      <c r="AA60" s="447"/>
      <c r="AB60" s="447"/>
      <c r="AC60" s="447"/>
      <c r="AD60" s="448"/>
      <c r="AF60" s="94">
        <f>8*3000</f>
        <v>24000</v>
      </c>
    </row>
    <row r="61" spans="1:32" ht="27" customHeight="1" thickBot="1">
      <c r="A61" s="453"/>
      <c r="B61" s="454"/>
      <c r="C61" s="397"/>
      <c r="D61" s="397"/>
      <c r="E61" s="397"/>
      <c r="F61" s="455"/>
      <c r="G61" s="455"/>
      <c r="H61" s="455"/>
      <c r="I61" s="455"/>
      <c r="J61" s="455"/>
      <c r="K61" s="455"/>
      <c r="L61" s="455"/>
      <c r="M61" s="456"/>
      <c r="N61" s="396"/>
      <c r="O61" s="121"/>
      <c r="P61" s="454"/>
      <c r="Q61" s="454"/>
      <c r="R61" s="454"/>
      <c r="S61" s="454"/>
      <c r="T61" s="454"/>
      <c r="U61" s="454"/>
      <c r="V61" s="455"/>
      <c r="W61" s="455"/>
      <c r="X61" s="455"/>
      <c r="Y61" s="455"/>
      <c r="Z61" s="455"/>
      <c r="AA61" s="455"/>
      <c r="AB61" s="455"/>
      <c r="AC61" s="455"/>
      <c r="AD61" s="456"/>
      <c r="AF61" s="94">
        <f>16*3000</f>
        <v>48000</v>
      </c>
    </row>
    <row r="62" spans="1:32" ht="27.75" thickBot="1">
      <c r="A62" s="457" t="s">
        <v>1154</v>
      </c>
      <c r="B62" s="457"/>
      <c r="C62" s="457"/>
      <c r="D62" s="457"/>
      <c r="E62" s="45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58" t="s">
        <v>115</v>
      </c>
      <c r="B63" s="459"/>
      <c r="C63" s="398" t="s">
        <v>2</v>
      </c>
      <c r="D63" s="398" t="s">
        <v>38</v>
      </c>
      <c r="E63" s="398" t="s">
        <v>3</v>
      </c>
      <c r="F63" s="459" t="s">
        <v>112</v>
      </c>
      <c r="G63" s="459"/>
      <c r="H63" s="459"/>
      <c r="I63" s="459"/>
      <c r="J63" s="459"/>
      <c r="K63" s="459" t="s">
        <v>40</v>
      </c>
      <c r="L63" s="459"/>
      <c r="M63" s="398" t="s">
        <v>41</v>
      </c>
      <c r="N63" s="459" t="s">
        <v>42</v>
      </c>
      <c r="O63" s="459"/>
      <c r="P63" s="460" t="s">
        <v>43</v>
      </c>
      <c r="Q63" s="461"/>
      <c r="R63" s="460" t="s">
        <v>44</v>
      </c>
      <c r="S63" s="462"/>
      <c r="T63" s="462"/>
      <c r="U63" s="462"/>
      <c r="V63" s="462"/>
      <c r="W63" s="462"/>
      <c r="X63" s="462"/>
      <c r="Y63" s="462"/>
      <c r="Z63" s="462"/>
      <c r="AA63" s="461"/>
      <c r="AB63" s="459" t="s">
        <v>45</v>
      </c>
      <c r="AC63" s="459"/>
      <c r="AD63" s="463"/>
      <c r="AF63" s="94">
        <f>SUM(AF60:AF62)</f>
        <v>96000</v>
      </c>
    </row>
    <row r="64" spans="1:32" ht="25.5" customHeight="1">
      <c r="A64" s="464">
        <v>1</v>
      </c>
      <c r="B64" s="465"/>
      <c r="C64" s="124" t="s">
        <v>119</v>
      </c>
      <c r="D64" s="401"/>
      <c r="E64" s="399" t="s">
        <v>1155</v>
      </c>
      <c r="F64" s="466" t="s">
        <v>1156</v>
      </c>
      <c r="G64" s="467"/>
      <c r="H64" s="467"/>
      <c r="I64" s="467"/>
      <c r="J64" s="467"/>
      <c r="K64" s="467" t="s">
        <v>1157</v>
      </c>
      <c r="L64" s="467"/>
      <c r="M64" s="54" t="s">
        <v>1158</v>
      </c>
      <c r="N64" s="467">
        <v>5</v>
      </c>
      <c r="O64" s="467"/>
      <c r="P64" s="468">
        <v>50</v>
      </c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2</v>
      </c>
      <c r="B65" s="465"/>
      <c r="C65" s="124"/>
      <c r="D65" s="401"/>
      <c r="E65" s="399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3</v>
      </c>
      <c r="B66" s="465"/>
      <c r="C66" s="124"/>
      <c r="D66" s="401"/>
      <c r="E66" s="399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4</v>
      </c>
      <c r="B67" s="465"/>
      <c r="C67" s="124"/>
      <c r="D67" s="401"/>
      <c r="E67" s="399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5</v>
      </c>
      <c r="B68" s="465"/>
      <c r="C68" s="124"/>
      <c r="D68" s="401"/>
      <c r="E68" s="399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6</v>
      </c>
      <c r="B69" s="465"/>
      <c r="C69" s="124"/>
      <c r="D69" s="401"/>
      <c r="E69" s="399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7</v>
      </c>
      <c r="B70" s="465"/>
      <c r="C70" s="124"/>
      <c r="D70" s="401"/>
      <c r="E70" s="399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5.5" customHeight="1">
      <c r="A71" s="464">
        <v>8</v>
      </c>
      <c r="B71" s="465"/>
      <c r="C71" s="124"/>
      <c r="D71" s="401"/>
      <c r="E71" s="399"/>
      <c r="F71" s="466"/>
      <c r="G71" s="467"/>
      <c r="H71" s="467"/>
      <c r="I71" s="467"/>
      <c r="J71" s="467"/>
      <c r="K71" s="467"/>
      <c r="L71" s="467"/>
      <c r="M71" s="54"/>
      <c r="N71" s="467"/>
      <c r="O71" s="467"/>
      <c r="P71" s="468"/>
      <c r="Q71" s="468"/>
      <c r="R71" s="447"/>
      <c r="S71" s="447"/>
      <c r="T71" s="447"/>
      <c r="U71" s="447"/>
      <c r="V71" s="447"/>
      <c r="W71" s="447"/>
      <c r="X71" s="447"/>
      <c r="Y71" s="447"/>
      <c r="Z71" s="447"/>
      <c r="AA71" s="447"/>
      <c r="AB71" s="467"/>
      <c r="AC71" s="467"/>
      <c r="AD71" s="469"/>
      <c r="AF71" s="53"/>
    </row>
    <row r="72" spans="1:32" ht="26.25" customHeight="1" thickBot="1">
      <c r="A72" s="470" t="s">
        <v>1159</v>
      </c>
      <c r="B72" s="470"/>
      <c r="C72" s="470"/>
      <c r="D72" s="470"/>
      <c r="E72" s="470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71" t="s">
        <v>115</v>
      </c>
      <c r="B73" s="472"/>
      <c r="C73" s="400" t="s">
        <v>2</v>
      </c>
      <c r="D73" s="400" t="s">
        <v>38</v>
      </c>
      <c r="E73" s="400" t="s">
        <v>3</v>
      </c>
      <c r="F73" s="472" t="s">
        <v>39</v>
      </c>
      <c r="G73" s="472"/>
      <c r="H73" s="472"/>
      <c r="I73" s="472"/>
      <c r="J73" s="472"/>
      <c r="K73" s="473" t="s">
        <v>60</v>
      </c>
      <c r="L73" s="474"/>
      <c r="M73" s="474"/>
      <c r="N73" s="474"/>
      <c r="O73" s="474"/>
      <c r="P73" s="474"/>
      <c r="Q73" s="474"/>
      <c r="R73" s="474"/>
      <c r="S73" s="475"/>
      <c r="T73" s="472" t="s">
        <v>50</v>
      </c>
      <c r="U73" s="472"/>
      <c r="V73" s="473" t="s">
        <v>51</v>
      </c>
      <c r="W73" s="475"/>
      <c r="X73" s="474" t="s">
        <v>52</v>
      </c>
      <c r="Y73" s="474"/>
      <c r="Z73" s="474"/>
      <c r="AA73" s="474"/>
      <c r="AB73" s="474"/>
      <c r="AC73" s="474"/>
      <c r="AD73" s="476"/>
      <c r="AF73" s="53"/>
    </row>
    <row r="74" spans="1:32" ht="33.75" customHeight="1">
      <c r="A74" s="485">
        <v>1</v>
      </c>
      <c r="B74" s="486"/>
      <c r="C74" s="402" t="s">
        <v>118</v>
      </c>
      <c r="D74" s="402"/>
      <c r="E74" s="71" t="s">
        <v>124</v>
      </c>
      <c r="F74" s="487" t="s">
        <v>125</v>
      </c>
      <c r="G74" s="488"/>
      <c r="H74" s="488"/>
      <c r="I74" s="488"/>
      <c r="J74" s="489"/>
      <c r="K74" s="490" t="s">
        <v>120</v>
      </c>
      <c r="L74" s="491"/>
      <c r="M74" s="491"/>
      <c r="N74" s="491"/>
      <c r="O74" s="491"/>
      <c r="P74" s="491"/>
      <c r="Q74" s="491"/>
      <c r="R74" s="491"/>
      <c r="S74" s="492"/>
      <c r="T74" s="493">
        <v>42901</v>
      </c>
      <c r="U74" s="494"/>
      <c r="V74" s="495"/>
      <c r="W74" s="495"/>
      <c r="X74" s="496"/>
      <c r="Y74" s="496"/>
      <c r="Z74" s="496"/>
      <c r="AA74" s="496"/>
      <c r="AB74" s="496"/>
      <c r="AC74" s="496"/>
      <c r="AD74" s="497"/>
      <c r="AF74" s="53"/>
    </row>
    <row r="75" spans="1:32" ht="30" customHeight="1">
      <c r="A75" s="477">
        <f>A74+1</f>
        <v>2</v>
      </c>
      <c r="B75" s="478"/>
      <c r="C75" s="401" t="s">
        <v>118</v>
      </c>
      <c r="D75" s="401"/>
      <c r="E75" s="35" t="s">
        <v>121</v>
      </c>
      <c r="F75" s="478" t="s">
        <v>122</v>
      </c>
      <c r="G75" s="478"/>
      <c r="H75" s="478"/>
      <c r="I75" s="478"/>
      <c r="J75" s="478"/>
      <c r="K75" s="479" t="s">
        <v>123</v>
      </c>
      <c r="L75" s="480"/>
      <c r="M75" s="480"/>
      <c r="N75" s="480"/>
      <c r="O75" s="480"/>
      <c r="P75" s="480"/>
      <c r="Q75" s="480"/>
      <c r="R75" s="480"/>
      <c r="S75" s="481"/>
      <c r="T75" s="482">
        <v>42867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ref="A76:A82" si="19">A75+1</f>
        <v>3</v>
      </c>
      <c r="B76" s="478"/>
      <c r="C76" s="401" t="s">
        <v>144</v>
      </c>
      <c r="D76" s="401"/>
      <c r="E76" s="35" t="s">
        <v>139</v>
      </c>
      <c r="F76" s="478" t="s">
        <v>145</v>
      </c>
      <c r="G76" s="478"/>
      <c r="H76" s="478"/>
      <c r="I76" s="478"/>
      <c r="J76" s="478"/>
      <c r="K76" s="479" t="s">
        <v>120</v>
      </c>
      <c r="L76" s="480"/>
      <c r="M76" s="480"/>
      <c r="N76" s="480"/>
      <c r="O76" s="480"/>
      <c r="P76" s="480"/>
      <c r="Q76" s="480"/>
      <c r="R76" s="480"/>
      <c r="S76" s="481"/>
      <c r="T76" s="482">
        <v>42937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9"/>
        <v>4</v>
      </c>
      <c r="B77" s="478"/>
      <c r="C77" s="401" t="s">
        <v>119</v>
      </c>
      <c r="D77" s="401"/>
      <c r="E77" s="35" t="s">
        <v>137</v>
      </c>
      <c r="F77" s="478" t="s">
        <v>138</v>
      </c>
      <c r="G77" s="478"/>
      <c r="H77" s="478"/>
      <c r="I77" s="478"/>
      <c r="J77" s="478"/>
      <c r="K77" s="479" t="s">
        <v>140</v>
      </c>
      <c r="L77" s="480"/>
      <c r="M77" s="480"/>
      <c r="N77" s="480"/>
      <c r="O77" s="480"/>
      <c r="P77" s="480"/>
      <c r="Q77" s="480"/>
      <c r="R77" s="480"/>
      <c r="S77" s="481"/>
      <c r="T77" s="482">
        <v>42920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9"/>
        <v>5</v>
      </c>
      <c r="B78" s="478"/>
      <c r="C78" s="401"/>
      <c r="D78" s="401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9"/>
        <v>6</v>
      </c>
      <c r="B79" s="478"/>
      <c r="C79" s="401"/>
      <c r="D79" s="401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9"/>
        <v>7</v>
      </c>
      <c r="B80" s="478"/>
      <c r="C80" s="401"/>
      <c r="D80" s="401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9"/>
        <v>8</v>
      </c>
      <c r="B81" s="478"/>
      <c r="C81" s="401"/>
      <c r="D81" s="401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0" customHeight="1">
      <c r="A82" s="477">
        <f t="shared" si="19"/>
        <v>9</v>
      </c>
      <c r="B82" s="478"/>
      <c r="C82" s="401"/>
      <c r="D82" s="401"/>
      <c r="E82" s="35"/>
      <c r="F82" s="478"/>
      <c r="G82" s="478"/>
      <c r="H82" s="478"/>
      <c r="I82" s="478"/>
      <c r="J82" s="478"/>
      <c r="K82" s="479"/>
      <c r="L82" s="480"/>
      <c r="M82" s="480"/>
      <c r="N82" s="480"/>
      <c r="O82" s="480"/>
      <c r="P82" s="480"/>
      <c r="Q82" s="480"/>
      <c r="R82" s="480"/>
      <c r="S82" s="481"/>
      <c r="T82" s="482"/>
      <c r="U82" s="482"/>
      <c r="V82" s="482"/>
      <c r="W82" s="482"/>
      <c r="X82" s="483"/>
      <c r="Y82" s="483"/>
      <c r="Z82" s="483"/>
      <c r="AA82" s="483"/>
      <c r="AB82" s="483"/>
      <c r="AC82" s="483"/>
      <c r="AD82" s="484"/>
      <c r="AF82" s="53"/>
    </row>
    <row r="83" spans="1:32" ht="36" thickBot="1">
      <c r="A83" s="470" t="s">
        <v>1160</v>
      </c>
      <c r="B83" s="470"/>
      <c r="C83" s="470"/>
      <c r="D83" s="470"/>
      <c r="E83" s="470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98" t="s">
        <v>37</v>
      </c>
      <c r="B84" s="499"/>
      <c r="C84" s="499" t="s">
        <v>53</v>
      </c>
      <c r="D84" s="499"/>
      <c r="E84" s="499" t="s">
        <v>54</v>
      </c>
      <c r="F84" s="499"/>
      <c r="G84" s="499"/>
      <c r="H84" s="499"/>
      <c r="I84" s="499"/>
      <c r="J84" s="499"/>
      <c r="K84" s="499" t="s">
        <v>55</v>
      </c>
      <c r="L84" s="499"/>
      <c r="M84" s="499"/>
      <c r="N84" s="499"/>
      <c r="O84" s="499"/>
      <c r="P84" s="499"/>
      <c r="Q84" s="499"/>
      <c r="R84" s="499"/>
      <c r="S84" s="499"/>
      <c r="T84" s="499" t="s">
        <v>56</v>
      </c>
      <c r="U84" s="499"/>
      <c r="V84" s="499" t="s">
        <v>57</v>
      </c>
      <c r="W84" s="499"/>
      <c r="X84" s="499"/>
      <c r="Y84" s="499" t="s">
        <v>52</v>
      </c>
      <c r="Z84" s="499"/>
      <c r="AA84" s="499"/>
      <c r="AB84" s="499"/>
      <c r="AC84" s="499"/>
      <c r="AD84" s="500"/>
      <c r="AF84" s="53"/>
    </row>
    <row r="85" spans="1:32" ht="30.75" customHeight="1">
      <c r="A85" s="485">
        <v>1</v>
      </c>
      <c r="B85" s="486"/>
      <c r="C85" s="501">
        <v>1</v>
      </c>
      <c r="D85" s="501"/>
      <c r="E85" s="501" t="s">
        <v>129</v>
      </c>
      <c r="F85" s="501"/>
      <c r="G85" s="501"/>
      <c r="H85" s="501"/>
      <c r="I85" s="501"/>
      <c r="J85" s="501"/>
      <c r="K85" s="501" t="s">
        <v>130</v>
      </c>
      <c r="L85" s="501"/>
      <c r="M85" s="501"/>
      <c r="N85" s="501"/>
      <c r="O85" s="501"/>
      <c r="P85" s="501"/>
      <c r="Q85" s="501"/>
      <c r="R85" s="501"/>
      <c r="S85" s="501"/>
      <c r="T85" s="501" t="s">
        <v>131</v>
      </c>
      <c r="U85" s="501"/>
      <c r="V85" s="502">
        <v>1500000</v>
      </c>
      <c r="W85" s="502"/>
      <c r="X85" s="502"/>
      <c r="Y85" s="503" t="s">
        <v>132</v>
      </c>
      <c r="Z85" s="503"/>
      <c r="AA85" s="503"/>
      <c r="AB85" s="503"/>
      <c r="AC85" s="503"/>
      <c r="AD85" s="504"/>
      <c r="AF85" s="53"/>
    </row>
    <row r="86" spans="1:32" ht="30.75" customHeight="1">
      <c r="A86" s="477">
        <v>2</v>
      </c>
      <c r="B86" s="478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512"/>
      <c r="R86" s="512"/>
      <c r="S86" s="512"/>
      <c r="T86" s="513"/>
      <c r="U86" s="513"/>
      <c r="V86" s="514"/>
      <c r="W86" s="514"/>
      <c r="X86" s="514"/>
      <c r="Y86" s="505"/>
      <c r="Z86" s="505"/>
      <c r="AA86" s="505"/>
      <c r="AB86" s="505"/>
      <c r="AC86" s="505"/>
      <c r="AD86" s="506"/>
      <c r="AF86" s="53"/>
    </row>
    <row r="87" spans="1:32" ht="30.75" customHeight="1" thickBot="1">
      <c r="A87" s="507">
        <v>3</v>
      </c>
      <c r="B87" s="508"/>
      <c r="C87" s="509"/>
      <c r="D87" s="509"/>
      <c r="E87" s="509"/>
      <c r="F87" s="509"/>
      <c r="G87" s="509"/>
      <c r="H87" s="509"/>
      <c r="I87" s="509"/>
      <c r="J87" s="509"/>
      <c r="K87" s="509"/>
      <c r="L87" s="509"/>
      <c r="M87" s="509"/>
      <c r="N87" s="509"/>
      <c r="O87" s="509"/>
      <c r="P87" s="509"/>
      <c r="Q87" s="509"/>
      <c r="R87" s="509"/>
      <c r="S87" s="509"/>
      <c r="T87" s="509"/>
      <c r="U87" s="509"/>
      <c r="V87" s="509"/>
      <c r="W87" s="509"/>
      <c r="X87" s="509"/>
      <c r="Y87" s="510"/>
      <c r="Z87" s="510"/>
      <c r="AA87" s="510"/>
      <c r="AB87" s="510"/>
      <c r="AC87" s="510"/>
      <c r="AD87" s="511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215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139" t="s">
        <v>17</v>
      </c>
      <c r="L5" s="139" t="s">
        <v>18</v>
      </c>
      <c r="M5" s="139" t="s">
        <v>19</v>
      </c>
      <c r="N5" s="13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0.48286028032089784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59</v>
      </c>
      <c r="C7" s="37" t="s">
        <v>119</v>
      </c>
      <c r="D7" s="55" t="s">
        <v>151</v>
      </c>
      <c r="E7" s="57" t="s">
        <v>171</v>
      </c>
      <c r="F7" s="33" t="s">
        <v>133</v>
      </c>
      <c r="G7" s="12">
        <v>1</v>
      </c>
      <c r="H7" s="13">
        <v>25</v>
      </c>
      <c r="I7" s="34">
        <v>40000</v>
      </c>
      <c r="J7" s="5">
        <v>3420</v>
      </c>
      <c r="K7" s="15">
        <f>L7+3100+5636+5658+5817</f>
        <v>23631</v>
      </c>
      <c r="L7" s="15">
        <f>2403+1017</f>
        <v>3420</v>
      </c>
      <c r="M7" s="16">
        <f t="shared" ref="M7" si="9">L7-N7</f>
        <v>3420</v>
      </c>
      <c r="N7" s="16">
        <v>0</v>
      </c>
      <c r="O7" s="62">
        <f t="shared" ref="O7" si="10">IF(L7=0,"0",N7/L7)</f>
        <v>0</v>
      </c>
      <c r="P7" s="42">
        <f t="shared" ref="P7" si="11">IF(L7=0,"0",(24-Q7))</f>
        <v>21</v>
      </c>
      <c r="Q7" s="43">
        <f t="shared" ref="Q7" si="12">SUM(R7:AA7)</f>
        <v>3</v>
      </c>
      <c r="R7" s="7">
        <v>3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ref="AB7" si="13">IF(J7=0,"0",(L7/J7))</f>
        <v>1</v>
      </c>
      <c r="AC7" s="9">
        <f t="shared" ref="AC7" si="14">IF(P7=0,"0",(P7/24))</f>
        <v>0.875</v>
      </c>
      <c r="AD7" s="10">
        <f t="shared" ref="AD7" si="15">AC7*AB7*(1-O7)</f>
        <v>0.875</v>
      </c>
      <c r="AE7" s="39">
        <f t="shared" si="7"/>
        <v>0.48286028032089784</v>
      </c>
      <c r="AF7" s="94">
        <f t="shared" ref="AF7" si="16">A7</f>
        <v>2</v>
      </c>
    </row>
    <row r="8" spans="1:36" ht="27" customHeight="1">
      <c r="A8" s="109">
        <v>3</v>
      </c>
      <c r="B8" s="11" t="s">
        <v>164</v>
      </c>
      <c r="C8" s="11" t="s">
        <v>146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40000</v>
      </c>
      <c r="J8" s="14">
        <v>5250</v>
      </c>
      <c r="K8" s="15">
        <f>L8+4113+5314+5304+5241</f>
        <v>19972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>
        <v>24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0.48286028032089784</v>
      </c>
      <c r="AF8" s="94">
        <f>A8</f>
        <v>3</v>
      </c>
    </row>
    <row r="9" spans="1:36" ht="27" customHeight="1">
      <c r="A9" s="110">
        <v>4</v>
      </c>
      <c r="B9" s="11" t="s">
        <v>59</v>
      </c>
      <c r="C9" s="11" t="s">
        <v>119</v>
      </c>
      <c r="D9" s="55" t="s">
        <v>184</v>
      </c>
      <c r="E9" s="56" t="s">
        <v>185</v>
      </c>
      <c r="F9" s="12" t="s">
        <v>186</v>
      </c>
      <c r="G9" s="36">
        <v>1</v>
      </c>
      <c r="H9" s="38">
        <v>25</v>
      </c>
      <c r="I9" s="34">
        <f>3000+8000</f>
        <v>11000</v>
      </c>
      <c r="J9" s="5">
        <v>5140</v>
      </c>
      <c r="K9" s="15">
        <f>L9+4050</f>
        <v>9189</v>
      </c>
      <c r="L9" s="15">
        <f>2962+2177</f>
        <v>5139</v>
      </c>
      <c r="M9" s="16">
        <f t="shared" si="0"/>
        <v>5139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0.99980544747081712</v>
      </c>
      <c r="AC9" s="9">
        <f t="shared" si="5"/>
        <v>1</v>
      </c>
      <c r="AD9" s="10">
        <f t="shared" si="6"/>
        <v>0.99980544747081712</v>
      </c>
      <c r="AE9" s="39">
        <f t="shared" si="7"/>
        <v>0.48286028032089784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144</v>
      </c>
      <c r="D10" s="55" t="s">
        <v>139</v>
      </c>
      <c r="E10" s="57" t="s">
        <v>153</v>
      </c>
      <c r="F10" s="12" t="s">
        <v>148</v>
      </c>
      <c r="G10" s="12">
        <v>1</v>
      </c>
      <c r="H10" s="13">
        <v>25</v>
      </c>
      <c r="I10" s="34">
        <v>5000</v>
      </c>
      <c r="J10" s="14">
        <v>4400</v>
      </c>
      <c r="K10" s="15">
        <f>L10+1723+1684+4374</f>
        <v>7781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4</v>
      </c>
      <c r="R10" s="7"/>
      <c r="S10" s="6">
        <v>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0.48286028032089784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118</v>
      </c>
      <c r="D11" s="55" t="s">
        <v>168</v>
      </c>
      <c r="E11" s="56" t="s">
        <v>169</v>
      </c>
      <c r="F11" s="12" t="s">
        <v>170</v>
      </c>
      <c r="G11" s="12">
        <v>1</v>
      </c>
      <c r="H11" s="13">
        <v>25</v>
      </c>
      <c r="I11" s="34">
        <v>5000</v>
      </c>
      <c r="J11" s="14">
        <v>4500</v>
      </c>
      <c r="K11" s="15">
        <f>L11+2712+4405</f>
        <v>11611</v>
      </c>
      <c r="L11" s="15">
        <f>2563+1931</f>
        <v>4494</v>
      </c>
      <c r="M11" s="16">
        <f t="shared" si="0"/>
        <v>4494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0.9986666666666667</v>
      </c>
      <c r="AC11" s="9">
        <f t="shared" si="5"/>
        <v>1</v>
      </c>
      <c r="AD11" s="10">
        <f t="shared" si="6"/>
        <v>0.9986666666666667</v>
      </c>
      <c r="AE11" s="39">
        <f t="shared" si="7"/>
        <v>0.48286028032089784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119</v>
      </c>
      <c r="D12" s="55" t="s">
        <v>58</v>
      </c>
      <c r="E12" s="57" t="s">
        <v>187</v>
      </c>
      <c r="F12" s="12" t="s">
        <v>158</v>
      </c>
      <c r="G12" s="12">
        <v>1</v>
      </c>
      <c r="H12" s="13">
        <v>25</v>
      </c>
      <c r="I12" s="7">
        <f>3000+8000</f>
        <v>11000</v>
      </c>
      <c r="J12" s="14">
        <v>4180</v>
      </c>
      <c r="K12" s="15">
        <f>L12+3024</f>
        <v>7195</v>
      </c>
      <c r="L12" s="15">
        <f>2554+1617</f>
        <v>4171</v>
      </c>
      <c r="M12" s="16">
        <f t="shared" si="0"/>
        <v>4171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0.99784688995215309</v>
      </c>
      <c r="AC12" s="9">
        <f t="shared" si="5"/>
        <v>1</v>
      </c>
      <c r="AD12" s="10">
        <f t="shared" si="6"/>
        <v>0.99784688995215309</v>
      </c>
      <c r="AE12" s="39">
        <f t="shared" si="7"/>
        <v>0.48286028032089784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118</v>
      </c>
      <c r="D13" s="55" t="s">
        <v>58</v>
      </c>
      <c r="E13" s="57" t="s">
        <v>174</v>
      </c>
      <c r="F13" s="12">
        <v>7301</v>
      </c>
      <c r="G13" s="12">
        <v>1</v>
      </c>
      <c r="H13" s="13">
        <v>25</v>
      </c>
      <c r="I13" s="7">
        <v>3000</v>
      </c>
      <c r="J13" s="14">
        <v>2220</v>
      </c>
      <c r="K13" s="15">
        <f>L13+2219</f>
        <v>2219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0.48286028032089784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159</v>
      </c>
      <c r="F14" s="33" t="s">
        <v>160</v>
      </c>
      <c r="G14" s="36">
        <v>1</v>
      </c>
      <c r="H14" s="38">
        <v>40</v>
      </c>
      <c r="I14" s="7">
        <v>200</v>
      </c>
      <c r="J14" s="5">
        <v>556</v>
      </c>
      <c r="K14" s="15">
        <f>L14+106+556</f>
        <v>662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0.48286028032089784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154</v>
      </c>
      <c r="F15" s="12" t="s">
        <v>143</v>
      </c>
      <c r="G15" s="12">
        <v>1</v>
      </c>
      <c r="H15" s="13">
        <v>25</v>
      </c>
      <c r="I15" s="34">
        <v>2000</v>
      </c>
      <c r="J15" s="14">
        <v>2730</v>
      </c>
      <c r="K15" s="15">
        <f>L15+2727</f>
        <v>2727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0.48286028032089784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119</v>
      </c>
      <c r="D16" s="55" t="s">
        <v>126</v>
      </c>
      <c r="E16" s="56" t="s">
        <v>135</v>
      </c>
      <c r="F16" s="12">
        <v>7301</v>
      </c>
      <c r="G16" s="36">
        <v>1</v>
      </c>
      <c r="H16" s="38">
        <v>25</v>
      </c>
      <c r="I16" s="7">
        <v>30000</v>
      </c>
      <c r="J16" s="14">
        <v>4990</v>
      </c>
      <c r="K16" s="15">
        <f>L16+3362+5695+3522+4278</f>
        <v>21843</v>
      </c>
      <c r="L16" s="15">
        <f>2906+2080</f>
        <v>4986</v>
      </c>
      <c r="M16" s="16">
        <f t="shared" si="0"/>
        <v>4986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0.99919839679358713</v>
      </c>
      <c r="AC16" s="9">
        <f t="shared" si="5"/>
        <v>1</v>
      </c>
      <c r="AD16" s="10">
        <f t="shared" si="6"/>
        <v>0.99919839679358713</v>
      </c>
      <c r="AE16" s="39">
        <f t="shared" si="7"/>
        <v>0.48286028032089784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118</v>
      </c>
      <c r="D17" s="55" t="s">
        <v>155</v>
      </c>
      <c r="E17" s="56" t="s">
        <v>156</v>
      </c>
      <c r="F17" s="12">
        <v>8301</v>
      </c>
      <c r="G17" s="12">
        <v>1</v>
      </c>
      <c r="H17" s="13">
        <v>25</v>
      </c>
      <c r="I17" s="34">
        <v>6500</v>
      </c>
      <c r="J17" s="5">
        <v>6520</v>
      </c>
      <c r="K17" s="15">
        <f>L17+3715+6518</f>
        <v>10233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0.48286028032089784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118</v>
      </c>
      <c r="D18" s="55" t="s">
        <v>216</v>
      </c>
      <c r="E18" s="57" t="s">
        <v>217</v>
      </c>
      <c r="F18" s="33" t="s">
        <v>218</v>
      </c>
      <c r="G18" s="12">
        <v>1</v>
      </c>
      <c r="H18" s="13">
        <v>25</v>
      </c>
      <c r="I18" s="34">
        <v>17000</v>
      </c>
      <c r="J18" s="5">
        <v>1520</v>
      </c>
      <c r="K18" s="15">
        <f>L18</f>
        <v>1515</v>
      </c>
      <c r="L18" s="15">
        <f>1515</f>
        <v>1515</v>
      </c>
      <c r="M18" s="16">
        <f t="shared" si="0"/>
        <v>1515</v>
      </c>
      <c r="N18" s="16">
        <v>0</v>
      </c>
      <c r="O18" s="62">
        <f t="shared" si="1"/>
        <v>0</v>
      </c>
      <c r="P18" s="42">
        <f t="shared" si="2"/>
        <v>9</v>
      </c>
      <c r="Q18" s="43">
        <f t="shared" si="3"/>
        <v>15</v>
      </c>
      <c r="R18" s="7"/>
      <c r="S18" s="6">
        <v>15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0.99671052631578949</v>
      </c>
      <c r="AC18" s="9">
        <f t="shared" si="5"/>
        <v>0.375</v>
      </c>
      <c r="AD18" s="10">
        <f t="shared" si="6"/>
        <v>0.37376644736842107</v>
      </c>
      <c r="AE18" s="39">
        <f t="shared" si="7"/>
        <v>0.48286028032089784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119</v>
      </c>
      <c r="D19" s="55" t="s">
        <v>58</v>
      </c>
      <c r="E19" s="57" t="s">
        <v>134</v>
      </c>
      <c r="F19" s="33" t="s">
        <v>136</v>
      </c>
      <c r="G19" s="36">
        <v>1</v>
      </c>
      <c r="H19" s="38">
        <v>25</v>
      </c>
      <c r="I19" s="7">
        <v>40000</v>
      </c>
      <c r="J19" s="5">
        <v>4610</v>
      </c>
      <c r="K19" s="15">
        <f>L19+1752+4152+5090+4314+4420</f>
        <v>24332</v>
      </c>
      <c r="L19" s="15">
        <f>2647+1957</f>
        <v>4604</v>
      </c>
      <c r="M19" s="16">
        <f t="shared" si="0"/>
        <v>4604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0.99869848156182217</v>
      </c>
      <c r="AC19" s="9">
        <f t="shared" si="5"/>
        <v>1</v>
      </c>
      <c r="AD19" s="10">
        <f t="shared" si="6"/>
        <v>0.99869848156182217</v>
      </c>
      <c r="AE19" s="39">
        <f t="shared" si="7"/>
        <v>0.48286028032089784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157</v>
      </c>
      <c r="F20" s="12" t="s">
        <v>117</v>
      </c>
      <c r="G20" s="12">
        <v>4</v>
      </c>
      <c r="H20" s="38">
        <v>20</v>
      </c>
      <c r="I20" s="7">
        <v>200000</v>
      </c>
      <c r="J20" s="14">
        <v>51200</v>
      </c>
      <c r="K20" s="15">
        <f>L20+40792+68628+25624+56572+59804+61268+59600</f>
        <v>423484</v>
      </c>
      <c r="L20" s="15">
        <f>7665*4+5134*4</f>
        <v>51196</v>
      </c>
      <c r="M20" s="16">
        <f t="shared" si="0"/>
        <v>51196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0.99992187499999996</v>
      </c>
      <c r="AC20" s="9">
        <f t="shared" si="5"/>
        <v>1</v>
      </c>
      <c r="AD20" s="10">
        <f t="shared" si="6"/>
        <v>0.99992187499999996</v>
      </c>
      <c r="AE20" s="39">
        <f t="shared" si="7"/>
        <v>0.48286028032089784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17">SUM(I6:I20)</f>
        <v>411700</v>
      </c>
      <c r="J21" s="22">
        <f t="shared" si="17"/>
        <v>103206</v>
      </c>
      <c r="K21" s="23">
        <f t="shared" si="17"/>
        <v>568356</v>
      </c>
      <c r="L21" s="24">
        <f t="shared" si="17"/>
        <v>79525</v>
      </c>
      <c r="M21" s="23">
        <f t="shared" si="17"/>
        <v>79525</v>
      </c>
      <c r="N21" s="24">
        <f t="shared" si="17"/>
        <v>0</v>
      </c>
      <c r="O21" s="44">
        <f t="shared" si="1"/>
        <v>0</v>
      </c>
      <c r="P21" s="45">
        <f t="shared" ref="P21:AA21" si="18">SUM(P6:P20)</f>
        <v>174</v>
      </c>
      <c r="Q21" s="46">
        <f t="shared" si="18"/>
        <v>166</v>
      </c>
      <c r="R21" s="26">
        <f t="shared" si="18"/>
        <v>27</v>
      </c>
      <c r="S21" s="27">
        <f t="shared" si="18"/>
        <v>67</v>
      </c>
      <c r="T21" s="27">
        <f t="shared" si="18"/>
        <v>0</v>
      </c>
      <c r="U21" s="27">
        <f t="shared" si="18"/>
        <v>0</v>
      </c>
      <c r="V21" s="28">
        <f t="shared" si="18"/>
        <v>0</v>
      </c>
      <c r="W21" s="29">
        <f t="shared" si="18"/>
        <v>72</v>
      </c>
      <c r="X21" s="30">
        <f t="shared" si="18"/>
        <v>0</v>
      </c>
      <c r="Y21" s="30">
        <f t="shared" si="18"/>
        <v>0</v>
      </c>
      <c r="Z21" s="30">
        <f t="shared" si="18"/>
        <v>0</v>
      </c>
      <c r="AA21" s="30">
        <f t="shared" si="18"/>
        <v>0</v>
      </c>
      <c r="AB21" s="31">
        <f>SUM(AB6:AB20)/15</f>
        <v>0.53272321891738905</v>
      </c>
      <c r="AC21" s="4">
        <f>SUM(AC6:AC20)/15</f>
        <v>0.48333333333333334</v>
      </c>
      <c r="AD21" s="4">
        <f>SUM(AD6:AD20)/15</f>
        <v>0.48286028032089784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219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232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140" t="s">
        <v>47</v>
      </c>
      <c r="D50" s="140" t="s">
        <v>48</v>
      </c>
      <c r="E50" s="140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140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175</v>
      </c>
      <c r="B51" s="446"/>
      <c r="C51" s="145" t="s">
        <v>220</v>
      </c>
      <c r="D51" s="142" t="s">
        <v>221</v>
      </c>
      <c r="E51" s="145" t="s">
        <v>222</v>
      </c>
      <c r="F51" s="447" t="s">
        <v>223</v>
      </c>
      <c r="G51" s="447"/>
      <c r="H51" s="447"/>
      <c r="I51" s="447"/>
      <c r="J51" s="447"/>
      <c r="K51" s="447"/>
      <c r="L51" s="447"/>
      <c r="M51" s="448"/>
      <c r="N51" s="141" t="s">
        <v>119</v>
      </c>
      <c r="O51" s="74" t="s">
        <v>233</v>
      </c>
      <c r="P51" s="449" t="s">
        <v>201</v>
      </c>
      <c r="Q51" s="450"/>
      <c r="R51" s="451" t="s">
        <v>234</v>
      </c>
      <c r="S51" s="451"/>
      <c r="T51" s="451"/>
      <c r="U51" s="451"/>
      <c r="V51" s="447" t="s">
        <v>235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190</v>
      </c>
      <c r="B52" s="446"/>
      <c r="C52" s="145" t="s">
        <v>224</v>
      </c>
      <c r="D52" s="142" t="s">
        <v>225</v>
      </c>
      <c r="E52" s="145" t="s">
        <v>226</v>
      </c>
      <c r="F52" s="447" t="s">
        <v>227</v>
      </c>
      <c r="G52" s="447"/>
      <c r="H52" s="447"/>
      <c r="I52" s="447"/>
      <c r="J52" s="447"/>
      <c r="K52" s="447"/>
      <c r="L52" s="447"/>
      <c r="M52" s="448"/>
      <c r="N52" s="141" t="s">
        <v>228</v>
      </c>
      <c r="O52" s="74" t="s">
        <v>229</v>
      </c>
      <c r="P52" s="449" t="s">
        <v>236</v>
      </c>
      <c r="Q52" s="450"/>
      <c r="R52" s="451" t="s">
        <v>237</v>
      </c>
      <c r="S52" s="451"/>
      <c r="T52" s="451"/>
      <c r="U52" s="451"/>
      <c r="V52" s="447" t="s">
        <v>238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228</v>
      </c>
      <c r="B53" s="446"/>
      <c r="C53" s="145" t="s">
        <v>229</v>
      </c>
      <c r="D53" s="142" t="s">
        <v>230</v>
      </c>
      <c r="E53" s="145" t="s">
        <v>217</v>
      </c>
      <c r="F53" s="447" t="s">
        <v>231</v>
      </c>
      <c r="G53" s="447"/>
      <c r="H53" s="447"/>
      <c r="I53" s="447"/>
      <c r="J53" s="447"/>
      <c r="K53" s="447"/>
      <c r="L53" s="447"/>
      <c r="M53" s="448"/>
      <c r="N53" s="141" t="s">
        <v>239</v>
      </c>
      <c r="O53" s="74" t="s">
        <v>240</v>
      </c>
      <c r="P53" s="449"/>
      <c r="Q53" s="450"/>
      <c r="R53" s="451" t="s">
        <v>241</v>
      </c>
      <c r="S53" s="451"/>
      <c r="T53" s="451"/>
      <c r="U53" s="451"/>
      <c r="V53" s="447" t="s">
        <v>242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/>
      <c r="B54" s="446"/>
      <c r="C54" s="145"/>
      <c r="D54" s="142"/>
      <c r="E54" s="145"/>
      <c r="F54" s="447"/>
      <c r="G54" s="447"/>
      <c r="H54" s="447"/>
      <c r="I54" s="447"/>
      <c r="J54" s="447"/>
      <c r="K54" s="447"/>
      <c r="L54" s="447"/>
      <c r="M54" s="448"/>
      <c r="N54" s="141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52"/>
      <c r="B55" s="451"/>
      <c r="C55" s="142"/>
      <c r="D55" s="142"/>
      <c r="E55" s="145"/>
      <c r="F55" s="447"/>
      <c r="G55" s="447"/>
      <c r="H55" s="447"/>
      <c r="I55" s="447"/>
      <c r="J55" s="447"/>
      <c r="K55" s="447"/>
      <c r="L55" s="447"/>
      <c r="M55" s="448"/>
      <c r="N55" s="141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145"/>
      <c r="D56" s="142"/>
      <c r="E56" s="145"/>
      <c r="F56" s="447"/>
      <c r="G56" s="447"/>
      <c r="H56" s="447"/>
      <c r="I56" s="447"/>
      <c r="J56" s="447"/>
      <c r="K56" s="447"/>
      <c r="L56" s="447"/>
      <c r="M56" s="448"/>
      <c r="N56" s="141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145"/>
      <c r="D57" s="142"/>
      <c r="E57" s="145"/>
      <c r="F57" s="447"/>
      <c r="G57" s="447"/>
      <c r="H57" s="447"/>
      <c r="I57" s="447"/>
      <c r="J57" s="447"/>
      <c r="K57" s="447"/>
      <c r="L57" s="447"/>
      <c r="M57" s="448"/>
      <c r="N57" s="141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145"/>
      <c r="D58" s="142"/>
      <c r="E58" s="145"/>
      <c r="F58" s="447"/>
      <c r="G58" s="447"/>
      <c r="H58" s="447"/>
      <c r="I58" s="447"/>
      <c r="J58" s="447"/>
      <c r="K58" s="447"/>
      <c r="L58" s="447"/>
      <c r="M58" s="448"/>
      <c r="N58" s="141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142"/>
      <c r="D59" s="142"/>
      <c r="E59" s="142"/>
      <c r="F59" s="447"/>
      <c r="G59" s="447"/>
      <c r="H59" s="447"/>
      <c r="I59" s="447"/>
      <c r="J59" s="447"/>
      <c r="K59" s="447"/>
      <c r="L59" s="447"/>
      <c r="M59" s="448"/>
      <c r="N59" s="141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144"/>
      <c r="D60" s="144"/>
      <c r="E60" s="144"/>
      <c r="F60" s="455"/>
      <c r="G60" s="455"/>
      <c r="H60" s="455"/>
      <c r="I60" s="455"/>
      <c r="J60" s="455"/>
      <c r="K60" s="455"/>
      <c r="L60" s="455"/>
      <c r="M60" s="456"/>
      <c r="N60" s="143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243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146" t="s">
        <v>2</v>
      </c>
      <c r="D62" s="146" t="s">
        <v>38</v>
      </c>
      <c r="E62" s="146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146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244</v>
      </c>
      <c r="D63" s="149"/>
      <c r="E63" s="147"/>
      <c r="F63" s="466" t="s">
        <v>245</v>
      </c>
      <c r="G63" s="467"/>
      <c r="H63" s="467"/>
      <c r="I63" s="467"/>
      <c r="J63" s="467"/>
      <c r="K63" s="467">
        <v>8301</v>
      </c>
      <c r="L63" s="467"/>
      <c r="M63" s="54" t="s">
        <v>246</v>
      </c>
      <c r="N63" s="467">
        <v>12</v>
      </c>
      <c r="O63" s="467"/>
      <c r="P63" s="468">
        <v>100</v>
      </c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/>
      <c r="D64" s="149"/>
      <c r="E64" s="147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149"/>
      <c r="E65" s="147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149"/>
      <c r="E66" s="147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149"/>
      <c r="E67" s="147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149"/>
      <c r="E68" s="147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149"/>
      <c r="E69" s="147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149"/>
      <c r="E70" s="147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247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148" t="s">
        <v>2</v>
      </c>
      <c r="D72" s="148" t="s">
        <v>38</v>
      </c>
      <c r="E72" s="148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150" t="s">
        <v>118</v>
      </c>
      <c r="D73" s="150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149" t="s">
        <v>118</v>
      </c>
      <c r="D74" s="149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9">A74+1</f>
        <v>3</v>
      </c>
      <c r="B75" s="478"/>
      <c r="C75" s="149" t="s">
        <v>144</v>
      </c>
      <c r="D75" s="149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9"/>
        <v>4</v>
      </c>
      <c r="B76" s="478"/>
      <c r="C76" s="149" t="s">
        <v>119</v>
      </c>
      <c r="D76" s="149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9"/>
        <v>5</v>
      </c>
      <c r="B77" s="478"/>
      <c r="C77" s="149" t="s">
        <v>118</v>
      </c>
      <c r="D77" s="149"/>
      <c r="E77" s="35" t="s">
        <v>248</v>
      </c>
      <c r="F77" s="478" t="s">
        <v>237</v>
      </c>
      <c r="G77" s="478"/>
      <c r="H77" s="478"/>
      <c r="I77" s="478"/>
      <c r="J77" s="478"/>
      <c r="K77" s="479" t="s">
        <v>120</v>
      </c>
      <c r="L77" s="480"/>
      <c r="M77" s="480"/>
      <c r="N77" s="480"/>
      <c r="O77" s="480"/>
      <c r="P77" s="480"/>
      <c r="Q77" s="480"/>
      <c r="R77" s="480"/>
      <c r="S77" s="481"/>
      <c r="T77" s="482">
        <v>42982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9"/>
        <v>6</v>
      </c>
      <c r="B78" s="478"/>
      <c r="C78" s="149"/>
      <c r="D78" s="149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9"/>
        <v>7</v>
      </c>
      <c r="B79" s="478"/>
      <c r="C79" s="149"/>
      <c r="D79" s="149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9"/>
        <v>8</v>
      </c>
      <c r="B80" s="478"/>
      <c r="C80" s="149"/>
      <c r="D80" s="149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9"/>
        <v>9</v>
      </c>
      <c r="B81" s="478"/>
      <c r="C81" s="149"/>
      <c r="D81" s="149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249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86"/>
  <sheetViews>
    <sheetView zoomScale="72" zoomScaleNormal="72" zoomScaleSheetLayoutView="70" workbookViewId="0">
      <selection activeCell="K80" sqref="K80:S8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250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151" t="s">
        <v>17</v>
      </c>
      <c r="L5" s="151" t="s">
        <v>18</v>
      </c>
      <c r="M5" s="151" t="s">
        <v>19</v>
      </c>
      <c r="N5" s="15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0.44964149023012173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59</v>
      </c>
      <c r="C7" s="37" t="s">
        <v>119</v>
      </c>
      <c r="D7" s="55" t="s">
        <v>151</v>
      </c>
      <c r="E7" s="57" t="s">
        <v>171</v>
      </c>
      <c r="F7" s="33" t="s">
        <v>133</v>
      </c>
      <c r="G7" s="12">
        <v>1</v>
      </c>
      <c r="H7" s="13">
        <v>25</v>
      </c>
      <c r="I7" s="34">
        <v>40000</v>
      </c>
      <c r="J7" s="5">
        <v>920</v>
      </c>
      <c r="K7" s="15">
        <f>L7+3100+5636+5658+5817+3420</f>
        <v>24551</v>
      </c>
      <c r="L7" s="15">
        <v>920</v>
      </c>
      <c r="M7" s="16">
        <f t="shared" si="0"/>
        <v>920</v>
      </c>
      <c r="N7" s="16">
        <v>0</v>
      </c>
      <c r="O7" s="62">
        <f t="shared" si="1"/>
        <v>0</v>
      </c>
      <c r="P7" s="42">
        <f t="shared" si="2"/>
        <v>6</v>
      </c>
      <c r="Q7" s="43">
        <f t="shared" si="3"/>
        <v>18</v>
      </c>
      <c r="R7" s="7">
        <v>18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1</v>
      </c>
      <c r="AC7" s="9">
        <f t="shared" si="5"/>
        <v>0.25</v>
      </c>
      <c r="AD7" s="10">
        <f t="shared" si="6"/>
        <v>0.25</v>
      </c>
      <c r="AE7" s="39">
        <f t="shared" si="7"/>
        <v>0.44964149023012173</v>
      </c>
      <c r="AF7" s="94">
        <f t="shared" si="8"/>
        <v>2</v>
      </c>
    </row>
    <row r="8" spans="1:36" ht="27" customHeight="1">
      <c r="A8" s="109">
        <v>3</v>
      </c>
      <c r="B8" s="11" t="s">
        <v>164</v>
      </c>
      <c r="C8" s="11" t="s">
        <v>146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40000</v>
      </c>
      <c r="J8" s="14">
        <v>4255</v>
      </c>
      <c r="K8" s="15">
        <f>L8+4113+5314+5304+5241</f>
        <v>24227</v>
      </c>
      <c r="L8" s="15">
        <f>2755+1500</f>
        <v>4255</v>
      </c>
      <c r="M8" s="16">
        <f t="shared" si="0"/>
        <v>4255</v>
      </c>
      <c r="N8" s="16">
        <v>0</v>
      </c>
      <c r="O8" s="62">
        <f t="shared" si="1"/>
        <v>0</v>
      </c>
      <c r="P8" s="42">
        <f t="shared" si="2"/>
        <v>22</v>
      </c>
      <c r="Q8" s="43">
        <f t="shared" si="3"/>
        <v>2</v>
      </c>
      <c r="R8" s="7"/>
      <c r="S8" s="6">
        <v>2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0.91666666666666663</v>
      </c>
      <c r="AD8" s="10">
        <f t="shared" si="6"/>
        <v>0.91666666666666663</v>
      </c>
      <c r="AE8" s="39">
        <f t="shared" si="7"/>
        <v>0.44964149023012173</v>
      </c>
      <c r="AF8" s="94">
        <f>A8</f>
        <v>3</v>
      </c>
    </row>
    <row r="9" spans="1:36" ht="27" customHeight="1">
      <c r="A9" s="110">
        <v>4</v>
      </c>
      <c r="B9" s="11" t="s">
        <v>59</v>
      </c>
      <c r="C9" s="11" t="s">
        <v>119</v>
      </c>
      <c r="D9" s="55" t="s">
        <v>184</v>
      </c>
      <c r="E9" s="56" t="s">
        <v>185</v>
      </c>
      <c r="F9" s="12" t="s">
        <v>186</v>
      </c>
      <c r="G9" s="36">
        <v>1</v>
      </c>
      <c r="H9" s="38">
        <v>25</v>
      </c>
      <c r="I9" s="34">
        <f>3000+8000</f>
        <v>11000</v>
      </c>
      <c r="J9" s="5">
        <v>5681</v>
      </c>
      <c r="K9" s="15">
        <f>L9+4050+5139</f>
        <v>14870</v>
      </c>
      <c r="L9" s="15">
        <f>2986+2695</f>
        <v>5681</v>
      </c>
      <c r="M9" s="16">
        <f t="shared" si="0"/>
        <v>5681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1</v>
      </c>
      <c r="AD9" s="10">
        <f t="shared" si="6"/>
        <v>1</v>
      </c>
      <c r="AE9" s="39">
        <f t="shared" si="7"/>
        <v>0.44964149023012173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251</v>
      </c>
      <c r="D10" s="55" t="s">
        <v>252</v>
      </c>
      <c r="E10" s="57" t="s">
        <v>253</v>
      </c>
      <c r="F10" s="12" t="s">
        <v>254</v>
      </c>
      <c r="G10" s="12">
        <v>1</v>
      </c>
      <c r="H10" s="13">
        <v>25</v>
      </c>
      <c r="I10" s="34">
        <v>500</v>
      </c>
      <c r="J10" s="14">
        <v>640</v>
      </c>
      <c r="K10" s="15">
        <f>L10</f>
        <v>633</v>
      </c>
      <c r="L10" s="15">
        <v>633</v>
      </c>
      <c r="M10" s="16">
        <f t="shared" si="0"/>
        <v>633</v>
      </c>
      <c r="N10" s="16">
        <v>0</v>
      </c>
      <c r="O10" s="62">
        <f t="shared" si="1"/>
        <v>0</v>
      </c>
      <c r="P10" s="42">
        <f t="shared" si="2"/>
        <v>6</v>
      </c>
      <c r="Q10" s="43">
        <f t="shared" si="3"/>
        <v>18</v>
      </c>
      <c r="R10" s="7"/>
      <c r="S10" s="6"/>
      <c r="T10" s="17"/>
      <c r="U10" s="17"/>
      <c r="V10" s="18"/>
      <c r="W10" s="19">
        <v>18</v>
      </c>
      <c r="X10" s="17"/>
      <c r="Y10" s="20"/>
      <c r="Z10" s="20"/>
      <c r="AA10" s="21"/>
      <c r="AB10" s="8">
        <f t="shared" si="4"/>
        <v>0.98906249999999996</v>
      </c>
      <c r="AC10" s="9">
        <f t="shared" si="5"/>
        <v>0.25</v>
      </c>
      <c r="AD10" s="10">
        <f t="shared" si="6"/>
        <v>0.24726562499999999</v>
      </c>
      <c r="AE10" s="39">
        <f t="shared" si="7"/>
        <v>0.44964149023012173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118</v>
      </c>
      <c r="D11" s="55" t="s">
        <v>168</v>
      </c>
      <c r="E11" s="56" t="s">
        <v>169</v>
      </c>
      <c r="F11" s="12" t="s">
        <v>170</v>
      </c>
      <c r="G11" s="12">
        <v>1</v>
      </c>
      <c r="H11" s="13">
        <v>25</v>
      </c>
      <c r="I11" s="34">
        <v>5000</v>
      </c>
      <c r="J11" s="14">
        <v>1990</v>
      </c>
      <c r="K11" s="15">
        <f>L11+2712+4405+4494</f>
        <v>13601</v>
      </c>
      <c r="L11" s="15">
        <v>1990</v>
      </c>
      <c r="M11" s="16">
        <f t="shared" si="0"/>
        <v>1990</v>
      </c>
      <c r="N11" s="16">
        <v>0</v>
      </c>
      <c r="O11" s="62">
        <f t="shared" si="1"/>
        <v>0</v>
      </c>
      <c r="P11" s="42">
        <f t="shared" si="2"/>
        <v>12</v>
      </c>
      <c r="Q11" s="43">
        <f t="shared" si="3"/>
        <v>12</v>
      </c>
      <c r="R11" s="7"/>
      <c r="S11" s="6">
        <v>12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0.5</v>
      </c>
      <c r="AD11" s="10">
        <f t="shared" si="6"/>
        <v>0.5</v>
      </c>
      <c r="AE11" s="39">
        <f t="shared" si="7"/>
        <v>0.44964149023012173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119</v>
      </c>
      <c r="D12" s="55" t="s">
        <v>58</v>
      </c>
      <c r="E12" s="57" t="s">
        <v>187</v>
      </c>
      <c r="F12" s="12" t="s">
        <v>158</v>
      </c>
      <c r="G12" s="12">
        <v>1</v>
      </c>
      <c r="H12" s="13">
        <v>25</v>
      </c>
      <c r="I12" s="7">
        <f>3000+8000</f>
        <v>11000</v>
      </c>
      <c r="J12" s="14">
        <v>4180</v>
      </c>
      <c r="K12" s="15">
        <f>L12+3024+4171</f>
        <v>7195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0.44964149023012173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118</v>
      </c>
      <c r="D13" s="55" t="s">
        <v>58</v>
      </c>
      <c r="E13" s="57" t="s">
        <v>174</v>
      </c>
      <c r="F13" s="12">
        <v>7301</v>
      </c>
      <c r="G13" s="12">
        <v>1</v>
      </c>
      <c r="H13" s="13">
        <v>25</v>
      </c>
      <c r="I13" s="7">
        <v>3000</v>
      </c>
      <c r="J13" s="14">
        <v>2220</v>
      </c>
      <c r="K13" s="15">
        <f>L13+2219</f>
        <v>2219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0.44964149023012173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159</v>
      </c>
      <c r="F14" s="33" t="s">
        <v>160</v>
      </c>
      <c r="G14" s="36">
        <v>1</v>
      </c>
      <c r="H14" s="38">
        <v>40</v>
      </c>
      <c r="I14" s="7">
        <v>200</v>
      </c>
      <c r="J14" s="5">
        <v>556</v>
      </c>
      <c r="K14" s="15">
        <f>L14+106+556</f>
        <v>662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0.44964149023012173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154</v>
      </c>
      <c r="F15" s="12" t="s">
        <v>143</v>
      </c>
      <c r="G15" s="12">
        <v>1</v>
      </c>
      <c r="H15" s="13">
        <v>25</v>
      </c>
      <c r="I15" s="34">
        <v>2000</v>
      </c>
      <c r="J15" s="14">
        <v>2730</v>
      </c>
      <c r="K15" s="15">
        <f>L15+2727</f>
        <v>2727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0.44964149023012173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119</v>
      </c>
      <c r="D16" s="55" t="s">
        <v>126</v>
      </c>
      <c r="E16" s="56" t="s">
        <v>135</v>
      </c>
      <c r="F16" s="12">
        <v>7301</v>
      </c>
      <c r="G16" s="36">
        <v>1</v>
      </c>
      <c r="H16" s="38">
        <v>25</v>
      </c>
      <c r="I16" s="7">
        <v>30000</v>
      </c>
      <c r="J16" s="14">
        <v>5340</v>
      </c>
      <c r="K16" s="15">
        <f>L16+3362+5695+3522+4278+4986</f>
        <v>27180</v>
      </c>
      <c r="L16" s="15">
        <f>2660+2677</f>
        <v>5337</v>
      </c>
      <c r="M16" s="16">
        <f t="shared" si="0"/>
        <v>5337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0.99943820224719104</v>
      </c>
      <c r="AC16" s="9">
        <f t="shared" si="5"/>
        <v>1</v>
      </c>
      <c r="AD16" s="10">
        <f t="shared" si="6"/>
        <v>0.99943820224719104</v>
      </c>
      <c r="AE16" s="39">
        <f t="shared" si="7"/>
        <v>0.44964149023012173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118</v>
      </c>
      <c r="D17" s="55" t="s">
        <v>155</v>
      </c>
      <c r="E17" s="56" t="s">
        <v>156</v>
      </c>
      <c r="F17" s="12">
        <v>8301</v>
      </c>
      <c r="G17" s="12">
        <v>1</v>
      </c>
      <c r="H17" s="13">
        <v>25</v>
      </c>
      <c r="I17" s="34">
        <v>6500</v>
      </c>
      <c r="J17" s="5">
        <v>6520</v>
      </c>
      <c r="K17" s="15">
        <f>L17+3715+6518</f>
        <v>10233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0.44964149023012173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118</v>
      </c>
      <c r="D18" s="55" t="s">
        <v>216</v>
      </c>
      <c r="E18" s="57" t="s">
        <v>217</v>
      </c>
      <c r="F18" s="33" t="s">
        <v>218</v>
      </c>
      <c r="G18" s="12">
        <v>1</v>
      </c>
      <c r="H18" s="13">
        <v>25</v>
      </c>
      <c r="I18" s="34">
        <v>17000</v>
      </c>
      <c r="J18" s="5">
        <v>4930</v>
      </c>
      <c r="K18" s="15">
        <f>L18+1515</f>
        <v>6444</v>
      </c>
      <c r="L18" s="15">
        <f>2805+2124</f>
        <v>4929</v>
      </c>
      <c r="M18" s="16">
        <f t="shared" si="0"/>
        <v>4929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0.9997971602434077</v>
      </c>
      <c r="AC18" s="9">
        <f t="shared" si="5"/>
        <v>1</v>
      </c>
      <c r="AD18" s="10">
        <f t="shared" si="6"/>
        <v>0.9997971602434077</v>
      </c>
      <c r="AE18" s="39">
        <f t="shared" si="7"/>
        <v>0.44964149023012173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255</v>
      </c>
      <c r="D19" s="55" t="s">
        <v>58</v>
      </c>
      <c r="E19" s="57" t="s">
        <v>134</v>
      </c>
      <c r="F19" s="33" t="s">
        <v>136</v>
      </c>
      <c r="G19" s="36">
        <v>1</v>
      </c>
      <c r="H19" s="38">
        <v>25</v>
      </c>
      <c r="I19" s="7">
        <v>30000</v>
      </c>
      <c r="J19" s="5">
        <v>4900</v>
      </c>
      <c r="K19" s="15">
        <f>L19</f>
        <v>4891</v>
      </c>
      <c r="L19" s="15">
        <f>2703+2188</f>
        <v>4891</v>
      </c>
      <c r="M19" s="16">
        <f t="shared" si="0"/>
        <v>4891</v>
      </c>
      <c r="N19" s="16">
        <v>0</v>
      </c>
      <c r="O19" s="62">
        <f t="shared" si="1"/>
        <v>0</v>
      </c>
      <c r="P19" s="42">
        <f t="shared" si="2"/>
        <v>23</v>
      </c>
      <c r="Q19" s="43">
        <f t="shared" si="3"/>
        <v>1</v>
      </c>
      <c r="R19" s="7"/>
      <c r="S19" s="6">
        <v>1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0.99816326530612243</v>
      </c>
      <c r="AC19" s="9">
        <f t="shared" si="5"/>
        <v>0.95833333333333337</v>
      </c>
      <c r="AD19" s="10">
        <f t="shared" si="6"/>
        <v>0.95657312925170068</v>
      </c>
      <c r="AE19" s="39">
        <f t="shared" si="7"/>
        <v>0.44964149023012173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157</v>
      </c>
      <c r="F20" s="12" t="s">
        <v>117</v>
      </c>
      <c r="G20" s="12">
        <v>4</v>
      </c>
      <c r="H20" s="38">
        <v>20</v>
      </c>
      <c r="I20" s="7">
        <v>200000</v>
      </c>
      <c r="J20" s="14">
        <v>44330</v>
      </c>
      <c r="K20" s="15">
        <f>L20+40792+68628+25624+56572+59804+61268+59600+51196</f>
        <v>467808</v>
      </c>
      <c r="L20" s="15">
        <f>7641*4+3440*4</f>
        <v>44324</v>
      </c>
      <c r="M20" s="16">
        <f t="shared" si="0"/>
        <v>44324</v>
      </c>
      <c r="N20" s="16">
        <v>0</v>
      </c>
      <c r="O20" s="62">
        <f t="shared" si="1"/>
        <v>0</v>
      </c>
      <c r="P20" s="42">
        <f t="shared" si="2"/>
        <v>21</v>
      </c>
      <c r="Q20" s="43">
        <f t="shared" si="3"/>
        <v>3</v>
      </c>
      <c r="R20" s="7"/>
      <c r="S20" s="6">
        <v>3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0.99986465147755466</v>
      </c>
      <c r="AC20" s="9">
        <f t="shared" si="5"/>
        <v>0.875</v>
      </c>
      <c r="AD20" s="10">
        <f t="shared" si="6"/>
        <v>0.87488157004286027</v>
      </c>
      <c r="AE20" s="39">
        <f t="shared" si="7"/>
        <v>0.44964149023012173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397200</v>
      </c>
      <c r="J21" s="22">
        <f t="shared" si="9"/>
        <v>91162</v>
      </c>
      <c r="K21" s="23">
        <f t="shared" si="9"/>
        <v>609203</v>
      </c>
      <c r="L21" s="24">
        <f t="shared" si="9"/>
        <v>72960</v>
      </c>
      <c r="M21" s="23">
        <f t="shared" si="9"/>
        <v>72960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162</v>
      </c>
      <c r="Q21" s="46">
        <f t="shared" si="10"/>
        <v>198</v>
      </c>
      <c r="R21" s="26">
        <f t="shared" si="10"/>
        <v>42</v>
      </c>
      <c r="S21" s="27">
        <f t="shared" si="10"/>
        <v>42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114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0.59908838528495179</v>
      </c>
      <c r="AC21" s="4">
        <f>SUM(AC6:AC20)/15</f>
        <v>0.44999999999999996</v>
      </c>
      <c r="AD21" s="4">
        <f>SUM(AD6:AD20)/15</f>
        <v>0.44964149023012173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256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264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152" t="s">
        <v>47</v>
      </c>
      <c r="D50" s="152" t="s">
        <v>48</v>
      </c>
      <c r="E50" s="152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152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175</v>
      </c>
      <c r="B51" s="446"/>
      <c r="C51" s="153" t="s">
        <v>220</v>
      </c>
      <c r="D51" s="154" t="s">
        <v>221</v>
      </c>
      <c r="E51" s="153" t="s">
        <v>222</v>
      </c>
      <c r="F51" s="447" t="s">
        <v>257</v>
      </c>
      <c r="G51" s="447"/>
      <c r="H51" s="447"/>
      <c r="I51" s="447"/>
      <c r="J51" s="447"/>
      <c r="K51" s="447"/>
      <c r="L51" s="447"/>
      <c r="M51" s="448"/>
      <c r="N51" s="155" t="s">
        <v>119</v>
      </c>
      <c r="O51" s="74" t="s">
        <v>265</v>
      </c>
      <c r="P51" s="449" t="s">
        <v>266</v>
      </c>
      <c r="Q51" s="450"/>
      <c r="R51" s="451" t="s">
        <v>267</v>
      </c>
      <c r="S51" s="451"/>
      <c r="T51" s="451"/>
      <c r="U51" s="451"/>
      <c r="V51" s="447" t="s">
        <v>268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190</v>
      </c>
      <c r="B52" s="446"/>
      <c r="C52" s="153" t="s">
        <v>206</v>
      </c>
      <c r="D52" s="154" t="s">
        <v>225</v>
      </c>
      <c r="E52" s="153" t="s">
        <v>226</v>
      </c>
      <c r="F52" s="447" t="s">
        <v>258</v>
      </c>
      <c r="G52" s="447"/>
      <c r="H52" s="447"/>
      <c r="I52" s="447"/>
      <c r="J52" s="447"/>
      <c r="K52" s="447"/>
      <c r="L52" s="447"/>
      <c r="M52" s="448"/>
      <c r="N52" s="155" t="s">
        <v>119</v>
      </c>
      <c r="O52" s="74" t="s">
        <v>269</v>
      </c>
      <c r="P52" s="449" t="s">
        <v>270</v>
      </c>
      <c r="Q52" s="450"/>
      <c r="R52" s="451" t="s">
        <v>271</v>
      </c>
      <c r="S52" s="451"/>
      <c r="T52" s="451"/>
      <c r="U52" s="451"/>
      <c r="V52" s="447" t="s">
        <v>272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228</v>
      </c>
      <c r="B53" s="446"/>
      <c r="C53" s="153" t="s">
        <v>229</v>
      </c>
      <c r="D53" s="154" t="s">
        <v>230</v>
      </c>
      <c r="E53" s="153" t="s">
        <v>217</v>
      </c>
      <c r="F53" s="447" t="s">
        <v>259</v>
      </c>
      <c r="G53" s="447"/>
      <c r="H53" s="447"/>
      <c r="I53" s="447"/>
      <c r="J53" s="447"/>
      <c r="K53" s="447"/>
      <c r="L53" s="447"/>
      <c r="M53" s="448"/>
      <c r="N53" s="155" t="s">
        <v>239</v>
      </c>
      <c r="O53" s="74" t="s">
        <v>240</v>
      </c>
      <c r="P53" s="449" t="s">
        <v>274</v>
      </c>
      <c r="Q53" s="450"/>
      <c r="R53" s="451" t="s">
        <v>273</v>
      </c>
      <c r="S53" s="451"/>
      <c r="T53" s="451"/>
      <c r="U53" s="451"/>
      <c r="V53" s="447" t="s">
        <v>242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260</v>
      </c>
      <c r="B54" s="446"/>
      <c r="C54" s="153" t="s">
        <v>261</v>
      </c>
      <c r="D54" s="154" t="s">
        <v>252</v>
      </c>
      <c r="E54" s="153" t="s">
        <v>262</v>
      </c>
      <c r="F54" s="447" t="s">
        <v>263</v>
      </c>
      <c r="G54" s="447"/>
      <c r="H54" s="447"/>
      <c r="I54" s="447"/>
      <c r="J54" s="447"/>
      <c r="K54" s="447"/>
      <c r="L54" s="447"/>
      <c r="M54" s="448"/>
      <c r="N54" s="155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52"/>
      <c r="B55" s="451"/>
      <c r="C55" s="154"/>
      <c r="D55" s="154"/>
      <c r="E55" s="153"/>
      <c r="F55" s="447"/>
      <c r="G55" s="447"/>
      <c r="H55" s="447"/>
      <c r="I55" s="447"/>
      <c r="J55" s="447"/>
      <c r="K55" s="447"/>
      <c r="L55" s="447"/>
      <c r="M55" s="448"/>
      <c r="N55" s="155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153"/>
      <c r="D56" s="154"/>
      <c r="E56" s="153"/>
      <c r="F56" s="447"/>
      <c r="G56" s="447"/>
      <c r="H56" s="447"/>
      <c r="I56" s="447"/>
      <c r="J56" s="447"/>
      <c r="K56" s="447"/>
      <c r="L56" s="447"/>
      <c r="M56" s="448"/>
      <c r="N56" s="155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153"/>
      <c r="D57" s="154"/>
      <c r="E57" s="153"/>
      <c r="F57" s="447"/>
      <c r="G57" s="447"/>
      <c r="H57" s="447"/>
      <c r="I57" s="447"/>
      <c r="J57" s="447"/>
      <c r="K57" s="447"/>
      <c r="L57" s="447"/>
      <c r="M57" s="448"/>
      <c r="N57" s="155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153"/>
      <c r="D58" s="154"/>
      <c r="E58" s="153"/>
      <c r="F58" s="447"/>
      <c r="G58" s="447"/>
      <c r="H58" s="447"/>
      <c r="I58" s="447"/>
      <c r="J58" s="447"/>
      <c r="K58" s="447"/>
      <c r="L58" s="447"/>
      <c r="M58" s="448"/>
      <c r="N58" s="155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154"/>
      <c r="D59" s="154"/>
      <c r="E59" s="154"/>
      <c r="F59" s="447"/>
      <c r="G59" s="447"/>
      <c r="H59" s="447"/>
      <c r="I59" s="447"/>
      <c r="J59" s="447"/>
      <c r="K59" s="447"/>
      <c r="L59" s="447"/>
      <c r="M59" s="448"/>
      <c r="N59" s="155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157"/>
      <c r="D60" s="157"/>
      <c r="E60" s="157"/>
      <c r="F60" s="455"/>
      <c r="G60" s="455"/>
      <c r="H60" s="455"/>
      <c r="I60" s="455"/>
      <c r="J60" s="455"/>
      <c r="K60" s="455"/>
      <c r="L60" s="455"/>
      <c r="M60" s="456"/>
      <c r="N60" s="156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275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158" t="s">
        <v>2</v>
      </c>
      <c r="D62" s="158" t="s">
        <v>38</v>
      </c>
      <c r="E62" s="158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158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280</v>
      </c>
      <c r="D63" s="161"/>
      <c r="E63" s="159" t="s">
        <v>276</v>
      </c>
      <c r="F63" s="466" t="s">
        <v>277</v>
      </c>
      <c r="G63" s="467"/>
      <c r="H63" s="467"/>
      <c r="I63" s="467"/>
      <c r="J63" s="467"/>
      <c r="K63" s="467" t="s">
        <v>278</v>
      </c>
      <c r="L63" s="467"/>
      <c r="M63" s="54" t="s">
        <v>246</v>
      </c>
      <c r="N63" s="467">
        <v>10</v>
      </c>
      <c r="O63" s="467"/>
      <c r="P63" s="468">
        <v>50</v>
      </c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 t="s">
        <v>279</v>
      </c>
      <c r="D64" s="161"/>
      <c r="E64" s="159" t="s">
        <v>281</v>
      </c>
      <c r="F64" s="466" t="s">
        <v>282</v>
      </c>
      <c r="G64" s="467"/>
      <c r="H64" s="467"/>
      <c r="I64" s="467"/>
      <c r="J64" s="467"/>
      <c r="K64" s="467" t="s">
        <v>283</v>
      </c>
      <c r="L64" s="467"/>
      <c r="M64" s="54" t="s">
        <v>246</v>
      </c>
      <c r="N64" s="467">
        <v>7</v>
      </c>
      <c r="O64" s="467"/>
      <c r="P64" s="468">
        <v>100</v>
      </c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161"/>
      <c r="E65" s="159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161"/>
      <c r="E66" s="159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161"/>
      <c r="E67" s="159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161"/>
      <c r="E68" s="159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161"/>
      <c r="E69" s="159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161"/>
      <c r="E70" s="159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284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160" t="s">
        <v>2</v>
      </c>
      <c r="D72" s="160" t="s">
        <v>38</v>
      </c>
      <c r="E72" s="160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162" t="s">
        <v>118</v>
      </c>
      <c r="D73" s="162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161" t="s">
        <v>118</v>
      </c>
      <c r="D74" s="161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161" t="s">
        <v>144</v>
      </c>
      <c r="D75" s="161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161" t="s">
        <v>119</v>
      </c>
      <c r="D76" s="161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161" t="s">
        <v>119</v>
      </c>
      <c r="D77" s="161"/>
      <c r="E77" s="35" t="s">
        <v>286</v>
      </c>
      <c r="F77" s="478" t="s">
        <v>287</v>
      </c>
      <c r="G77" s="478"/>
      <c r="H77" s="478"/>
      <c r="I77" s="478"/>
      <c r="J77" s="478"/>
      <c r="K77" s="479" t="s">
        <v>173</v>
      </c>
      <c r="L77" s="480"/>
      <c r="M77" s="480"/>
      <c r="N77" s="480"/>
      <c r="O77" s="480"/>
      <c r="P77" s="480"/>
      <c r="Q77" s="480"/>
      <c r="R77" s="480"/>
      <c r="S77" s="481"/>
      <c r="T77" s="482">
        <v>42984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161" t="s">
        <v>119</v>
      </c>
      <c r="D78" s="161"/>
      <c r="E78" s="35" t="s">
        <v>288</v>
      </c>
      <c r="F78" s="478" t="s">
        <v>289</v>
      </c>
      <c r="G78" s="478"/>
      <c r="H78" s="478"/>
      <c r="I78" s="478"/>
      <c r="J78" s="478"/>
      <c r="K78" s="479" t="s">
        <v>173</v>
      </c>
      <c r="L78" s="480"/>
      <c r="M78" s="480"/>
      <c r="N78" s="480"/>
      <c r="O78" s="480"/>
      <c r="P78" s="480"/>
      <c r="Q78" s="480"/>
      <c r="R78" s="480"/>
      <c r="S78" s="481"/>
      <c r="T78" s="482">
        <v>42984</v>
      </c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161"/>
      <c r="D79" s="161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161"/>
      <c r="D80" s="161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161"/>
      <c r="D81" s="161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285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86"/>
  <sheetViews>
    <sheetView topLeftCell="A31"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290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174" t="s">
        <v>17</v>
      </c>
      <c r="L5" s="174" t="s">
        <v>18</v>
      </c>
      <c r="M5" s="174" t="s">
        <v>19</v>
      </c>
      <c r="N5" s="17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0.52431266056171799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59</v>
      </c>
      <c r="C7" s="37" t="s">
        <v>119</v>
      </c>
      <c r="D7" s="55" t="s">
        <v>151</v>
      </c>
      <c r="E7" s="57" t="s">
        <v>171</v>
      </c>
      <c r="F7" s="33" t="s">
        <v>133</v>
      </c>
      <c r="G7" s="12">
        <v>1</v>
      </c>
      <c r="H7" s="13">
        <v>25</v>
      </c>
      <c r="I7" s="34">
        <v>40000</v>
      </c>
      <c r="J7" s="5">
        <v>3480</v>
      </c>
      <c r="K7" s="15">
        <f>L7+3100+5636+5658+5817+3420+920</f>
        <v>28027</v>
      </c>
      <c r="L7" s="15">
        <f>2458+1018</f>
        <v>3476</v>
      </c>
      <c r="M7" s="16">
        <f t="shared" si="0"/>
        <v>3476</v>
      </c>
      <c r="N7" s="16">
        <v>0</v>
      </c>
      <c r="O7" s="62">
        <f t="shared" si="1"/>
        <v>0</v>
      </c>
      <c r="P7" s="42">
        <f t="shared" si="2"/>
        <v>20</v>
      </c>
      <c r="Q7" s="43">
        <f t="shared" si="3"/>
        <v>4</v>
      </c>
      <c r="R7" s="7">
        <v>4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0.99885057471264371</v>
      </c>
      <c r="AC7" s="9">
        <f t="shared" si="5"/>
        <v>0.83333333333333337</v>
      </c>
      <c r="AD7" s="10">
        <f t="shared" si="6"/>
        <v>0.83237547892720309</v>
      </c>
      <c r="AE7" s="39">
        <f t="shared" si="7"/>
        <v>0.52431266056171799</v>
      </c>
      <c r="AF7" s="94">
        <f t="shared" si="8"/>
        <v>2</v>
      </c>
    </row>
    <row r="8" spans="1:36" ht="27" customHeight="1">
      <c r="A8" s="109">
        <v>3</v>
      </c>
      <c r="B8" s="11" t="s">
        <v>164</v>
      </c>
      <c r="C8" s="11" t="s">
        <v>146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40000</v>
      </c>
      <c r="J8" s="14">
        <v>5310</v>
      </c>
      <c r="K8" s="15">
        <f>L8+4113+5314+5304+5241+4255</f>
        <v>29536</v>
      </c>
      <c r="L8" s="15">
        <f>2773+2536</f>
        <v>5309</v>
      </c>
      <c r="M8" s="16">
        <f t="shared" si="0"/>
        <v>5309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0.99981167608286248</v>
      </c>
      <c r="AC8" s="9">
        <f t="shared" si="5"/>
        <v>1</v>
      </c>
      <c r="AD8" s="10">
        <f t="shared" si="6"/>
        <v>0.99981167608286248</v>
      </c>
      <c r="AE8" s="39">
        <f t="shared" si="7"/>
        <v>0.52431266056171799</v>
      </c>
      <c r="AF8" s="94">
        <f>A8</f>
        <v>3</v>
      </c>
    </row>
    <row r="9" spans="1:36" ht="27" customHeight="1">
      <c r="A9" s="110">
        <v>4</v>
      </c>
      <c r="B9" s="11" t="s">
        <v>59</v>
      </c>
      <c r="C9" s="11" t="s">
        <v>119</v>
      </c>
      <c r="D9" s="55" t="s">
        <v>184</v>
      </c>
      <c r="E9" s="56" t="s">
        <v>185</v>
      </c>
      <c r="F9" s="12" t="s">
        <v>186</v>
      </c>
      <c r="G9" s="36">
        <v>1</v>
      </c>
      <c r="H9" s="38">
        <v>25</v>
      </c>
      <c r="I9" s="34">
        <f>3000+8000</f>
        <v>11000</v>
      </c>
      <c r="J9" s="5">
        <v>5681</v>
      </c>
      <c r="K9" s="15">
        <f>L9+4050+5139+5681</f>
        <v>14870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0.52431266056171799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251</v>
      </c>
      <c r="D10" s="55" t="s">
        <v>291</v>
      </c>
      <c r="E10" s="57" t="s">
        <v>292</v>
      </c>
      <c r="F10" s="12" t="s">
        <v>254</v>
      </c>
      <c r="G10" s="12">
        <v>1</v>
      </c>
      <c r="H10" s="13">
        <v>25</v>
      </c>
      <c r="I10" s="34">
        <v>2000</v>
      </c>
      <c r="J10" s="14">
        <v>710</v>
      </c>
      <c r="K10" s="15">
        <f>L10</f>
        <v>703</v>
      </c>
      <c r="L10" s="15">
        <v>703</v>
      </c>
      <c r="M10" s="16">
        <f t="shared" si="0"/>
        <v>703</v>
      </c>
      <c r="N10" s="16">
        <v>0</v>
      </c>
      <c r="O10" s="62">
        <f t="shared" si="1"/>
        <v>0</v>
      </c>
      <c r="P10" s="42">
        <f t="shared" si="2"/>
        <v>11</v>
      </c>
      <c r="Q10" s="43">
        <f t="shared" si="3"/>
        <v>13</v>
      </c>
      <c r="R10" s="7"/>
      <c r="S10" s="6">
        <v>13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0.99014084507042255</v>
      </c>
      <c r="AC10" s="9">
        <f t="shared" si="5"/>
        <v>0.45833333333333331</v>
      </c>
      <c r="AD10" s="10">
        <f t="shared" si="6"/>
        <v>0.45381455399061033</v>
      </c>
      <c r="AE10" s="39">
        <f t="shared" si="7"/>
        <v>0.52431266056171799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118</v>
      </c>
      <c r="D11" s="55" t="s">
        <v>168</v>
      </c>
      <c r="E11" s="56" t="s">
        <v>169</v>
      </c>
      <c r="F11" s="12" t="s">
        <v>170</v>
      </c>
      <c r="G11" s="12">
        <v>1</v>
      </c>
      <c r="H11" s="13">
        <v>25</v>
      </c>
      <c r="I11" s="34">
        <v>5000</v>
      </c>
      <c r="J11" s="14">
        <v>4340</v>
      </c>
      <c r="K11" s="15">
        <f>L11+2712+4405+4494+1990</f>
        <v>17937</v>
      </c>
      <c r="L11" s="15">
        <f>2667+1669</f>
        <v>4336</v>
      </c>
      <c r="M11" s="16">
        <f t="shared" si="0"/>
        <v>4336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0.99907834101382487</v>
      </c>
      <c r="AC11" s="9">
        <f t="shared" si="5"/>
        <v>1</v>
      </c>
      <c r="AD11" s="10">
        <f t="shared" si="6"/>
        <v>0.99907834101382487</v>
      </c>
      <c r="AE11" s="39">
        <f t="shared" si="7"/>
        <v>0.52431266056171799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293</v>
      </c>
      <c r="D12" s="55" t="s">
        <v>294</v>
      </c>
      <c r="E12" s="57" t="s">
        <v>295</v>
      </c>
      <c r="F12" s="12" t="s">
        <v>296</v>
      </c>
      <c r="G12" s="12">
        <v>1</v>
      </c>
      <c r="H12" s="13">
        <v>25</v>
      </c>
      <c r="I12" s="7">
        <v>15000</v>
      </c>
      <c r="J12" s="14">
        <v>2860</v>
      </c>
      <c r="K12" s="15">
        <f>L12</f>
        <v>2856</v>
      </c>
      <c r="L12" s="15">
        <f>2414+442</f>
        <v>2856</v>
      </c>
      <c r="M12" s="16">
        <f t="shared" si="0"/>
        <v>2856</v>
      </c>
      <c r="N12" s="16">
        <v>0</v>
      </c>
      <c r="O12" s="62">
        <f t="shared" si="1"/>
        <v>0</v>
      </c>
      <c r="P12" s="42">
        <f t="shared" si="2"/>
        <v>18</v>
      </c>
      <c r="Q12" s="43">
        <f t="shared" si="3"/>
        <v>6</v>
      </c>
      <c r="R12" s="7"/>
      <c r="S12" s="6">
        <v>2</v>
      </c>
      <c r="T12" s="17">
        <v>4</v>
      </c>
      <c r="U12" s="17"/>
      <c r="V12" s="18"/>
      <c r="W12" s="19"/>
      <c r="X12" s="17"/>
      <c r="Y12" s="20"/>
      <c r="Z12" s="20"/>
      <c r="AA12" s="21"/>
      <c r="AB12" s="8">
        <f t="shared" si="4"/>
        <v>0.99860139860139863</v>
      </c>
      <c r="AC12" s="9">
        <f t="shared" si="5"/>
        <v>0.75</v>
      </c>
      <c r="AD12" s="10">
        <f t="shared" si="6"/>
        <v>0.74895104895104891</v>
      </c>
      <c r="AE12" s="39">
        <f t="shared" si="7"/>
        <v>0.52431266056171799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118</v>
      </c>
      <c r="D13" s="55" t="s">
        <v>58</v>
      </c>
      <c r="E13" s="57" t="s">
        <v>174</v>
      </c>
      <c r="F13" s="12">
        <v>7301</v>
      </c>
      <c r="G13" s="12">
        <v>1</v>
      </c>
      <c r="H13" s="13">
        <v>25</v>
      </c>
      <c r="I13" s="7">
        <v>3000</v>
      </c>
      <c r="J13" s="14">
        <v>2220</v>
      </c>
      <c r="K13" s="15">
        <f>L13+2219</f>
        <v>2219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0.52431266056171799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159</v>
      </c>
      <c r="F14" s="33" t="s">
        <v>160</v>
      </c>
      <c r="G14" s="36">
        <v>1</v>
      </c>
      <c r="H14" s="38">
        <v>40</v>
      </c>
      <c r="I14" s="7">
        <v>200</v>
      </c>
      <c r="J14" s="5">
        <v>556</v>
      </c>
      <c r="K14" s="15">
        <f>L14+106+556</f>
        <v>662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0.52431266056171799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154</v>
      </c>
      <c r="F15" s="12" t="s">
        <v>143</v>
      </c>
      <c r="G15" s="12">
        <v>1</v>
      </c>
      <c r="H15" s="13">
        <v>25</v>
      </c>
      <c r="I15" s="34">
        <v>2000</v>
      </c>
      <c r="J15" s="14">
        <v>2730</v>
      </c>
      <c r="K15" s="15">
        <f>L15+2727</f>
        <v>2727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0.52431266056171799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297</v>
      </c>
      <c r="D16" s="55"/>
      <c r="E16" s="56" t="s">
        <v>298</v>
      </c>
      <c r="F16" s="12">
        <v>7301</v>
      </c>
      <c r="G16" s="36">
        <v>1</v>
      </c>
      <c r="H16" s="38">
        <v>25</v>
      </c>
      <c r="I16" s="7">
        <v>1000</v>
      </c>
      <c r="J16" s="14">
        <v>3330</v>
      </c>
      <c r="K16" s="15">
        <f>L16</f>
        <v>3324</v>
      </c>
      <c r="L16" s="15">
        <f>2436+888</f>
        <v>3324</v>
      </c>
      <c r="M16" s="16">
        <f t="shared" si="0"/>
        <v>3324</v>
      </c>
      <c r="N16" s="16">
        <v>0</v>
      </c>
      <c r="O16" s="62">
        <f t="shared" si="1"/>
        <v>0</v>
      </c>
      <c r="P16" s="42">
        <f t="shared" si="2"/>
        <v>20</v>
      </c>
      <c r="Q16" s="43">
        <f t="shared" si="3"/>
        <v>4</v>
      </c>
      <c r="R16" s="7"/>
      <c r="S16" s="6"/>
      <c r="T16" s="17">
        <v>4</v>
      </c>
      <c r="U16" s="17"/>
      <c r="V16" s="18"/>
      <c r="W16" s="19"/>
      <c r="X16" s="17"/>
      <c r="Y16" s="20"/>
      <c r="Z16" s="20"/>
      <c r="AA16" s="21"/>
      <c r="AB16" s="8">
        <f t="shared" si="4"/>
        <v>0.99819819819819822</v>
      </c>
      <c r="AC16" s="9">
        <f t="shared" si="5"/>
        <v>0.83333333333333337</v>
      </c>
      <c r="AD16" s="10">
        <f t="shared" si="6"/>
        <v>0.83183183183183185</v>
      </c>
      <c r="AE16" s="39">
        <f t="shared" si="7"/>
        <v>0.52431266056171799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118</v>
      </c>
      <c r="D17" s="55" t="s">
        <v>155</v>
      </c>
      <c r="E17" s="56" t="s">
        <v>156</v>
      </c>
      <c r="F17" s="12">
        <v>8301</v>
      </c>
      <c r="G17" s="12">
        <v>1</v>
      </c>
      <c r="H17" s="13">
        <v>25</v>
      </c>
      <c r="I17" s="34">
        <v>6500</v>
      </c>
      <c r="J17" s="5">
        <v>6520</v>
      </c>
      <c r="K17" s="15">
        <f>L17+3715+6518</f>
        <v>10233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0.52431266056171799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118</v>
      </c>
      <c r="D18" s="55" t="s">
        <v>216</v>
      </c>
      <c r="E18" s="57" t="s">
        <v>217</v>
      </c>
      <c r="F18" s="33" t="s">
        <v>218</v>
      </c>
      <c r="G18" s="12">
        <v>1</v>
      </c>
      <c r="H18" s="13">
        <v>25</v>
      </c>
      <c r="I18" s="34">
        <v>17000</v>
      </c>
      <c r="J18" s="5">
        <v>5410</v>
      </c>
      <c r="K18" s="15">
        <f>L18+1515+4929</f>
        <v>11851</v>
      </c>
      <c r="L18" s="15">
        <f>2831+2576</f>
        <v>5407</v>
      </c>
      <c r="M18" s="16">
        <f t="shared" si="0"/>
        <v>5407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0.99944547134935302</v>
      </c>
      <c r="AC18" s="9">
        <f t="shared" si="5"/>
        <v>1</v>
      </c>
      <c r="AD18" s="10">
        <f t="shared" si="6"/>
        <v>0.99944547134935302</v>
      </c>
      <c r="AE18" s="39">
        <f t="shared" si="7"/>
        <v>0.52431266056171799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255</v>
      </c>
      <c r="D19" s="55" t="s">
        <v>58</v>
      </c>
      <c r="E19" s="57" t="s">
        <v>134</v>
      </c>
      <c r="F19" s="33" t="s">
        <v>136</v>
      </c>
      <c r="G19" s="36">
        <v>1</v>
      </c>
      <c r="H19" s="38">
        <v>25</v>
      </c>
      <c r="I19" s="7">
        <v>30000</v>
      </c>
      <c r="J19" s="5">
        <v>5130</v>
      </c>
      <c r="K19" s="15">
        <f>L19+4891</f>
        <v>10018</v>
      </c>
      <c r="L19" s="15">
        <f>2684+2443</f>
        <v>5127</v>
      </c>
      <c r="M19" s="16">
        <f t="shared" si="0"/>
        <v>5127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0.99941520467836253</v>
      </c>
      <c r="AC19" s="9">
        <f t="shared" si="5"/>
        <v>1</v>
      </c>
      <c r="AD19" s="10">
        <f t="shared" si="6"/>
        <v>0.99941520467836253</v>
      </c>
      <c r="AE19" s="39">
        <f t="shared" si="7"/>
        <v>0.52431266056171799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157</v>
      </c>
      <c r="F20" s="12" t="s">
        <v>117</v>
      </c>
      <c r="G20" s="12">
        <v>4</v>
      </c>
      <c r="H20" s="38">
        <v>20</v>
      </c>
      <c r="I20" s="7">
        <v>200000</v>
      </c>
      <c r="J20" s="14">
        <v>59350</v>
      </c>
      <c r="K20" s="15">
        <f>L20+40792+68628+25624+56572+59804+61268+59600+51196+44324</f>
        <v>527156</v>
      </c>
      <c r="L20" s="15">
        <f>7721*4+7116*4</f>
        <v>59348</v>
      </c>
      <c r="M20" s="16">
        <f t="shared" si="0"/>
        <v>59348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0.99996630160067401</v>
      </c>
      <c r="AC20" s="9">
        <f t="shared" si="5"/>
        <v>1</v>
      </c>
      <c r="AD20" s="10">
        <f t="shared" si="6"/>
        <v>0.99996630160067401</v>
      </c>
      <c r="AE20" s="39">
        <f t="shared" si="7"/>
        <v>0.52431266056171799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373700</v>
      </c>
      <c r="J21" s="22">
        <f t="shared" si="9"/>
        <v>109597</v>
      </c>
      <c r="K21" s="23">
        <f t="shared" si="9"/>
        <v>664081</v>
      </c>
      <c r="L21" s="24">
        <f t="shared" si="9"/>
        <v>89886</v>
      </c>
      <c r="M21" s="23">
        <f t="shared" si="9"/>
        <v>89886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189</v>
      </c>
      <c r="Q21" s="46">
        <f t="shared" si="10"/>
        <v>171</v>
      </c>
      <c r="R21" s="26">
        <f t="shared" si="10"/>
        <v>28</v>
      </c>
      <c r="S21" s="27">
        <f t="shared" si="10"/>
        <v>39</v>
      </c>
      <c r="T21" s="27">
        <f t="shared" si="10"/>
        <v>8</v>
      </c>
      <c r="U21" s="27">
        <f t="shared" si="10"/>
        <v>0</v>
      </c>
      <c r="V21" s="28">
        <f t="shared" si="10"/>
        <v>0</v>
      </c>
      <c r="W21" s="29">
        <f t="shared" si="10"/>
        <v>96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0.59890053408718269</v>
      </c>
      <c r="AC21" s="4">
        <f>SUM(AC6:AC20)/15</f>
        <v>0.52500000000000002</v>
      </c>
      <c r="AD21" s="4">
        <f>SUM(AD6:AD20)/15</f>
        <v>0.52431266056171799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299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309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173" t="s">
        <v>47</v>
      </c>
      <c r="D50" s="173" t="s">
        <v>48</v>
      </c>
      <c r="E50" s="173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173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175</v>
      </c>
      <c r="B51" s="446"/>
      <c r="C51" s="172" t="s">
        <v>220</v>
      </c>
      <c r="D51" s="169" t="s">
        <v>221</v>
      </c>
      <c r="E51" s="172" t="s">
        <v>222</v>
      </c>
      <c r="F51" s="447" t="s">
        <v>300</v>
      </c>
      <c r="G51" s="447"/>
      <c r="H51" s="447"/>
      <c r="I51" s="447"/>
      <c r="J51" s="447"/>
      <c r="K51" s="447"/>
      <c r="L51" s="447"/>
      <c r="M51" s="448"/>
      <c r="N51" s="168" t="s">
        <v>303</v>
      </c>
      <c r="O51" s="74" t="s">
        <v>310</v>
      </c>
      <c r="P51" s="449" t="s">
        <v>294</v>
      </c>
      <c r="Q51" s="450"/>
      <c r="R51" s="451" t="s">
        <v>311</v>
      </c>
      <c r="S51" s="451"/>
      <c r="T51" s="451"/>
      <c r="U51" s="451"/>
      <c r="V51" s="447" t="s">
        <v>312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260</v>
      </c>
      <c r="B52" s="446"/>
      <c r="C52" s="172" t="s">
        <v>261</v>
      </c>
      <c r="D52" s="169" t="s">
        <v>301</v>
      </c>
      <c r="E52" s="172" t="s">
        <v>302</v>
      </c>
      <c r="F52" s="447" t="s">
        <v>263</v>
      </c>
      <c r="G52" s="447"/>
      <c r="H52" s="447"/>
      <c r="I52" s="447"/>
      <c r="J52" s="447"/>
      <c r="K52" s="447"/>
      <c r="L52" s="447"/>
      <c r="M52" s="448"/>
      <c r="N52" s="168" t="s">
        <v>297</v>
      </c>
      <c r="O52" s="74" t="s">
        <v>313</v>
      </c>
      <c r="P52" s="449"/>
      <c r="Q52" s="450"/>
      <c r="R52" s="451" t="s">
        <v>314</v>
      </c>
      <c r="S52" s="451"/>
      <c r="T52" s="451"/>
      <c r="U52" s="451"/>
      <c r="V52" s="447" t="s">
        <v>315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303</v>
      </c>
      <c r="B53" s="446"/>
      <c r="C53" s="172" t="s">
        <v>304</v>
      </c>
      <c r="D53" s="169" t="s">
        <v>305</v>
      </c>
      <c r="E53" s="172" t="s">
        <v>295</v>
      </c>
      <c r="F53" s="447" t="s">
        <v>306</v>
      </c>
      <c r="G53" s="447"/>
      <c r="H53" s="447"/>
      <c r="I53" s="447"/>
      <c r="J53" s="447"/>
      <c r="K53" s="447"/>
      <c r="L53" s="447"/>
      <c r="M53" s="448"/>
      <c r="N53" s="168" t="s">
        <v>316</v>
      </c>
      <c r="O53" s="74" t="s">
        <v>308</v>
      </c>
      <c r="P53" s="449" t="s">
        <v>317</v>
      </c>
      <c r="Q53" s="450"/>
      <c r="R53" s="451" t="s">
        <v>318</v>
      </c>
      <c r="S53" s="451"/>
      <c r="T53" s="451"/>
      <c r="U53" s="451"/>
      <c r="V53" s="447" t="s">
        <v>242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307</v>
      </c>
      <c r="B54" s="446"/>
      <c r="C54" s="172" t="s">
        <v>308</v>
      </c>
      <c r="D54" s="169"/>
      <c r="E54" s="172" t="s">
        <v>298</v>
      </c>
      <c r="F54" s="447" t="s">
        <v>263</v>
      </c>
      <c r="G54" s="447"/>
      <c r="H54" s="447"/>
      <c r="I54" s="447"/>
      <c r="J54" s="447"/>
      <c r="K54" s="447"/>
      <c r="L54" s="447"/>
      <c r="M54" s="448"/>
      <c r="N54" s="168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52"/>
      <c r="B55" s="451"/>
      <c r="C55" s="169"/>
      <c r="D55" s="169"/>
      <c r="E55" s="172"/>
      <c r="F55" s="447"/>
      <c r="G55" s="447"/>
      <c r="H55" s="447"/>
      <c r="I55" s="447"/>
      <c r="J55" s="447"/>
      <c r="K55" s="447"/>
      <c r="L55" s="447"/>
      <c r="M55" s="448"/>
      <c r="N55" s="168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172"/>
      <c r="D56" s="169"/>
      <c r="E56" s="172"/>
      <c r="F56" s="447"/>
      <c r="G56" s="447"/>
      <c r="H56" s="447"/>
      <c r="I56" s="447"/>
      <c r="J56" s="447"/>
      <c r="K56" s="447"/>
      <c r="L56" s="447"/>
      <c r="M56" s="448"/>
      <c r="N56" s="168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172"/>
      <c r="D57" s="169"/>
      <c r="E57" s="172"/>
      <c r="F57" s="447"/>
      <c r="G57" s="447"/>
      <c r="H57" s="447"/>
      <c r="I57" s="447"/>
      <c r="J57" s="447"/>
      <c r="K57" s="447"/>
      <c r="L57" s="447"/>
      <c r="M57" s="448"/>
      <c r="N57" s="168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172"/>
      <c r="D58" s="169"/>
      <c r="E58" s="172"/>
      <c r="F58" s="447"/>
      <c r="G58" s="447"/>
      <c r="H58" s="447"/>
      <c r="I58" s="447"/>
      <c r="J58" s="447"/>
      <c r="K58" s="447"/>
      <c r="L58" s="447"/>
      <c r="M58" s="448"/>
      <c r="N58" s="168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169"/>
      <c r="D59" s="169"/>
      <c r="E59" s="169"/>
      <c r="F59" s="447"/>
      <c r="G59" s="447"/>
      <c r="H59" s="447"/>
      <c r="I59" s="447"/>
      <c r="J59" s="447"/>
      <c r="K59" s="447"/>
      <c r="L59" s="447"/>
      <c r="M59" s="448"/>
      <c r="N59" s="168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171"/>
      <c r="D60" s="171"/>
      <c r="E60" s="171"/>
      <c r="F60" s="455"/>
      <c r="G60" s="455"/>
      <c r="H60" s="455"/>
      <c r="I60" s="455"/>
      <c r="J60" s="455"/>
      <c r="K60" s="455"/>
      <c r="L60" s="455"/>
      <c r="M60" s="456"/>
      <c r="N60" s="170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319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167" t="s">
        <v>2</v>
      </c>
      <c r="D62" s="167" t="s">
        <v>38</v>
      </c>
      <c r="E62" s="167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167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119</v>
      </c>
      <c r="D63" s="163"/>
      <c r="E63" s="165" t="s">
        <v>320</v>
      </c>
      <c r="F63" s="466" t="s">
        <v>321</v>
      </c>
      <c r="G63" s="467"/>
      <c r="H63" s="467"/>
      <c r="I63" s="467"/>
      <c r="J63" s="467"/>
      <c r="K63" s="467" t="s">
        <v>322</v>
      </c>
      <c r="L63" s="467"/>
      <c r="M63" s="54" t="s">
        <v>246</v>
      </c>
      <c r="N63" s="467">
        <v>4</v>
      </c>
      <c r="O63" s="467"/>
      <c r="P63" s="468">
        <v>50</v>
      </c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/>
      <c r="D64" s="163"/>
      <c r="E64" s="165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163"/>
      <c r="E65" s="165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163"/>
      <c r="E66" s="165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163"/>
      <c r="E67" s="165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163"/>
      <c r="E68" s="165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163"/>
      <c r="E69" s="165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163"/>
      <c r="E70" s="165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323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166" t="s">
        <v>2</v>
      </c>
      <c r="D72" s="166" t="s">
        <v>38</v>
      </c>
      <c r="E72" s="166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164" t="s">
        <v>118</v>
      </c>
      <c r="D73" s="164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163" t="s">
        <v>118</v>
      </c>
      <c r="D74" s="163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163" t="s">
        <v>144</v>
      </c>
      <c r="D75" s="163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163" t="s">
        <v>119</v>
      </c>
      <c r="D76" s="163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163" t="s">
        <v>119</v>
      </c>
      <c r="D77" s="163"/>
      <c r="E77" s="35" t="s">
        <v>286</v>
      </c>
      <c r="F77" s="478" t="s">
        <v>287</v>
      </c>
      <c r="G77" s="478"/>
      <c r="H77" s="478"/>
      <c r="I77" s="478"/>
      <c r="J77" s="478"/>
      <c r="K77" s="479" t="s">
        <v>173</v>
      </c>
      <c r="L77" s="480"/>
      <c r="M77" s="480"/>
      <c r="N77" s="480"/>
      <c r="O77" s="480"/>
      <c r="P77" s="480"/>
      <c r="Q77" s="480"/>
      <c r="R77" s="480"/>
      <c r="S77" s="481"/>
      <c r="T77" s="482">
        <v>42984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163" t="s">
        <v>119</v>
      </c>
      <c r="D78" s="163"/>
      <c r="E78" s="35" t="s">
        <v>288</v>
      </c>
      <c r="F78" s="478" t="s">
        <v>289</v>
      </c>
      <c r="G78" s="478"/>
      <c r="H78" s="478"/>
      <c r="I78" s="478"/>
      <c r="J78" s="478"/>
      <c r="K78" s="479" t="s">
        <v>173</v>
      </c>
      <c r="L78" s="480"/>
      <c r="M78" s="480"/>
      <c r="N78" s="480"/>
      <c r="O78" s="480"/>
      <c r="P78" s="480"/>
      <c r="Q78" s="480"/>
      <c r="R78" s="480"/>
      <c r="S78" s="481"/>
      <c r="T78" s="482">
        <v>42984</v>
      </c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163"/>
      <c r="D79" s="163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163"/>
      <c r="D80" s="163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163"/>
      <c r="D81" s="163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324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86"/>
  <sheetViews>
    <sheetView topLeftCell="A25" zoomScale="72" zoomScaleNormal="72" zoomScaleSheetLayoutView="70" workbookViewId="0">
      <selection activeCell="A10" sqref="A10:XFD1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325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175" t="s">
        <v>17</v>
      </c>
      <c r="L5" s="175" t="s">
        <v>18</v>
      </c>
      <c r="M5" s="175" t="s">
        <v>19</v>
      </c>
      <c r="N5" s="17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0.59933300014853308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59</v>
      </c>
      <c r="C7" s="37" t="s">
        <v>119</v>
      </c>
      <c r="D7" s="55" t="s">
        <v>151</v>
      </c>
      <c r="E7" s="57" t="s">
        <v>171</v>
      </c>
      <c r="F7" s="33" t="s">
        <v>133</v>
      </c>
      <c r="G7" s="12">
        <v>1</v>
      </c>
      <c r="H7" s="13">
        <v>25</v>
      </c>
      <c r="I7" s="34">
        <v>40000</v>
      </c>
      <c r="J7" s="5">
        <v>3850</v>
      </c>
      <c r="K7" s="15">
        <f>L7+3100+5636+5658+5817+3420+920+3476</f>
        <v>31869</v>
      </c>
      <c r="L7" s="15">
        <f>2196+1646</f>
        <v>3842</v>
      </c>
      <c r="M7" s="16">
        <f t="shared" si="0"/>
        <v>3842</v>
      </c>
      <c r="N7" s="16">
        <v>0</v>
      </c>
      <c r="O7" s="62">
        <f t="shared" si="1"/>
        <v>0</v>
      </c>
      <c r="P7" s="42">
        <f t="shared" si="2"/>
        <v>21</v>
      </c>
      <c r="Q7" s="43">
        <f t="shared" si="3"/>
        <v>3</v>
      </c>
      <c r="R7" s="7">
        <v>3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0.99792207792207788</v>
      </c>
      <c r="AC7" s="9">
        <f t="shared" si="5"/>
        <v>0.875</v>
      </c>
      <c r="AD7" s="10">
        <f t="shared" si="6"/>
        <v>0.87318181818181817</v>
      </c>
      <c r="AE7" s="39">
        <f t="shared" si="7"/>
        <v>0.59933300014853308</v>
      </c>
      <c r="AF7" s="94">
        <f t="shared" si="8"/>
        <v>2</v>
      </c>
    </row>
    <row r="8" spans="1:36" ht="27" customHeight="1">
      <c r="A8" s="109">
        <v>3</v>
      </c>
      <c r="B8" s="11" t="s">
        <v>164</v>
      </c>
      <c r="C8" s="11" t="s">
        <v>146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40000</v>
      </c>
      <c r="J8" s="14">
        <v>5130</v>
      </c>
      <c r="K8" s="15">
        <f>L8+4113+5314+5304+5241+4255+5309</f>
        <v>34658</v>
      </c>
      <c r="L8" s="15">
        <f>2477+2645</f>
        <v>5122</v>
      </c>
      <c r="M8" s="16">
        <f t="shared" si="0"/>
        <v>5122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0.99844054580896691</v>
      </c>
      <c r="AC8" s="9">
        <f t="shared" si="5"/>
        <v>1</v>
      </c>
      <c r="AD8" s="10">
        <f t="shared" si="6"/>
        <v>0.99844054580896691</v>
      </c>
      <c r="AE8" s="39">
        <f t="shared" si="7"/>
        <v>0.59933300014853308</v>
      </c>
      <c r="AF8" s="94">
        <f>A8</f>
        <v>3</v>
      </c>
    </row>
    <row r="9" spans="1:36" ht="27" customHeight="1">
      <c r="A9" s="110">
        <v>4</v>
      </c>
      <c r="B9" s="11" t="s">
        <v>59</v>
      </c>
      <c r="C9" s="11" t="s">
        <v>326</v>
      </c>
      <c r="D9" s="55" t="s">
        <v>327</v>
      </c>
      <c r="E9" s="56" t="s">
        <v>328</v>
      </c>
      <c r="F9" s="12" t="s">
        <v>329</v>
      </c>
      <c r="G9" s="36" t="s">
        <v>330</v>
      </c>
      <c r="H9" s="38">
        <v>25</v>
      </c>
      <c r="I9" s="34">
        <v>650</v>
      </c>
      <c r="J9" s="5">
        <v>1630</v>
      </c>
      <c r="K9" s="15">
        <f>L9</f>
        <v>1628</v>
      </c>
      <c r="L9" s="15">
        <v>1628</v>
      </c>
      <c r="M9" s="16">
        <f t="shared" si="0"/>
        <v>1628</v>
      </c>
      <c r="N9" s="16">
        <v>0</v>
      </c>
      <c r="O9" s="62">
        <f t="shared" si="1"/>
        <v>0</v>
      </c>
      <c r="P9" s="42">
        <f t="shared" si="2"/>
        <v>12</v>
      </c>
      <c r="Q9" s="43">
        <f t="shared" si="3"/>
        <v>12</v>
      </c>
      <c r="R9" s="7"/>
      <c r="S9" s="6"/>
      <c r="T9" s="17"/>
      <c r="U9" s="17"/>
      <c r="V9" s="18"/>
      <c r="W9" s="19">
        <v>12</v>
      </c>
      <c r="X9" s="17"/>
      <c r="Y9" s="20"/>
      <c r="Z9" s="20"/>
      <c r="AA9" s="21"/>
      <c r="AB9" s="8">
        <f t="shared" si="4"/>
        <v>0.99877300613496933</v>
      </c>
      <c r="AC9" s="9">
        <f t="shared" si="5"/>
        <v>0.5</v>
      </c>
      <c r="AD9" s="10">
        <f t="shared" si="6"/>
        <v>0.49938650306748467</v>
      </c>
      <c r="AE9" s="39">
        <f t="shared" si="7"/>
        <v>0.59933300014853308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251</v>
      </c>
      <c r="D10" s="55" t="s">
        <v>291</v>
      </c>
      <c r="E10" s="57" t="s">
        <v>331</v>
      </c>
      <c r="F10" s="12" t="s">
        <v>254</v>
      </c>
      <c r="G10" s="12">
        <v>1</v>
      </c>
      <c r="H10" s="13">
        <v>25</v>
      </c>
      <c r="I10" s="34">
        <v>2000</v>
      </c>
      <c r="J10" s="14">
        <v>47</v>
      </c>
      <c r="K10" s="15">
        <f>L10+703</f>
        <v>750</v>
      </c>
      <c r="L10" s="15">
        <v>47</v>
      </c>
      <c r="M10" s="16">
        <f t="shared" si="0"/>
        <v>47</v>
      </c>
      <c r="N10" s="16">
        <v>0</v>
      </c>
      <c r="O10" s="62">
        <f t="shared" si="1"/>
        <v>0</v>
      </c>
      <c r="P10" s="42">
        <f t="shared" si="2"/>
        <v>4</v>
      </c>
      <c r="Q10" s="43">
        <f t="shared" si="3"/>
        <v>20</v>
      </c>
      <c r="R10" s="7"/>
      <c r="S10" s="6"/>
      <c r="T10" s="17"/>
      <c r="U10" s="17"/>
      <c r="V10" s="18"/>
      <c r="W10" s="19">
        <v>20</v>
      </c>
      <c r="X10" s="17"/>
      <c r="Y10" s="20"/>
      <c r="Z10" s="20"/>
      <c r="AA10" s="21"/>
      <c r="AB10" s="8">
        <f t="shared" si="4"/>
        <v>1</v>
      </c>
      <c r="AC10" s="9">
        <f t="shared" si="5"/>
        <v>0.16666666666666666</v>
      </c>
      <c r="AD10" s="10">
        <f t="shared" si="6"/>
        <v>0.16666666666666666</v>
      </c>
      <c r="AE10" s="39">
        <f t="shared" si="7"/>
        <v>0.59933300014853308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118</v>
      </c>
      <c r="D11" s="55" t="s">
        <v>168</v>
      </c>
      <c r="E11" s="56" t="s">
        <v>169</v>
      </c>
      <c r="F11" s="12" t="s">
        <v>170</v>
      </c>
      <c r="G11" s="12">
        <v>1</v>
      </c>
      <c r="H11" s="13">
        <v>25</v>
      </c>
      <c r="I11" s="34">
        <v>5000</v>
      </c>
      <c r="J11" s="14">
        <v>2310</v>
      </c>
      <c r="K11" s="15">
        <f>L11+2712+4405+4494+1990+4336</f>
        <v>20246</v>
      </c>
      <c r="L11" s="15">
        <v>2309</v>
      </c>
      <c r="M11" s="16">
        <f t="shared" si="0"/>
        <v>2309</v>
      </c>
      <c r="N11" s="16">
        <v>0</v>
      </c>
      <c r="O11" s="62">
        <f t="shared" si="1"/>
        <v>0</v>
      </c>
      <c r="P11" s="42">
        <f t="shared" si="2"/>
        <v>12</v>
      </c>
      <c r="Q11" s="43">
        <f t="shared" si="3"/>
        <v>12</v>
      </c>
      <c r="R11" s="7"/>
      <c r="S11" s="6"/>
      <c r="T11" s="17"/>
      <c r="U11" s="17"/>
      <c r="V11" s="18"/>
      <c r="W11" s="19">
        <v>12</v>
      </c>
      <c r="X11" s="17"/>
      <c r="Y11" s="20"/>
      <c r="Z11" s="20"/>
      <c r="AA11" s="21"/>
      <c r="AB11" s="8">
        <f t="shared" si="4"/>
        <v>0.99956709956709955</v>
      </c>
      <c r="AC11" s="9">
        <f t="shared" si="5"/>
        <v>0.5</v>
      </c>
      <c r="AD11" s="10">
        <f t="shared" si="6"/>
        <v>0.49978354978354977</v>
      </c>
      <c r="AE11" s="39">
        <f t="shared" si="7"/>
        <v>0.59933300014853308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293</v>
      </c>
      <c r="D12" s="55" t="s">
        <v>294</v>
      </c>
      <c r="E12" s="57" t="s">
        <v>295</v>
      </c>
      <c r="F12" s="12" t="s">
        <v>296</v>
      </c>
      <c r="G12" s="12">
        <v>1</v>
      </c>
      <c r="H12" s="13">
        <v>25</v>
      </c>
      <c r="I12" s="7">
        <v>15000</v>
      </c>
      <c r="J12" s="14">
        <v>3340</v>
      </c>
      <c r="K12" s="15">
        <f>L12+2856</f>
        <v>6190</v>
      </c>
      <c r="L12" s="15">
        <f>1212+2122</f>
        <v>3334</v>
      </c>
      <c r="M12" s="16">
        <f t="shared" si="0"/>
        <v>3334</v>
      </c>
      <c r="N12" s="16">
        <v>0</v>
      </c>
      <c r="O12" s="62">
        <f t="shared" si="1"/>
        <v>0</v>
      </c>
      <c r="P12" s="42">
        <f t="shared" si="2"/>
        <v>20</v>
      </c>
      <c r="Q12" s="43">
        <f t="shared" si="3"/>
        <v>4</v>
      </c>
      <c r="R12" s="7"/>
      <c r="S12" s="6">
        <v>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0.99820359281437121</v>
      </c>
      <c r="AC12" s="9">
        <f t="shared" si="5"/>
        <v>0.83333333333333337</v>
      </c>
      <c r="AD12" s="10">
        <f t="shared" si="6"/>
        <v>0.83183632734530932</v>
      </c>
      <c r="AE12" s="39">
        <f t="shared" si="7"/>
        <v>0.59933300014853308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332</v>
      </c>
      <c r="D13" s="55"/>
      <c r="E13" s="57" t="s">
        <v>333</v>
      </c>
      <c r="F13" s="12">
        <v>7301</v>
      </c>
      <c r="G13" s="12">
        <v>1</v>
      </c>
      <c r="H13" s="13">
        <v>25</v>
      </c>
      <c r="I13" s="7">
        <v>1000</v>
      </c>
      <c r="J13" s="14">
        <v>4240</v>
      </c>
      <c r="K13" s="15">
        <f>L13</f>
        <v>4239</v>
      </c>
      <c r="L13" s="15">
        <f>2467+1772</f>
        <v>4239</v>
      </c>
      <c r="M13" s="16">
        <f t="shared" si="0"/>
        <v>4239</v>
      </c>
      <c r="N13" s="16">
        <v>0</v>
      </c>
      <c r="O13" s="62">
        <f t="shared" si="1"/>
        <v>0</v>
      </c>
      <c r="P13" s="42">
        <f t="shared" si="2"/>
        <v>23</v>
      </c>
      <c r="Q13" s="43">
        <f t="shared" si="3"/>
        <v>1</v>
      </c>
      <c r="R13" s="7"/>
      <c r="S13" s="6"/>
      <c r="T13" s="17">
        <v>1</v>
      </c>
      <c r="U13" s="17"/>
      <c r="V13" s="18"/>
      <c r="W13" s="19"/>
      <c r="X13" s="17"/>
      <c r="Y13" s="20"/>
      <c r="Z13" s="20"/>
      <c r="AA13" s="21"/>
      <c r="AB13" s="8">
        <f t="shared" si="4"/>
        <v>0.99976415094339621</v>
      </c>
      <c r="AC13" s="9">
        <f t="shared" si="5"/>
        <v>0.95833333333333337</v>
      </c>
      <c r="AD13" s="10">
        <f t="shared" si="6"/>
        <v>0.95810731132075477</v>
      </c>
      <c r="AE13" s="39">
        <f t="shared" si="7"/>
        <v>0.59933300014853308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159</v>
      </c>
      <c r="F14" s="33" t="s">
        <v>160</v>
      </c>
      <c r="G14" s="36">
        <v>1</v>
      </c>
      <c r="H14" s="38">
        <v>40</v>
      </c>
      <c r="I14" s="7">
        <v>200</v>
      </c>
      <c r="J14" s="5">
        <v>556</v>
      </c>
      <c r="K14" s="15">
        <f>L14+106+556</f>
        <v>662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0.59933300014853308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334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</f>
        <v>903</v>
      </c>
      <c r="L15" s="15">
        <v>903</v>
      </c>
      <c r="M15" s="16">
        <f t="shared" si="0"/>
        <v>903</v>
      </c>
      <c r="N15" s="16">
        <v>0</v>
      </c>
      <c r="O15" s="62">
        <f t="shared" si="1"/>
        <v>0</v>
      </c>
      <c r="P15" s="42">
        <f t="shared" si="2"/>
        <v>8</v>
      </c>
      <c r="Q15" s="43">
        <f t="shared" si="3"/>
        <v>16</v>
      </c>
      <c r="R15" s="7"/>
      <c r="S15" s="6"/>
      <c r="T15" s="17"/>
      <c r="U15" s="17"/>
      <c r="V15" s="18"/>
      <c r="W15" s="19">
        <v>16</v>
      </c>
      <c r="X15" s="17"/>
      <c r="Y15" s="20"/>
      <c r="Z15" s="20"/>
      <c r="AA15" s="21"/>
      <c r="AB15" s="8">
        <f t="shared" si="4"/>
        <v>0.99230769230769234</v>
      </c>
      <c r="AC15" s="9">
        <f t="shared" si="5"/>
        <v>0.33333333333333331</v>
      </c>
      <c r="AD15" s="10">
        <f t="shared" si="6"/>
        <v>0.33076923076923076</v>
      </c>
      <c r="AE15" s="39">
        <f t="shared" si="7"/>
        <v>0.59933300014853308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335</v>
      </c>
      <c r="D16" s="55" t="s">
        <v>336</v>
      </c>
      <c r="E16" s="56" t="s">
        <v>337</v>
      </c>
      <c r="F16" s="12" t="s">
        <v>338</v>
      </c>
      <c r="G16" s="36">
        <v>4</v>
      </c>
      <c r="H16" s="38">
        <v>25</v>
      </c>
      <c r="I16" s="7">
        <v>30000</v>
      </c>
      <c r="J16" s="14">
        <v>11570</v>
      </c>
      <c r="K16" s="15">
        <f>L16</f>
        <v>11564</v>
      </c>
      <c r="L16" s="15">
        <f>1510*4+1381*4</f>
        <v>11564</v>
      </c>
      <c r="M16" s="16">
        <f t="shared" si="0"/>
        <v>11564</v>
      </c>
      <c r="N16" s="16">
        <v>0</v>
      </c>
      <c r="O16" s="62">
        <f t="shared" si="1"/>
        <v>0</v>
      </c>
      <c r="P16" s="42">
        <f t="shared" si="2"/>
        <v>20</v>
      </c>
      <c r="Q16" s="43">
        <f t="shared" si="3"/>
        <v>4</v>
      </c>
      <c r="R16" s="7"/>
      <c r="S16" s="6">
        <v>4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0.99948141745894559</v>
      </c>
      <c r="AC16" s="9">
        <f t="shared" si="5"/>
        <v>0.83333333333333337</v>
      </c>
      <c r="AD16" s="10">
        <f t="shared" si="6"/>
        <v>0.83290118121578804</v>
      </c>
      <c r="AE16" s="39">
        <f t="shared" si="7"/>
        <v>0.59933300014853308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118</v>
      </c>
      <c r="D17" s="55" t="s">
        <v>155</v>
      </c>
      <c r="E17" s="56" t="s">
        <v>156</v>
      </c>
      <c r="F17" s="12">
        <v>8301</v>
      </c>
      <c r="G17" s="12">
        <v>1</v>
      </c>
      <c r="H17" s="13">
        <v>25</v>
      </c>
      <c r="I17" s="34">
        <v>6500</v>
      </c>
      <c r="J17" s="5">
        <v>6520</v>
      </c>
      <c r="K17" s="15">
        <f>L17+3715+6518</f>
        <v>10233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0.59933300014853308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118</v>
      </c>
      <c r="D18" s="55" t="s">
        <v>216</v>
      </c>
      <c r="E18" s="57" t="s">
        <v>217</v>
      </c>
      <c r="F18" s="33" t="s">
        <v>218</v>
      </c>
      <c r="G18" s="12">
        <v>1</v>
      </c>
      <c r="H18" s="13">
        <v>25</v>
      </c>
      <c r="I18" s="34">
        <v>17000</v>
      </c>
      <c r="J18" s="5">
        <v>5380</v>
      </c>
      <c r="K18" s="15">
        <f>L18+1515+4929+5407</f>
        <v>17230</v>
      </c>
      <c r="L18" s="15">
        <f>2570+2809</f>
        <v>5379</v>
      </c>
      <c r="M18" s="16">
        <f t="shared" si="0"/>
        <v>5379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0.99981412639405209</v>
      </c>
      <c r="AC18" s="9">
        <f t="shared" si="5"/>
        <v>1</v>
      </c>
      <c r="AD18" s="10">
        <f t="shared" si="6"/>
        <v>0.99981412639405209</v>
      </c>
      <c r="AE18" s="39">
        <f t="shared" si="7"/>
        <v>0.59933300014853308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255</v>
      </c>
      <c r="D19" s="55" t="s">
        <v>58</v>
      </c>
      <c r="E19" s="57" t="s">
        <v>134</v>
      </c>
      <c r="F19" s="33" t="s">
        <v>136</v>
      </c>
      <c r="G19" s="36">
        <v>1</v>
      </c>
      <c r="H19" s="38">
        <v>25</v>
      </c>
      <c r="I19" s="7">
        <v>30000</v>
      </c>
      <c r="J19" s="5">
        <v>5120</v>
      </c>
      <c r="K19" s="15">
        <f>L19+4891+5127</f>
        <v>15134</v>
      </c>
      <c r="L19" s="15">
        <f>2444+2672</f>
        <v>5116</v>
      </c>
      <c r="M19" s="16">
        <f t="shared" si="0"/>
        <v>5116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0.99921875000000004</v>
      </c>
      <c r="AC19" s="9">
        <f t="shared" si="5"/>
        <v>1</v>
      </c>
      <c r="AD19" s="10">
        <f t="shared" si="6"/>
        <v>0.99921875000000004</v>
      </c>
      <c r="AE19" s="39">
        <f t="shared" si="7"/>
        <v>0.59933300014853308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157</v>
      </c>
      <c r="F20" s="12" t="s">
        <v>117</v>
      </c>
      <c r="G20" s="12">
        <v>4</v>
      </c>
      <c r="H20" s="38">
        <v>20</v>
      </c>
      <c r="I20" s="7">
        <v>200000</v>
      </c>
      <c r="J20" s="14">
        <v>54050</v>
      </c>
      <c r="K20" s="15">
        <f>L20+40792+68628+25624+56572+59804+61268+59600+51196+44324+59348</f>
        <v>581200</v>
      </c>
      <c r="L20" s="15">
        <f>6463*4+7048*4</f>
        <v>54044</v>
      </c>
      <c r="M20" s="16">
        <f t="shared" si="0"/>
        <v>54044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0.99988899167437562</v>
      </c>
      <c r="AC20" s="9">
        <f t="shared" si="5"/>
        <v>1</v>
      </c>
      <c r="AD20" s="10">
        <f t="shared" si="6"/>
        <v>0.99988899167437562</v>
      </c>
      <c r="AE20" s="39">
        <f t="shared" si="7"/>
        <v>0.59933300014853308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389000</v>
      </c>
      <c r="J21" s="22">
        <f t="shared" si="9"/>
        <v>106623</v>
      </c>
      <c r="K21" s="23">
        <f t="shared" si="9"/>
        <v>738468</v>
      </c>
      <c r="L21" s="24">
        <f t="shared" si="9"/>
        <v>97527</v>
      </c>
      <c r="M21" s="23">
        <f t="shared" si="9"/>
        <v>97527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216</v>
      </c>
      <c r="Q21" s="46">
        <f t="shared" si="10"/>
        <v>144</v>
      </c>
      <c r="R21" s="26">
        <f t="shared" si="10"/>
        <v>27</v>
      </c>
      <c r="S21" s="27">
        <f t="shared" si="10"/>
        <v>8</v>
      </c>
      <c r="T21" s="27">
        <f t="shared" si="10"/>
        <v>1</v>
      </c>
      <c r="U21" s="27">
        <f t="shared" si="10"/>
        <v>0</v>
      </c>
      <c r="V21" s="28">
        <f t="shared" si="10"/>
        <v>0</v>
      </c>
      <c r="W21" s="29">
        <f t="shared" si="10"/>
        <v>108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0.79889209673506301</v>
      </c>
      <c r="AC21" s="4">
        <f>SUM(AC6:AC20)/15</f>
        <v>0.6</v>
      </c>
      <c r="AD21" s="4">
        <f>SUM(AD6:AD20)/15</f>
        <v>0.59933300014853308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339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350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176" t="s">
        <v>47</v>
      </c>
      <c r="D50" s="176" t="s">
        <v>48</v>
      </c>
      <c r="E50" s="176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176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175</v>
      </c>
      <c r="B51" s="446"/>
      <c r="C51" s="177" t="s">
        <v>220</v>
      </c>
      <c r="D51" s="178" t="s">
        <v>221</v>
      </c>
      <c r="E51" s="177" t="s">
        <v>222</v>
      </c>
      <c r="F51" s="447" t="s">
        <v>340</v>
      </c>
      <c r="G51" s="447"/>
      <c r="H51" s="447"/>
      <c r="I51" s="447"/>
      <c r="J51" s="447"/>
      <c r="K51" s="447"/>
      <c r="L51" s="447"/>
      <c r="M51" s="448"/>
      <c r="N51" s="179" t="s">
        <v>351</v>
      </c>
      <c r="O51" s="74" t="s">
        <v>352</v>
      </c>
      <c r="P51" s="449" t="s">
        <v>353</v>
      </c>
      <c r="Q51" s="450"/>
      <c r="R51" s="451" t="s">
        <v>354</v>
      </c>
      <c r="S51" s="451"/>
      <c r="T51" s="451"/>
      <c r="U51" s="451"/>
      <c r="V51" s="447" t="s">
        <v>355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260</v>
      </c>
      <c r="B52" s="446"/>
      <c r="C52" s="177" t="s">
        <v>261</v>
      </c>
      <c r="D52" s="178" t="s">
        <v>301</v>
      </c>
      <c r="E52" s="177" t="s">
        <v>302</v>
      </c>
      <c r="F52" s="447" t="s">
        <v>263</v>
      </c>
      <c r="G52" s="447"/>
      <c r="H52" s="447"/>
      <c r="I52" s="447"/>
      <c r="J52" s="447"/>
      <c r="K52" s="447"/>
      <c r="L52" s="447"/>
      <c r="M52" s="448"/>
      <c r="N52" s="179" t="s">
        <v>356</v>
      </c>
      <c r="O52" s="74" t="s">
        <v>357</v>
      </c>
      <c r="P52" s="449" t="s">
        <v>358</v>
      </c>
      <c r="Q52" s="450"/>
      <c r="R52" s="451" t="s">
        <v>359</v>
      </c>
      <c r="S52" s="451"/>
      <c r="T52" s="451"/>
      <c r="U52" s="451"/>
      <c r="V52" s="447" t="s">
        <v>355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303</v>
      </c>
      <c r="B53" s="446"/>
      <c r="C53" s="177" t="s">
        <v>304</v>
      </c>
      <c r="D53" s="178" t="s">
        <v>305</v>
      </c>
      <c r="E53" s="177" t="s">
        <v>295</v>
      </c>
      <c r="F53" s="447" t="s">
        <v>341</v>
      </c>
      <c r="G53" s="447"/>
      <c r="H53" s="447"/>
      <c r="I53" s="447"/>
      <c r="J53" s="447"/>
      <c r="K53" s="447"/>
      <c r="L53" s="447"/>
      <c r="M53" s="448"/>
      <c r="N53" s="179"/>
      <c r="O53" s="74"/>
      <c r="P53" s="449"/>
      <c r="Q53" s="450"/>
      <c r="R53" s="451"/>
      <c r="S53" s="451"/>
      <c r="T53" s="451"/>
      <c r="U53" s="451"/>
      <c r="V53" s="447"/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307</v>
      </c>
      <c r="B54" s="446"/>
      <c r="C54" s="177" t="s">
        <v>342</v>
      </c>
      <c r="D54" s="178"/>
      <c r="E54" s="177" t="s">
        <v>343</v>
      </c>
      <c r="F54" s="447" t="s">
        <v>263</v>
      </c>
      <c r="G54" s="447"/>
      <c r="H54" s="447"/>
      <c r="I54" s="447"/>
      <c r="J54" s="447"/>
      <c r="K54" s="447"/>
      <c r="L54" s="447"/>
      <c r="M54" s="448"/>
      <c r="N54" s="179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52" t="s">
        <v>344</v>
      </c>
      <c r="B55" s="451"/>
      <c r="C55" s="178" t="s">
        <v>345</v>
      </c>
      <c r="D55" s="178" t="s">
        <v>327</v>
      </c>
      <c r="E55" s="177" t="s">
        <v>328</v>
      </c>
      <c r="F55" s="447" t="s">
        <v>263</v>
      </c>
      <c r="G55" s="447"/>
      <c r="H55" s="447"/>
      <c r="I55" s="447"/>
      <c r="J55" s="447"/>
      <c r="K55" s="447"/>
      <c r="L55" s="447"/>
      <c r="M55" s="448"/>
      <c r="N55" s="179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 t="s">
        <v>346</v>
      </c>
      <c r="B56" s="446"/>
      <c r="C56" s="177" t="s">
        <v>347</v>
      </c>
      <c r="D56" s="178" t="s">
        <v>348</v>
      </c>
      <c r="E56" s="177" t="s">
        <v>349</v>
      </c>
      <c r="F56" s="447" t="s">
        <v>263</v>
      </c>
      <c r="G56" s="447"/>
      <c r="H56" s="447"/>
      <c r="I56" s="447"/>
      <c r="J56" s="447"/>
      <c r="K56" s="447"/>
      <c r="L56" s="447"/>
      <c r="M56" s="448"/>
      <c r="N56" s="179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177"/>
      <c r="D57" s="178"/>
      <c r="E57" s="177"/>
      <c r="F57" s="447"/>
      <c r="G57" s="447"/>
      <c r="H57" s="447"/>
      <c r="I57" s="447"/>
      <c r="J57" s="447"/>
      <c r="K57" s="447"/>
      <c r="L57" s="447"/>
      <c r="M57" s="448"/>
      <c r="N57" s="179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177"/>
      <c r="D58" s="178"/>
      <c r="E58" s="177"/>
      <c r="F58" s="447"/>
      <c r="G58" s="447"/>
      <c r="H58" s="447"/>
      <c r="I58" s="447"/>
      <c r="J58" s="447"/>
      <c r="K58" s="447"/>
      <c r="L58" s="447"/>
      <c r="M58" s="448"/>
      <c r="N58" s="179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178"/>
      <c r="D59" s="178"/>
      <c r="E59" s="178"/>
      <c r="F59" s="447"/>
      <c r="G59" s="447"/>
      <c r="H59" s="447"/>
      <c r="I59" s="447"/>
      <c r="J59" s="447"/>
      <c r="K59" s="447"/>
      <c r="L59" s="447"/>
      <c r="M59" s="448"/>
      <c r="N59" s="179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181"/>
      <c r="D60" s="181"/>
      <c r="E60" s="181"/>
      <c r="F60" s="455"/>
      <c r="G60" s="455"/>
      <c r="H60" s="455"/>
      <c r="I60" s="455"/>
      <c r="J60" s="455"/>
      <c r="K60" s="455"/>
      <c r="L60" s="455"/>
      <c r="M60" s="456"/>
      <c r="N60" s="180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360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182" t="s">
        <v>2</v>
      </c>
      <c r="D62" s="182" t="s">
        <v>38</v>
      </c>
      <c r="E62" s="182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182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119</v>
      </c>
      <c r="D63" s="185"/>
      <c r="E63" s="183" t="s">
        <v>361</v>
      </c>
      <c r="F63" s="466" t="s">
        <v>362</v>
      </c>
      <c r="G63" s="467"/>
      <c r="H63" s="467"/>
      <c r="I63" s="467"/>
      <c r="J63" s="467"/>
      <c r="K63" s="467" t="s">
        <v>363</v>
      </c>
      <c r="L63" s="467"/>
      <c r="M63" s="54" t="s">
        <v>364</v>
      </c>
      <c r="N63" s="467">
        <v>12</v>
      </c>
      <c r="O63" s="467"/>
      <c r="P63" s="468">
        <v>50</v>
      </c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/>
      <c r="D64" s="185"/>
      <c r="E64" s="183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185"/>
      <c r="E65" s="183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185"/>
      <c r="E66" s="183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185"/>
      <c r="E67" s="183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185"/>
      <c r="E68" s="183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185"/>
      <c r="E69" s="183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185"/>
      <c r="E70" s="183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365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184" t="s">
        <v>2</v>
      </c>
      <c r="D72" s="184" t="s">
        <v>38</v>
      </c>
      <c r="E72" s="184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186" t="s">
        <v>118</v>
      </c>
      <c r="D73" s="186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185" t="s">
        <v>118</v>
      </c>
      <c r="D74" s="185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185" t="s">
        <v>144</v>
      </c>
      <c r="D75" s="185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185" t="s">
        <v>119</v>
      </c>
      <c r="D76" s="185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185" t="s">
        <v>119</v>
      </c>
      <c r="D77" s="185"/>
      <c r="E77" s="35" t="s">
        <v>286</v>
      </c>
      <c r="F77" s="478" t="s">
        <v>287</v>
      </c>
      <c r="G77" s="478"/>
      <c r="H77" s="478"/>
      <c r="I77" s="478"/>
      <c r="J77" s="478"/>
      <c r="K77" s="479" t="s">
        <v>173</v>
      </c>
      <c r="L77" s="480"/>
      <c r="M77" s="480"/>
      <c r="N77" s="480"/>
      <c r="O77" s="480"/>
      <c r="P77" s="480"/>
      <c r="Q77" s="480"/>
      <c r="R77" s="480"/>
      <c r="S77" s="481"/>
      <c r="T77" s="482">
        <v>42984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185" t="s">
        <v>119</v>
      </c>
      <c r="D78" s="185"/>
      <c r="E78" s="35" t="s">
        <v>288</v>
      </c>
      <c r="F78" s="478" t="s">
        <v>289</v>
      </c>
      <c r="G78" s="478"/>
      <c r="H78" s="478"/>
      <c r="I78" s="478"/>
      <c r="J78" s="478"/>
      <c r="K78" s="479" t="s">
        <v>173</v>
      </c>
      <c r="L78" s="480"/>
      <c r="M78" s="480"/>
      <c r="N78" s="480"/>
      <c r="O78" s="480"/>
      <c r="P78" s="480"/>
      <c r="Q78" s="480"/>
      <c r="R78" s="480"/>
      <c r="S78" s="481"/>
      <c r="T78" s="482">
        <v>42984</v>
      </c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185"/>
      <c r="D79" s="185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185"/>
      <c r="D80" s="185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185"/>
      <c r="D81" s="185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366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86"/>
  <sheetViews>
    <sheetView topLeftCell="A49" zoomScale="72" zoomScaleNormal="72" zoomScaleSheetLayoutView="70" workbookViewId="0">
      <selection activeCell="A63" sqref="A63:XFD6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367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198" t="s">
        <v>17</v>
      </c>
      <c r="L5" s="198" t="s">
        <v>18</v>
      </c>
      <c r="M5" s="198" t="s">
        <v>19</v>
      </c>
      <c r="N5" s="19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0.1275272405952719</v>
      </c>
      <c r="AF6" s="94">
        <f t="shared" ref="AF6:AF20" si="8">A6</f>
        <v>1</v>
      </c>
    </row>
    <row r="7" spans="1:36" ht="27" customHeight="1">
      <c r="A7" s="108">
        <v>2</v>
      </c>
      <c r="B7" s="11" t="s">
        <v>59</v>
      </c>
      <c r="C7" s="37" t="s">
        <v>119</v>
      </c>
      <c r="D7" s="55" t="s">
        <v>151</v>
      </c>
      <c r="E7" s="57" t="s">
        <v>171</v>
      </c>
      <c r="F7" s="33" t="s">
        <v>133</v>
      </c>
      <c r="G7" s="12">
        <v>1</v>
      </c>
      <c r="H7" s="13">
        <v>25</v>
      </c>
      <c r="I7" s="34">
        <v>40000</v>
      </c>
      <c r="J7" s="5">
        <v>3850</v>
      </c>
      <c r="K7" s="15">
        <f>L7+3100+5636+5658+5817+3420+920+3476+3842</f>
        <v>31869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>
        <v>24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0.1275272405952719</v>
      </c>
      <c r="AF7" s="94">
        <f t="shared" si="8"/>
        <v>2</v>
      </c>
    </row>
    <row r="8" spans="1:36" ht="27" customHeight="1">
      <c r="A8" s="109">
        <v>3</v>
      </c>
      <c r="B8" s="11" t="s">
        <v>59</v>
      </c>
      <c r="C8" s="11" t="s">
        <v>119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40000</v>
      </c>
      <c r="J8" s="14">
        <v>1180</v>
      </c>
      <c r="K8" s="15">
        <f>L8+4113+5314+5304+5241+4255+5309+5122</f>
        <v>35833</v>
      </c>
      <c r="L8" s="15">
        <v>1175</v>
      </c>
      <c r="M8" s="16">
        <f t="shared" si="0"/>
        <v>1175</v>
      </c>
      <c r="N8" s="16">
        <v>0</v>
      </c>
      <c r="O8" s="62">
        <f t="shared" si="1"/>
        <v>0</v>
      </c>
      <c r="P8" s="42">
        <f t="shared" si="2"/>
        <v>7</v>
      </c>
      <c r="Q8" s="43">
        <f t="shared" si="3"/>
        <v>17</v>
      </c>
      <c r="R8" s="7"/>
      <c r="S8" s="6">
        <v>3</v>
      </c>
      <c r="T8" s="17"/>
      <c r="U8" s="17"/>
      <c r="V8" s="18">
        <v>14</v>
      </c>
      <c r="W8" s="19"/>
      <c r="X8" s="17"/>
      <c r="Y8" s="20"/>
      <c r="Z8" s="20"/>
      <c r="AA8" s="21"/>
      <c r="AB8" s="8">
        <f t="shared" si="4"/>
        <v>0.99576271186440679</v>
      </c>
      <c r="AC8" s="9">
        <f t="shared" si="5"/>
        <v>0.29166666666666669</v>
      </c>
      <c r="AD8" s="10">
        <f t="shared" si="6"/>
        <v>0.29043079096045199</v>
      </c>
      <c r="AE8" s="39">
        <f t="shared" si="7"/>
        <v>0.1275272405952719</v>
      </c>
      <c r="AF8" s="94">
        <f>A8</f>
        <v>3</v>
      </c>
    </row>
    <row r="9" spans="1:36" ht="27" customHeight="1">
      <c r="A9" s="110">
        <v>4</v>
      </c>
      <c r="B9" s="11" t="s">
        <v>59</v>
      </c>
      <c r="C9" s="11" t="s">
        <v>326</v>
      </c>
      <c r="D9" s="55" t="s">
        <v>327</v>
      </c>
      <c r="E9" s="56" t="s">
        <v>328</v>
      </c>
      <c r="F9" s="12" t="s">
        <v>136</v>
      </c>
      <c r="G9" s="36" t="s">
        <v>330</v>
      </c>
      <c r="H9" s="38">
        <v>25</v>
      </c>
      <c r="I9" s="34">
        <v>650</v>
      </c>
      <c r="J9" s="5">
        <v>1630</v>
      </c>
      <c r="K9" s="15">
        <f>L9+1628</f>
        <v>1628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>
        <v>14</v>
      </c>
      <c r="W9" s="19"/>
      <c r="X9" s="17"/>
      <c r="Y9" s="20"/>
      <c r="Z9" s="20"/>
      <c r="AA9" s="21">
        <v>10</v>
      </c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0.1275272405952719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251</v>
      </c>
      <c r="D10" s="55" t="s">
        <v>291</v>
      </c>
      <c r="E10" s="57" t="s">
        <v>331</v>
      </c>
      <c r="F10" s="12" t="s">
        <v>254</v>
      </c>
      <c r="G10" s="12">
        <v>1</v>
      </c>
      <c r="H10" s="13">
        <v>25</v>
      </c>
      <c r="I10" s="34">
        <v>2000</v>
      </c>
      <c r="J10" s="14">
        <v>47</v>
      </c>
      <c r="K10" s="15">
        <f>L10+703+47</f>
        <v>750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0.1275272405952719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118</v>
      </c>
      <c r="D11" s="55" t="s">
        <v>168</v>
      </c>
      <c r="E11" s="56" t="s">
        <v>169</v>
      </c>
      <c r="F11" s="12" t="s">
        <v>170</v>
      </c>
      <c r="G11" s="12">
        <v>1</v>
      </c>
      <c r="H11" s="13">
        <v>25</v>
      </c>
      <c r="I11" s="34">
        <v>5000</v>
      </c>
      <c r="J11" s="14">
        <v>2310</v>
      </c>
      <c r="K11" s="15">
        <f>L11+2712+4405+4494+1990+4336+2309</f>
        <v>20246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0.1275272405952719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293</v>
      </c>
      <c r="D12" s="55" t="s">
        <v>294</v>
      </c>
      <c r="E12" s="57" t="s">
        <v>295</v>
      </c>
      <c r="F12" s="12" t="s">
        <v>296</v>
      </c>
      <c r="G12" s="12">
        <v>1</v>
      </c>
      <c r="H12" s="13">
        <v>25</v>
      </c>
      <c r="I12" s="7">
        <v>15000</v>
      </c>
      <c r="J12" s="14">
        <v>1880</v>
      </c>
      <c r="K12" s="15">
        <f>L12+2856+3334</f>
        <v>8065</v>
      </c>
      <c r="L12" s="15">
        <v>1875</v>
      </c>
      <c r="M12" s="16">
        <f t="shared" si="0"/>
        <v>1875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>
        <v>14</v>
      </c>
      <c r="W12" s="19"/>
      <c r="X12" s="17"/>
      <c r="Y12" s="20"/>
      <c r="Z12" s="20"/>
      <c r="AA12" s="21"/>
      <c r="AB12" s="8">
        <f t="shared" si="4"/>
        <v>0.99734042553191493</v>
      </c>
      <c r="AC12" s="9">
        <f t="shared" si="5"/>
        <v>0.41666666666666669</v>
      </c>
      <c r="AD12" s="10">
        <f t="shared" si="6"/>
        <v>0.41555851063829791</v>
      </c>
      <c r="AE12" s="39">
        <f t="shared" si="7"/>
        <v>0.1275272405952719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332</v>
      </c>
      <c r="D13" s="55"/>
      <c r="E13" s="57" t="s">
        <v>333</v>
      </c>
      <c r="F13" s="12">
        <v>7301</v>
      </c>
      <c r="G13" s="12">
        <v>1</v>
      </c>
      <c r="H13" s="13">
        <v>25</v>
      </c>
      <c r="I13" s="7">
        <v>1000</v>
      </c>
      <c r="J13" s="14">
        <v>4240</v>
      </c>
      <c r="K13" s="15">
        <f>L13+4239</f>
        <v>4239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0.1275272405952719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159</v>
      </c>
      <c r="F14" s="33" t="s">
        <v>160</v>
      </c>
      <c r="G14" s="36">
        <v>1</v>
      </c>
      <c r="H14" s="38">
        <v>40</v>
      </c>
      <c r="I14" s="7">
        <v>200</v>
      </c>
      <c r="J14" s="5">
        <v>556</v>
      </c>
      <c r="K14" s="15">
        <f>L14+106+556</f>
        <v>662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0.1275272405952719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334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L15+903</f>
        <v>903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0.1275272405952719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316</v>
      </c>
      <c r="D16" s="55" t="s">
        <v>336</v>
      </c>
      <c r="E16" s="56" t="s">
        <v>337</v>
      </c>
      <c r="F16" s="12" t="s">
        <v>338</v>
      </c>
      <c r="G16" s="36">
        <v>3</v>
      </c>
      <c r="H16" s="38">
        <v>25</v>
      </c>
      <c r="I16" s="7">
        <v>30000</v>
      </c>
      <c r="J16" s="14">
        <v>11570</v>
      </c>
      <c r="K16" s="15">
        <f>L16+11564</f>
        <v>17348</v>
      </c>
      <c r="L16" s="15">
        <f>1928*3</f>
        <v>5784</v>
      </c>
      <c r="M16" s="16">
        <f t="shared" si="0"/>
        <v>5784</v>
      </c>
      <c r="N16" s="16">
        <v>0</v>
      </c>
      <c r="O16" s="62">
        <f t="shared" si="1"/>
        <v>0</v>
      </c>
      <c r="P16" s="42">
        <f t="shared" si="2"/>
        <v>10</v>
      </c>
      <c r="Q16" s="43">
        <f t="shared" si="3"/>
        <v>14</v>
      </c>
      <c r="R16" s="7"/>
      <c r="S16" s="6"/>
      <c r="T16" s="17"/>
      <c r="U16" s="17"/>
      <c r="V16" s="18">
        <v>14</v>
      </c>
      <c r="W16" s="19"/>
      <c r="X16" s="17"/>
      <c r="Y16" s="20"/>
      <c r="Z16" s="20"/>
      <c r="AA16" s="21"/>
      <c r="AB16" s="8">
        <f t="shared" si="4"/>
        <v>0.49991356957649091</v>
      </c>
      <c r="AC16" s="9">
        <f t="shared" si="5"/>
        <v>0.41666666666666669</v>
      </c>
      <c r="AD16" s="10">
        <f t="shared" si="6"/>
        <v>0.20829732065687123</v>
      </c>
      <c r="AE16" s="39">
        <f t="shared" si="7"/>
        <v>0.1275272405952719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118</v>
      </c>
      <c r="D17" s="55" t="s">
        <v>155</v>
      </c>
      <c r="E17" s="56" t="s">
        <v>156</v>
      </c>
      <c r="F17" s="12">
        <v>8301</v>
      </c>
      <c r="G17" s="12">
        <v>1</v>
      </c>
      <c r="H17" s="13">
        <v>25</v>
      </c>
      <c r="I17" s="34">
        <v>6500</v>
      </c>
      <c r="J17" s="5">
        <v>6520</v>
      </c>
      <c r="K17" s="15">
        <f>L17+3715+6518</f>
        <v>10233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0.1275272405952719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118</v>
      </c>
      <c r="D18" s="55" t="s">
        <v>216</v>
      </c>
      <c r="E18" s="57" t="s">
        <v>217</v>
      </c>
      <c r="F18" s="33" t="s">
        <v>218</v>
      </c>
      <c r="G18" s="12">
        <v>1</v>
      </c>
      <c r="H18" s="13">
        <v>25</v>
      </c>
      <c r="I18" s="34">
        <v>17000</v>
      </c>
      <c r="J18" s="5">
        <v>2310</v>
      </c>
      <c r="K18" s="15">
        <f>L18+1515+4929+5407+5379</f>
        <v>19539</v>
      </c>
      <c r="L18" s="15">
        <v>2309</v>
      </c>
      <c r="M18" s="16">
        <f t="shared" si="0"/>
        <v>2309</v>
      </c>
      <c r="N18" s="16">
        <v>0</v>
      </c>
      <c r="O18" s="62">
        <f t="shared" si="1"/>
        <v>0</v>
      </c>
      <c r="P18" s="42">
        <f t="shared" si="2"/>
        <v>10</v>
      </c>
      <c r="Q18" s="43">
        <f t="shared" si="3"/>
        <v>14</v>
      </c>
      <c r="R18" s="7"/>
      <c r="S18" s="6"/>
      <c r="T18" s="17"/>
      <c r="U18" s="17"/>
      <c r="V18" s="18">
        <v>14</v>
      </c>
      <c r="W18" s="19"/>
      <c r="X18" s="17"/>
      <c r="Y18" s="20"/>
      <c r="Z18" s="20"/>
      <c r="AA18" s="21"/>
      <c r="AB18" s="8">
        <f t="shared" si="4"/>
        <v>0.99956709956709955</v>
      </c>
      <c r="AC18" s="9">
        <f t="shared" si="5"/>
        <v>0.41666666666666669</v>
      </c>
      <c r="AD18" s="10">
        <f t="shared" si="6"/>
        <v>0.41648629148629152</v>
      </c>
      <c r="AE18" s="39">
        <f t="shared" si="7"/>
        <v>0.1275272405952719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255</v>
      </c>
      <c r="D19" s="55" t="s">
        <v>58</v>
      </c>
      <c r="E19" s="57" t="s">
        <v>134</v>
      </c>
      <c r="F19" s="33" t="s">
        <v>136</v>
      </c>
      <c r="G19" s="36">
        <v>1</v>
      </c>
      <c r="H19" s="38">
        <v>25</v>
      </c>
      <c r="I19" s="7">
        <v>30000</v>
      </c>
      <c r="J19" s="5">
        <v>440</v>
      </c>
      <c r="K19" s="15">
        <f>L19+4891+5127+5116</f>
        <v>15571</v>
      </c>
      <c r="L19" s="15">
        <v>437</v>
      </c>
      <c r="M19" s="16">
        <f t="shared" si="0"/>
        <v>437</v>
      </c>
      <c r="N19" s="16">
        <v>0</v>
      </c>
      <c r="O19" s="62">
        <f t="shared" si="1"/>
        <v>0</v>
      </c>
      <c r="P19" s="42">
        <f t="shared" si="2"/>
        <v>4</v>
      </c>
      <c r="Q19" s="43">
        <f t="shared" si="3"/>
        <v>20</v>
      </c>
      <c r="R19" s="7"/>
      <c r="S19" s="6">
        <v>6</v>
      </c>
      <c r="T19" s="17"/>
      <c r="U19" s="17"/>
      <c r="V19" s="18">
        <v>14</v>
      </c>
      <c r="W19" s="19"/>
      <c r="X19" s="17"/>
      <c r="Y19" s="20"/>
      <c r="Z19" s="20"/>
      <c r="AA19" s="21"/>
      <c r="AB19" s="8">
        <f t="shared" si="4"/>
        <v>0.99318181818181817</v>
      </c>
      <c r="AC19" s="9">
        <f t="shared" si="5"/>
        <v>0.16666666666666666</v>
      </c>
      <c r="AD19" s="10">
        <f t="shared" si="6"/>
        <v>0.16553030303030303</v>
      </c>
      <c r="AE19" s="39">
        <f t="shared" si="7"/>
        <v>0.1275272405952719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157</v>
      </c>
      <c r="F20" s="12" t="s">
        <v>117</v>
      </c>
      <c r="G20" s="12">
        <v>4</v>
      </c>
      <c r="H20" s="38">
        <v>20</v>
      </c>
      <c r="I20" s="7">
        <v>200000</v>
      </c>
      <c r="J20" s="14">
        <v>27200</v>
      </c>
      <c r="K20" s="15">
        <f>L20+40792+68628+25624+56572+59804+61268+59600+51196+44324+59348+54044</f>
        <v>608396</v>
      </c>
      <c r="L20" s="15">
        <f>6799*4</f>
        <v>27196</v>
      </c>
      <c r="M20" s="16">
        <f t="shared" si="0"/>
        <v>27196</v>
      </c>
      <c r="N20" s="16">
        <v>0</v>
      </c>
      <c r="O20" s="62">
        <f t="shared" si="1"/>
        <v>0</v>
      </c>
      <c r="P20" s="42">
        <f t="shared" si="2"/>
        <v>10</v>
      </c>
      <c r="Q20" s="43">
        <f t="shared" si="3"/>
        <v>14</v>
      </c>
      <c r="R20" s="7"/>
      <c r="S20" s="6"/>
      <c r="T20" s="17"/>
      <c r="U20" s="17"/>
      <c r="V20" s="18">
        <v>14</v>
      </c>
      <c r="W20" s="19"/>
      <c r="X20" s="17"/>
      <c r="Y20" s="20"/>
      <c r="Z20" s="20"/>
      <c r="AA20" s="21"/>
      <c r="AB20" s="8">
        <f t="shared" si="4"/>
        <v>0.99985294117647061</v>
      </c>
      <c r="AC20" s="9">
        <f t="shared" si="5"/>
        <v>0.41666666666666669</v>
      </c>
      <c r="AD20" s="10">
        <f t="shared" si="6"/>
        <v>0.41660539215686276</v>
      </c>
      <c r="AE20" s="39">
        <f t="shared" si="7"/>
        <v>0.1275272405952719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389000</v>
      </c>
      <c r="J21" s="22">
        <f t="shared" si="9"/>
        <v>66613</v>
      </c>
      <c r="K21" s="23">
        <f t="shared" si="9"/>
        <v>777244</v>
      </c>
      <c r="L21" s="24">
        <f t="shared" si="9"/>
        <v>38776</v>
      </c>
      <c r="M21" s="23">
        <f t="shared" si="9"/>
        <v>38776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51</v>
      </c>
      <c r="Q21" s="46">
        <f t="shared" si="10"/>
        <v>309</v>
      </c>
      <c r="R21" s="26">
        <f t="shared" si="10"/>
        <v>48</v>
      </c>
      <c r="S21" s="27">
        <f t="shared" si="10"/>
        <v>9</v>
      </c>
      <c r="T21" s="27">
        <f t="shared" si="10"/>
        <v>0</v>
      </c>
      <c r="U21" s="27">
        <f t="shared" si="10"/>
        <v>0</v>
      </c>
      <c r="V21" s="28">
        <f t="shared" si="10"/>
        <v>98</v>
      </c>
      <c r="W21" s="29">
        <f t="shared" si="10"/>
        <v>144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10</v>
      </c>
      <c r="AB21" s="31">
        <f>SUM(AB6:AB20)/15</f>
        <v>0.36570790439321338</v>
      </c>
      <c r="AC21" s="4">
        <f>SUM(AC6:AC20)/15</f>
        <v>0.14166666666666666</v>
      </c>
      <c r="AD21" s="4">
        <f>SUM(AD6:AD20)/15</f>
        <v>0.1275272405952719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368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375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197" t="s">
        <v>47</v>
      </c>
      <c r="D50" s="197" t="s">
        <v>48</v>
      </c>
      <c r="E50" s="197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197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175</v>
      </c>
      <c r="B51" s="446"/>
      <c r="C51" s="196" t="s">
        <v>206</v>
      </c>
      <c r="D51" s="193" t="s">
        <v>369</v>
      </c>
      <c r="E51" s="196" t="s">
        <v>370</v>
      </c>
      <c r="F51" s="447" t="s">
        <v>371</v>
      </c>
      <c r="G51" s="447"/>
      <c r="H51" s="447"/>
      <c r="I51" s="447"/>
      <c r="J51" s="447"/>
      <c r="K51" s="447"/>
      <c r="L51" s="447"/>
      <c r="M51" s="448"/>
      <c r="N51" s="192" t="s">
        <v>376</v>
      </c>
      <c r="O51" s="74" t="s">
        <v>377</v>
      </c>
      <c r="P51" s="449" t="s">
        <v>378</v>
      </c>
      <c r="Q51" s="450"/>
      <c r="R51" s="451" t="s">
        <v>379</v>
      </c>
      <c r="S51" s="451"/>
      <c r="T51" s="451"/>
      <c r="U51" s="451"/>
      <c r="V51" s="447" t="s">
        <v>199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372</v>
      </c>
      <c r="B52" s="446"/>
      <c r="C52" s="196" t="s">
        <v>373</v>
      </c>
      <c r="D52" s="193" t="s">
        <v>58</v>
      </c>
      <c r="E52" s="196" t="s">
        <v>374</v>
      </c>
      <c r="F52" s="447" t="s">
        <v>371</v>
      </c>
      <c r="G52" s="447"/>
      <c r="H52" s="447"/>
      <c r="I52" s="447"/>
      <c r="J52" s="447"/>
      <c r="K52" s="447"/>
      <c r="L52" s="447"/>
      <c r="M52" s="448"/>
      <c r="N52" s="192" t="s">
        <v>118</v>
      </c>
      <c r="O52" s="74" t="s">
        <v>310</v>
      </c>
      <c r="P52" s="449" t="s">
        <v>165</v>
      </c>
      <c r="Q52" s="450"/>
      <c r="R52" s="451" t="s">
        <v>380</v>
      </c>
      <c r="S52" s="451"/>
      <c r="T52" s="451"/>
      <c r="U52" s="451"/>
      <c r="V52" s="447" t="s">
        <v>381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/>
      <c r="B53" s="446"/>
      <c r="C53" s="196"/>
      <c r="D53" s="193"/>
      <c r="E53" s="196"/>
      <c r="F53" s="447"/>
      <c r="G53" s="447"/>
      <c r="H53" s="447"/>
      <c r="I53" s="447"/>
      <c r="J53" s="447"/>
      <c r="K53" s="447"/>
      <c r="L53" s="447"/>
      <c r="M53" s="448"/>
      <c r="N53" s="192" t="s">
        <v>382</v>
      </c>
      <c r="O53" s="74" t="s">
        <v>383</v>
      </c>
      <c r="P53" s="449" t="s">
        <v>384</v>
      </c>
      <c r="Q53" s="450"/>
      <c r="R53" s="451" t="s">
        <v>385</v>
      </c>
      <c r="S53" s="451"/>
      <c r="T53" s="451"/>
      <c r="U53" s="451"/>
      <c r="V53" s="447" t="s">
        <v>194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/>
      <c r="B54" s="446"/>
      <c r="C54" s="196"/>
      <c r="D54" s="193"/>
      <c r="E54" s="196"/>
      <c r="F54" s="447"/>
      <c r="G54" s="447"/>
      <c r="H54" s="447"/>
      <c r="I54" s="447"/>
      <c r="J54" s="447"/>
      <c r="K54" s="447"/>
      <c r="L54" s="447"/>
      <c r="M54" s="448"/>
      <c r="N54" s="192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52"/>
      <c r="B55" s="451"/>
      <c r="C55" s="193"/>
      <c r="D55" s="193"/>
      <c r="E55" s="196"/>
      <c r="F55" s="447"/>
      <c r="G55" s="447"/>
      <c r="H55" s="447"/>
      <c r="I55" s="447"/>
      <c r="J55" s="447"/>
      <c r="K55" s="447"/>
      <c r="L55" s="447"/>
      <c r="M55" s="448"/>
      <c r="N55" s="192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196"/>
      <c r="D56" s="193"/>
      <c r="E56" s="196"/>
      <c r="F56" s="447"/>
      <c r="G56" s="447"/>
      <c r="H56" s="447"/>
      <c r="I56" s="447"/>
      <c r="J56" s="447"/>
      <c r="K56" s="447"/>
      <c r="L56" s="447"/>
      <c r="M56" s="448"/>
      <c r="N56" s="192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196"/>
      <c r="D57" s="193"/>
      <c r="E57" s="196"/>
      <c r="F57" s="447"/>
      <c r="G57" s="447"/>
      <c r="H57" s="447"/>
      <c r="I57" s="447"/>
      <c r="J57" s="447"/>
      <c r="K57" s="447"/>
      <c r="L57" s="447"/>
      <c r="M57" s="448"/>
      <c r="N57" s="192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196"/>
      <c r="D58" s="193"/>
      <c r="E58" s="196"/>
      <c r="F58" s="447"/>
      <c r="G58" s="447"/>
      <c r="H58" s="447"/>
      <c r="I58" s="447"/>
      <c r="J58" s="447"/>
      <c r="K58" s="447"/>
      <c r="L58" s="447"/>
      <c r="M58" s="448"/>
      <c r="N58" s="192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193"/>
      <c r="D59" s="193"/>
      <c r="E59" s="193"/>
      <c r="F59" s="447"/>
      <c r="G59" s="447"/>
      <c r="H59" s="447"/>
      <c r="I59" s="447"/>
      <c r="J59" s="447"/>
      <c r="K59" s="447"/>
      <c r="L59" s="447"/>
      <c r="M59" s="448"/>
      <c r="N59" s="192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195"/>
      <c r="D60" s="195"/>
      <c r="E60" s="195"/>
      <c r="F60" s="455"/>
      <c r="G60" s="455"/>
      <c r="H60" s="455"/>
      <c r="I60" s="455"/>
      <c r="J60" s="455"/>
      <c r="K60" s="455"/>
      <c r="L60" s="455"/>
      <c r="M60" s="456"/>
      <c r="N60" s="194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386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191" t="s">
        <v>2</v>
      </c>
      <c r="D62" s="191" t="s">
        <v>38</v>
      </c>
      <c r="E62" s="191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191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119</v>
      </c>
      <c r="D63" s="187"/>
      <c r="E63" s="189" t="s">
        <v>361</v>
      </c>
      <c r="F63" s="466" t="s">
        <v>362</v>
      </c>
      <c r="G63" s="467"/>
      <c r="H63" s="467"/>
      <c r="I63" s="467"/>
      <c r="J63" s="467"/>
      <c r="K63" s="467" t="s">
        <v>148</v>
      </c>
      <c r="L63" s="467"/>
      <c r="M63" s="54" t="s">
        <v>364</v>
      </c>
      <c r="N63" s="467">
        <v>12</v>
      </c>
      <c r="O63" s="467"/>
      <c r="P63" s="468">
        <v>50</v>
      </c>
      <c r="Q63" s="468"/>
      <c r="R63" s="447"/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 t="s">
        <v>118</v>
      </c>
      <c r="D64" s="187"/>
      <c r="E64" s="189" t="s">
        <v>387</v>
      </c>
      <c r="F64" s="466" t="s">
        <v>388</v>
      </c>
      <c r="G64" s="467"/>
      <c r="H64" s="467"/>
      <c r="I64" s="467"/>
      <c r="J64" s="467"/>
      <c r="K64" s="467">
        <v>7301</v>
      </c>
      <c r="L64" s="467"/>
      <c r="M64" s="54" t="s">
        <v>389</v>
      </c>
      <c r="N64" s="467">
        <v>8</v>
      </c>
      <c r="O64" s="467"/>
      <c r="P64" s="468">
        <v>50</v>
      </c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 t="s">
        <v>118</v>
      </c>
      <c r="D65" s="187"/>
      <c r="E65" s="189" t="s">
        <v>58</v>
      </c>
      <c r="F65" s="466" t="s">
        <v>390</v>
      </c>
      <c r="G65" s="467"/>
      <c r="H65" s="467"/>
      <c r="I65" s="467"/>
      <c r="J65" s="467"/>
      <c r="K65" s="467" t="s">
        <v>391</v>
      </c>
      <c r="L65" s="467"/>
      <c r="M65" s="54" t="s">
        <v>392</v>
      </c>
      <c r="N65" s="467">
        <v>8</v>
      </c>
      <c r="O65" s="467"/>
      <c r="P65" s="468">
        <v>30</v>
      </c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 t="s">
        <v>118</v>
      </c>
      <c r="D66" s="187"/>
      <c r="E66" s="189" t="s">
        <v>393</v>
      </c>
      <c r="F66" s="466" t="s">
        <v>394</v>
      </c>
      <c r="G66" s="467"/>
      <c r="H66" s="467"/>
      <c r="I66" s="467"/>
      <c r="J66" s="467"/>
      <c r="K66" s="467" t="s">
        <v>395</v>
      </c>
      <c r="L66" s="467"/>
      <c r="M66" s="54" t="s">
        <v>396</v>
      </c>
      <c r="N66" s="467">
        <v>12</v>
      </c>
      <c r="O66" s="467"/>
      <c r="P66" s="468">
        <v>50</v>
      </c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 t="s">
        <v>397</v>
      </c>
      <c r="D67" s="187"/>
      <c r="E67" s="189" t="s">
        <v>398</v>
      </c>
      <c r="F67" s="466" t="s">
        <v>399</v>
      </c>
      <c r="G67" s="467"/>
      <c r="H67" s="467"/>
      <c r="I67" s="467"/>
      <c r="J67" s="467"/>
      <c r="K67" s="467" t="s">
        <v>400</v>
      </c>
      <c r="L67" s="467"/>
      <c r="M67" s="54" t="s">
        <v>389</v>
      </c>
      <c r="N67" s="467">
        <v>4</v>
      </c>
      <c r="O67" s="467"/>
      <c r="P67" s="468">
        <v>100</v>
      </c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187"/>
      <c r="E68" s="189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187"/>
      <c r="E69" s="189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187"/>
      <c r="E70" s="189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401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190" t="s">
        <v>2</v>
      </c>
      <c r="D72" s="190" t="s">
        <v>38</v>
      </c>
      <c r="E72" s="190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188" t="s">
        <v>118</v>
      </c>
      <c r="D73" s="188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187" t="s">
        <v>118</v>
      </c>
      <c r="D74" s="187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187" t="s">
        <v>144</v>
      </c>
      <c r="D75" s="187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187" t="s">
        <v>119</v>
      </c>
      <c r="D76" s="187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187" t="s">
        <v>119</v>
      </c>
      <c r="D77" s="187"/>
      <c r="E77" s="35" t="s">
        <v>286</v>
      </c>
      <c r="F77" s="478" t="s">
        <v>287</v>
      </c>
      <c r="G77" s="478"/>
      <c r="H77" s="478"/>
      <c r="I77" s="478"/>
      <c r="J77" s="478"/>
      <c r="K77" s="479" t="s">
        <v>173</v>
      </c>
      <c r="L77" s="480"/>
      <c r="M77" s="480"/>
      <c r="N77" s="480"/>
      <c r="O77" s="480"/>
      <c r="P77" s="480"/>
      <c r="Q77" s="480"/>
      <c r="R77" s="480"/>
      <c r="S77" s="481"/>
      <c r="T77" s="482">
        <v>42984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187" t="s">
        <v>119</v>
      </c>
      <c r="D78" s="187"/>
      <c r="E78" s="35" t="s">
        <v>288</v>
      </c>
      <c r="F78" s="478" t="s">
        <v>289</v>
      </c>
      <c r="G78" s="478"/>
      <c r="H78" s="478"/>
      <c r="I78" s="478"/>
      <c r="J78" s="478"/>
      <c r="K78" s="479" t="s">
        <v>173</v>
      </c>
      <c r="L78" s="480"/>
      <c r="M78" s="480"/>
      <c r="N78" s="480"/>
      <c r="O78" s="480"/>
      <c r="P78" s="480"/>
      <c r="Q78" s="480"/>
      <c r="R78" s="480"/>
      <c r="S78" s="481"/>
      <c r="T78" s="482">
        <v>42984</v>
      </c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187"/>
      <c r="D79" s="187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187"/>
      <c r="D80" s="187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187"/>
      <c r="D81" s="187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402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86"/>
  <sheetViews>
    <sheetView zoomScale="72" zoomScaleNormal="72" zoomScaleSheetLayoutView="70" workbookViewId="0">
      <selection activeCell="A10" sqref="A10:XFD1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6" ht="44.25" customHeight="1">
      <c r="A1" s="404" t="s">
        <v>403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6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6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6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6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199" t="s">
        <v>17</v>
      </c>
      <c r="L5" s="199" t="s">
        <v>18</v>
      </c>
      <c r="M5" s="199" t="s">
        <v>19</v>
      </c>
      <c r="N5" s="19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6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0.43026079856354849</v>
      </c>
      <c r="AF6" s="94">
        <f t="shared" ref="AF6:AF20" si="8">A6</f>
        <v>1</v>
      </c>
    </row>
    <row r="7" spans="1:36" ht="27" customHeight="1">
      <c r="A7" s="108">
        <v>2</v>
      </c>
      <c r="B7" s="11" t="s">
        <v>404</v>
      </c>
      <c r="C7" s="37" t="s">
        <v>119</v>
      </c>
      <c r="D7" s="55" t="s">
        <v>151</v>
      </c>
      <c r="E7" s="57" t="s">
        <v>171</v>
      </c>
      <c r="F7" s="33" t="s">
        <v>133</v>
      </c>
      <c r="G7" s="12">
        <v>1</v>
      </c>
      <c r="H7" s="13">
        <v>25</v>
      </c>
      <c r="I7" s="34">
        <v>20000</v>
      </c>
      <c r="J7" s="5">
        <v>2140</v>
      </c>
      <c r="K7" s="15">
        <f>L7</f>
        <v>2137</v>
      </c>
      <c r="L7" s="15">
        <f>2137</f>
        <v>2137</v>
      </c>
      <c r="M7" s="16">
        <f t="shared" si="0"/>
        <v>2137</v>
      </c>
      <c r="N7" s="16">
        <v>0</v>
      </c>
      <c r="O7" s="62">
        <f t="shared" si="1"/>
        <v>0</v>
      </c>
      <c r="P7" s="42">
        <f t="shared" si="2"/>
        <v>14</v>
      </c>
      <c r="Q7" s="43">
        <f t="shared" si="3"/>
        <v>10</v>
      </c>
      <c r="R7" s="7">
        <v>10</v>
      </c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0.99859813084112148</v>
      </c>
      <c r="AC7" s="9">
        <f t="shared" si="5"/>
        <v>0.58333333333333337</v>
      </c>
      <c r="AD7" s="10">
        <f t="shared" si="6"/>
        <v>0.58251557632398754</v>
      </c>
      <c r="AE7" s="39">
        <f t="shared" si="7"/>
        <v>0.43026079856354849</v>
      </c>
      <c r="AF7" s="94">
        <f t="shared" si="8"/>
        <v>2</v>
      </c>
    </row>
    <row r="8" spans="1:36" ht="27" customHeight="1">
      <c r="A8" s="109">
        <v>3</v>
      </c>
      <c r="B8" s="11" t="s">
        <v>404</v>
      </c>
      <c r="C8" s="11" t="s">
        <v>119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30000</v>
      </c>
      <c r="J8" s="14">
        <v>4570</v>
      </c>
      <c r="K8" s="15">
        <f>8000+L8</f>
        <v>12566</v>
      </c>
      <c r="L8" s="15">
        <f>1899+2667</f>
        <v>4566</v>
      </c>
      <c r="M8" s="16">
        <f t="shared" si="0"/>
        <v>4566</v>
      </c>
      <c r="N8" s="16">
        <v>0</v>
      </c>
      <c r="O8" s="62">
        <f t="shared" si="1"/>
        <v>0</v>
      </c>
      <c r="P8" s="42">
        <f t="shared" si="2"/>
        <v>23</v>
      </c>
      <c r="Q8" s="43">
        <f t="shared" si="3"/>
        <v>1</v>
      </c>
      <c r="R8" s="7"/>
      <c r="S8" s="6"/>
      <c r="T8" s="17"/>
      <c r="U8" s="17"/>
      <c r="V8" s="18">
        <v>1</v>
      </c>
      <c r="W8" s="19"/>
      <c r="X8" s="17"/>
      <c r="Y8" s="20"/>
      <c r="Z8" s="20"/>
      <c r="AA8" s="21"/>
      <c r="AB8" s="8">
        <f t="shared" si="4"/>
        <v>0.99912472647702411</v>
      </c>
      <c r="AC8" s="9">
        <f t="shared" si="5"/>
        <v>0.95833333333333337</v>
      </c>
      <c r="AD8" s="10">
        <f t="shared" si="6"/>
        <v>0.95749452954048142</v>
      </c>
      <c r="AE8" s="39">
        <f t="shared" si="7"/>
        <v>0.43026079856354849</v>
      </c>
      <c r="AF8" s="94">
        <f>A8</f>
        <v>3</v>
      </c>
    </row>
    <row r="9" spans="1:36" ht="27" customHeight="1">
      <c r="A9" s="110">
        <v>4</v>
      </c>
      <c r="B9" s="11" t="s">
        <v>59</v>
      </c>
      <c r="C9" s="11" t="s">
        <v>326</v>
      </c>
      <c r="D9" s="55" t="s">
        <v>327</v>
      </c>
      <c r="E9" s="56" t="s">
        <v>328</v>
      </c>
      <c r="F9" s="12" t="s">
        <v>136</v>
      </c>
      <c r="G9" s="36" t="s">
        <v>330</v>
      </c>
      <c r="H9" s="38">
        <v>25</v>
      </c>
      <c r="I9" s="34">
        <v>650</v>
      </c>
      <c r="J9" s="5">
        <v>1630</v>
      </c>
      <c r="K9" s="15">
        <f>L9+1628</f>
        <v>1628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/>
      <c r="X9" s="17"/>
      <c r="Y9" s="20"/>
      <c r="Z9" s="20"/>
      <c r="AA9" s="21">
        <v>24</v>
      </c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0.43026079856354849</v>
      </c>
      <c r="AF9" s="94">
        <f t="shared" si="8"/>
        <v>4</v>
      </c>
    </row>
    <row r="10" spans="1:36" ht="27" customHeight="1">
      <c r="A10" s="110">
        <v>5</v>
      </c>
      <c r="B10" s="11" t="s">
        <v>59</v>
      </c>
      <c r="C10" s="11" t="s">
        <v>119</v>
      </c>
      <c r="D10" s="55" t="s">
        <v>405</v>
      </c>
      <c r="E10" s="57" t="s">
        <v>406</v>
      </c>
      <c r="F10" s="12" t="s">
        <v>407</v>
      </c>
      <c r="G10" s="12">
        <v>32</v>
      </c>
      <c r="H10" s="13">
        <v>25</v>
      </c>
      <c r="I10" s="34">
        <v>50000</v>
      </c>
      <c r="J10" s="14">
        <v>177440</v>
      </c>
      <c r="K10" s="15">
        <f>L10</f>
        <v>177440</v>
      </c>
      <c r="L10" s="15">
        <f>3326*32+2219*32</f>
        <v>177440</v>
      </c>
      <c r="M10" s="16">
        <f t="shared" si="0"/>
        <v>177440</v>
      </c>
      <c r="N10" s="16">
        <v>0</v>
      </c>
      <c r="O10" s="62">
        <f t="shared" si="1"/>
        <v>0</v>
      </c>
      <c r="P10" s="42">
        <f t="shared" si="2"/>
        <v>23</v>
      </c>
      <c r="Q10" s="43">
        <f t="shared" si="3"/>
        <v>1</v>
      </c>
      <c r="R10" s="7"/>
      <c r="S10" s="6"/>
      <c r="T10" s="17">
        <v>1</v>
      </c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0.95833333333333337</v>
      </c>
      <c r="AD10" s="10">
        <f t="shared" si="6"/>
        <v>0.95833333333333337</v>
      </c>
      <c r="AE10" s="39">
        <f t="shared" si="7"/>
        <v>0.43026079856354849</v>
      </c>
      <c r="AF10" s="94">
        <f t="shared" si="8"/>
        <v>5</v>
      </c>
    </row>
    <row r="11" spans="1:36" ht="27" customHeight="1">
      <c r="A11" s="110">
        <v>6</v>
      </c>
      <c r="B11" s="11" t="s">
        <v>59</v>
      </c>
      <c r="C11" s="11" t="s">
        <v>118</v>
      </c>
      <c r="D11" s="55" t="s">
        <v>168</v>
      </c>
      <c r="E11" s="56" t="s">
        <v>169</v>
      </c>
      <c r="F11" s="12" t="s">
        <v>170</v>
      </c>
      <c r="G11" s="12">
        <v>1</v>
      </c>
      <c r="H11" s="13">
        <v>25</v>
      </c>
      <c r="I11" s="34">
        <v>5000</v>
      </c>
      <c r="J11" s="14">
        <v>2310</v>
      </c>
      <c r="K11" s="15">
        <f>L11+2712+4405+4494+1990+4336+2309</f>
        <v>20246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0.43026079856354849</v>
      </c>
      <c r="AF11" s="94">
        <f t="shared" si="8"/>
        <v>6</v>
      </c>
    </row>
    <row r="12" spans="1:36" ht="27" customHeight="1">
      <c r="A12" s="110">
        <v>7</v>
      </c>
      <c r="B12" s="11" t="s">
        <v>59</v>
      </c>
      <c r="C12" s="11" t="s">
        <v>293</v>
      </c>
      <c r="D12" s="55" t="s">
        <v>408</v>
      </c>
      <c r="E12" s="57" t="s">
        <v>409</v>
      </c>
      <c r="F12" s="12" t="s">
        <v>296</v>
      </c>
      <c r="G12" s="12">
        <v>1</v>
      </c>
      <c r="H12" s="13">
        <v>25</v>
      </c>
      <c r="I12" s="7">
        <v>4000</v>
      </c>
      <c r="J12" s="14">
        <v>3430</v>
      </c>
      <c r="K12" s="15">
        <f>L12</f>
        <v>3428</v>
      </c>
      <c r="L12" s="15">
        <f>2696+732</f>
        <v>3428</v>
      </c>
      <c r="M12" s="16">
        <f t="shared" si="0"/>
        <v>3428</v>
      </c>
      <c r="N12" s="16">
        <v>0</v>
      </c>
      <c r="O12" s="62">
        <f t="shared" si="1"/>
        <v>0</v>
      </c>
      <c r="P12" s="42">
        <f t="shared" si="2"/>
        <v>19</v>
      </c>
      <c r="Q12" s="43">
        <f t="shared" si="3"/>
        <v>5</v>
      </c>
      <c r="R12" s="7"/>
      <c r="S12" s="6">
        <v>5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0.99941690962099128</v>
      </c>
      <c r="AC12" s="9">
        <f t="shared" si="5"/>
        <v>0.79166666666666663</v>
      </c>
      <c r="AD12" s="10">
        <f t="shared" si="6"/>
        <v>0.7912050534499514</v>
      </c>
      <c r="AE12" s="39">
        <f t="shared" si="7"/>
        <v>0.43026079856354849</v>
      </c>
      <c r="AF12" s="94">
        <f t="shared" si="8"/>
        <v>7</v>
      </c>
    </row>
    <row r="13" spans="1:36" ht="27" customHeight="1">
      <c r="A13" s="110">
        <v>8</v>
      </c>
      <c r="B13" s="11" t="s">
        <v>59</v>
      </c>
      <c r="C13" s="11" t="s">
        <v>332</v>
      </c>
      <c r="D13" s="55"/>
      <c r="E13" s="57" t="s">
        <v>333</v>
      </c>
      <c r="F13" s="12">
        <v>7301</v>
      </c>
      <c r="G13" s="12">
        <v>1</v>
      </c>
      <c r="H13" s="13">
        <v>25</v>
      </c>
      <c r="I13" s="7">
        <v>1000</v>
      </c>
      <c r="J13" s="14">
        <v>4240</v>
      </c>
      <c r="K13" s="15">
        <f>L13+4239</f>
        <v>4239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0.43026079856354849</v>
      </c>
      <c r="AF13" s="94">
        <f t="shared" si="8"/>
        <v>8</v>
      </c>
    </row>
    <row r="14" spans="1:36" ht="27" customHeight="1">
      <c r="A14" s="109">
        <v>9</v>
      </c>
      <c r="B14" s="11" t="s">
        <v>59</v>
      </c>
      <c r="C14" s="37" t="s">
        <v>118</v>
      </c>
      <c r="D14" s="55" t="s">
        <v>58</v>
      </c>
      <c r="E14" s="57" t="s">
        <v>159</v>
      </c>
      <c r="F14" s="33" t="s">
        <v>160</v>
      </c>
      <c r="G14" s="36">
        <v>1</v>
      </c>
      <c r="H14" s="38">
        <v>40</v>
      </c>
      <c r="I14" s="7">
        <v>200</v>
      </c>
      <c r="J14" s="5">
        <v>556</v>
      </c>
      <c r="K14" s="15">
        <f>L14+106+556</f>
        <v>662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0.43026079856354849</v>
      </c>
      <c r="AF14" s="94">
        <f t="shared" si="8"/>
        <v>9</v>
      </c>
    </row>
    <row r="15" spans="1:36" ht="27" customHeight="1">
      <c r="A15" s="109">
        <v>10</v>
      </c>
      <c r="B15" s="11" t="s">
        <v>59</v>
      </c>
      <c r="C15" s="11" t="s">
        <v>141</v>
      </c>
      <c r="D15" s="55" t="s">
        <v>137</v>
      </c>
      <c r="E15" s="57" t="s">
        <v>334</v>
      </c>
      <c r="F15" s="12" t="s">
        <v>143</v>
      </c>
      <c r="G15" s="12">
        <v>1</v>
      </c>
      <c r="H15" s="13">
        <v>25</v>
      </c>
      <c r="I15" s="34">
        <v>650</v>
      </c>
      <c r="J15" s="14">
        <v>910</v>
      </c>
      <c r="K15" s="15">
        <f>L15+903</f>
        <v>903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0.43026079856354849</v>
      </c>
      <c r="AF15" s="94">
        <f t="shared" si="8"/>
        <v>10</v>
      </c>
    </row>
    <row r="16" spans="1:36" ht="27.75" customHeight="1">
      <c r="A16" s="109">
        <v>11</v>
      </c>
      <c r="B16" s="11" t="s">
        <v>59</v>
      </c>
      <c r="C16" s="11" t="s">
        <v>316</v>
      </c>
      <c r="D16" s="55" t="s">
        <v>336</v>
      </c>
      <c r="E16" s="56" t="s">
        <v>337</v>
      </c>
      <c r="F16" s="12" t="s">
        <v>338</v>
      </c>
      <c r="G16" s="36">
        <v>3</v>
      </c>
      <c r="H16" s="38">
        <v>25</v>
      </c>
      <c r="I16" s="7">
        <v>30000</v>
      </c>
      <c r="J16" s="14">
        <v>14091</v>
      </c>
      <c r="K16" s="15">
        <f>L16+11564+5784</f>
        <v>31439</v>
      </c>
      <c r="L16" s="15">
        <f>2803*3+1894*3</f>
        <v>14091</v>
      </c>
      <c r="M16" s="16">
        <f t="shared" si="0"/>
        <v>14091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1</v>
      </c>
      <c r="AD16" s="10">
        <f t="shared" si="6"/>
        <v>1</v>
      </c>
      <c r="AE16" s="39">
        <f t="shared" si="7"/>
        <v>0.43026079856354849</v>
      </c>
      <c r="AF16" s="94">
        <f>A16</f>
        <v>11</v>
      </c>
      <c r="AJ16" s="15"/>
    </row>
    <row r="17" spans="1:32" ht="27" customHeight="1">
      <c r="A17" s="109">
        <v>12</v>
      </c>
      <c r="B17" s="11" t="s">
        <v>59</v>
      </c>
      <c r="C17" s="37" t="s">
        <v>410</v>
      </c>
      <c r="D17" s="55" t="s">
        <v>411</v>
      </c>
      <c r="E17" s="56" t="s">
        <v>412</v>
      </c>
      <c r="F17" s="12">
        <v>8301</v>
      </c>
      <c r="G17" s="12">
        <v>1</v>
      </c>
      <c r="H17" s="13">
        <v>25</v>
      </c>
      <c r="I17" s="34">
        <v>500</v>
      </c>
      <c r="J17" s="5">
        <v>632</v>
      </c>
      <c r="K17" s="15">
        <f>L17</f>
        <v>632</v>
      </c>
      <c r="L17" s="15">
        <v>632</v>
      </c>
      <c r="M17" s="16">
        <f t="shared" si="0"/>
        <v>632</v>
      </c>
      <c r="N17" s="16">
        <v>0</v>
      </c>
      <c r="O17" s="62">
        <f t="shared" si="1"/>
        <v>0</v>
      </c>
      <c r="P17" s="42">
        <f t="shared" si="2"/>
        <v>5</v>
      </c>
      <c r="Q17" s="43">
        <f t="shared" si="3"/>
        <v>19</v>
      </c>
      <c r="R17" s="7"/>
      <c r="S17" s="6">
        <v>6</v>
      </c>
      <c r="T17" s="17"/>
      <c r="U17" s="17"/>
      <c r="V17" s="18"/>
      <c r="W17" s="19">
        <v>13</v>
      </c>
      <c r="X17" s="17"/>
      <c r="Y17" s="20"/>
      <c r="Z17" s="20"/>
      <c r="AA17" s="21"/>
      <c r="AB17" s="8">
        <f t="shared" si="4"/>
        <v>1</v>
      </c>
      <c r="AC17" s="9">
        <f t="shared" si="5"/>
        <v>0.20833333333333334</v>
      </c>
      <c r="AD17" s="10">
        <f t="shared" si="6"/>
        <v>0.20833333333333334</v>
      </c>
      <c r="AE17" s="39">
        <f t="shared" si="7"/>
        <v>0.43026079856354849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118</v>
      </c>
      <c r="D18" s="55" t="s">
        <v>216</v>
      </c>
      <c r="E18" s="57" t="s">
        <v>217</v>
      </c>
      <c r="F18" s="33" t="s">
        <v>218</v>
      </c>
      <c r="G18" s="12">
        <v>1</v>
      </c>
      <c r="H18" s="13">
        <v>25</v>
      </c>
      <c r="I18" s="34">
        <v>17000</v>
      </c>
      <c r="J18" s="5">
        <v>2310</v>
      </c>
      <c r="K18" s="15">
        <f>L18+1515+4929+5407+5379+2309</f>
        <v>19539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>
        <v>24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0.43026079856354849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255</v>
      </c>
      <c r="D19" s="55" t="s">
        <v>58</v>
      </c>
      <c r="E19" s="57" t="s">
        <v>134</v>
      </c>
      <c r="F19" s="33" t="s">
        <v>136</v>
      </c>
      <c r="G19" s="36">
        <v>1</v>
      </c>
      <c r="H19" s="38">
        <v>25</v>
      </c>
      <c r="I19" s="7">
        <v>30000</v>
      </c>
      <c r="J19" s="5">
        <v>4690</v>
      </c>
      <c r="K19" s="15">
        <f>L19+4891+5116+437</f>
        <v>15131</v>
      </c>
      <c r="L19" s="15">
        <f>2690+1997</f>
        <v>4687</v>
      </c>
      <c r="M19" s="16">
        <f t="shared" si="0"/>
        <v>4687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0.99936034115138594</v>
      </c>
      <c r="AC19" s="9">
        <f t="shared" si="5"/>
        <v>1</v>
      </c>
      <c r="AD19" s="10">
        <f t="shared" si="6"/>
        <v>0.99936034115138594</v>
      </c>
      <c r="AE19" s="39">
        <f t="shared" si="7"/>
        <v>0.43026079856354849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116</v>
      </c>
      <c r="D20" s="55"/>
      <c r="E20" s="56" t="s">
        <v>157</v>
      </c>
      <c r="F20" s="12" t="s">
        <v>117</v>
      </c>
      <c r="G20" s="12">
        <v>4</v>
      </c>
      <c r="H20" s="38">
        <v>20</v>
      </c>
      <c r="I20" s="7">
        <v>200000</v>
      </c>
      <c r="J20" s="14">
        <v>53000</v>
      </c>
      <c r="K20" s="15">
        <f>L20+40792+68628+25624+56572+59804+61268+59600+51196+44324+59348+54044+27196</f>
        <v>661304</v>
      </c>
      <c r="L20" s="15">
        <f>7823*4+5404*4</f>
        <v>52908</v>
      </c>
      <c r="M20" s="16">
        <f t="shared" si="0"/>
        <v>52908</v>
      </c>
      <c r="N20" s="16">
        <v>0</v>
      </c>
      <c r="O20" s="62">
        <f t="shared" si="1"/>
        <v>0</v>
      </c>
      <c r="P20" s="42">
        <f t="shared" si="2"/>
        <v>23</v>
      </c>
      <c r="Q20" s="43">
        <f t="shared" si="3"/>
        <v>1</v>
      </c>
      <c r="R20" s="7"/>
      <c r="S20" s="6"/>
      <c r="T20" s="17"/>
      <c r="U20" s="17"/>
      <c r="V20" s="18">
        <v>1</v>
      </c>
      <c r="W20" s="19"/>
      <c r="X20" s="17"/>
      <c r="Y20" s="20"/>
      <c r="Z20" s="20"/>
      <c r="AA20" s="21"/>
      <c r="AB20" s="8">
        <f t="shared" si="4"/>
        <v>0.99826415094339627</v>
      </c>
      <c r="AC20" s="9">
        <f t="shared" si="5"/>
        <v>0.95833333333333337</v>
      </c>
      <c r="AD20" s="10">
        <f t="shared" si="6"/>
        <v>0.95666981132075479</v>
      </c>
      <c r="AE20" s="39">
        <f t="shared" si="7"/>
        <v>0.43026079856354849</v>
      </c>
      <c r="AF20" s="94">
        <f t="shared" si="8"/>
        <v>15</v>
      </c>
    </row>
    <row r="21" spans="1:32" ht="31.5" customHeight="1" thickBot="1">
      <c r="A21" s="418" t="s">
        <v>34</v>
      </c>
      <c r="B21" s="419"/>
      <c r="C21" s="419"/>
      <c r="D21" s="419"/>
      <c r="E21" s="419"/>
      <c r="F21" s="419"/>
      <c r="G21" s="419"/>
      <c r="H21" s="420"/>
      <c r="I21" s="25">
        <f t="shared" ref="I21:N21" si="9">SUM(I6:I20)</f>
        <v>390000</v>
      </c>
      <c r="J21" s="22">
        <f t="shared" si="9"/>
        <v>273919</v>
      </c>
      <c r="K21" s="23">
        <f t="shared" si="9"/>
        <v>953256</v>
      </c>
      <c r="L21" s="24">
        <f t="shared" si="9"/>
        <v>259889</v>
      </c>
      <c r="M21" s="23">
        <f t="shared" si="9"/>
        <v>259889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155</v>
      </c>
      <c r="Q21" s="46">
        <f t="shared" si="10"/>
        <v>205</v>
      </c>
      <c r="R21" s="26">
        <f t="shared" si="10"/>
        <v>34</v>
      </c>
      <c r="S21" s="27">
        <f t="shared" si="10"/>
        <v>35</v>
      </c>
      <c r="T21" s="27">
        <f t="shared" si="10"/>
        <v>1</v>
      </c>
      <c r="U21" s="27">
        <f t="shared" si="10"/>
        <v>0</v>
      </c>
      <c r="V21" s="28">
        <f t="shared" si="10"/>
        <v>2</v>
      </c>
      <c r="W21" s="29">
        <f t="shared" si="10"/>
        <v>109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24</v>
      </c>
      <c r="AB21" s="31">
        <f>SUM(AB6:AB20)/15</f>
        <v>0.5329842839355946</v>
      </c>
      <c r="AC21" s="4">
        <f>SUM(AC6:AC20)/15</f>
        <v>0.43055555555555547</v>
      </c>
      <c r="AD21" s="4">
        <f>SUM(AD6:AD20)/15</f>
        <v>0.43026079856354849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21" t="s">
        <v>46</v>
      </c>
      <c r="B48" s="421"/>
      <c r="C48" s="421"/>
      <c r="D48" s="421"/>
      <c r="E48" s="42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22" t="s">
        <v>413</v>
      </c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4"/>
      <c r="N49" s="425" t="s">
        <v>424</v>
      </c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26"/>
      <c r="AD49" s="427"/>
    </row>
    <row r="50" spans="1:32" ht="27" customHeight="1">
      <c r="A50" s="428" t="s">
        <v>2</v>
      </c>
      <c r="B50" s="429"/>
      <c r="C50" s="200" t="s">
        <v>47</v>
      </c>
      <c r="D50" s="200" t="s">
        <v>48</v>
      </c>
      <c r="E50" s="200" t="s">
        <v>110</v>
      </c>
      <c r="F50" s="429" t="s">
        <v>109</v>
      </c>
      <c r="G50" s="429"/>
      <c r="H50" s="429"/>
      <c r="I50" s="429"/>
      <c r="J50" s="429"/>
      <c r="K50" s="429"/>
      <c r="L50" s="429"/>
      <c r="M50" s="430"/>
      <c r="N50" s="73" t="s">
        <v>114</v>
      </c>
      <c r="O50" s="200" t="s">
        <v>47</v>
      </c>
      <c r="P50" s="431" t="s">
        <v>48</v>
      </c>
      <c r="Q50" s="432"/>
      <c r="R50" s="431" t="s">
        <v>39</v>
      </c>
      <c r="S50" s="433"/>
      <c r="T50" s="433"/>
      <c r="U50" s="432"/>
      <c r="V50" s="431" t="s">
        <v>49</v>
      </c>
      <c r="W50" s="433"/>
      <c r="X50" s="433"/>
      <c r="Y50" s="433"/>
      <c r="Z50" s="433"/>
      <c r="AA50" s="433"/>
      <c r="AB50" s="433"/>
      <c r="AC50" s="433"/>
      <c r="AD50" s="434"/>
    </row>
    <row r="51" spans="1:32" ht="27" customHeight="1">
      <c r="A51" s="445" t="s">
        <v>175</v>
      </c>
      <c r="B51" s="446"/>
      <c r="C51" s="201" t="s">
        <v>414</v>
      </c>
      <c r="D51" s="202" t="s">
        <v>415</v>
      </c>
      <c r="E51" s="201" t="s">
        <v>416</v>
      </c>
      <c r="F51" s="447" t="s">
        <v>417</v>
      </c>
      <c r="G51" s="447"/>
      <c r="H51" s="447"/>
      <c r="I51" s="447"/>
      <c r="J51" s="447"/>
      <c r="K51" s="447"/>
      <c r="L51" s="447"/>
      <c r="M51" s="448"/>
      <c r="N51" s="203" t="s">
        <v>425</v>
      </c>
      <c r="O51" s="74" t="s">
        <v>421</v>
      </c>
      <c r="P51" s="449" t="s">
        <v>426</v>
      </c>
      <c r="Q51" s="450"/>
      <c r="R51" s="451" t="s">
        <v>427</v>
      </c>
      <c r="S51" s="451"/>
      <c r="T51" s="451"/>
      <c r="U51" s="451"/>
      <c r="V51" s="447" t="s">
        <v>428</v>
      </c>
      <c r="W51" s="447"/>
      <c r="X51" s="447"/>
      <c r="Y51" s="447"/>
      <c r="Z51" s="447"/>
      <c r="AA51" s="447"/>
      <c r="AB51" s="447"/>
      <c r="AC51" s="447"/>
      <c r="AD51" s="448"/>
    </row>
    <row r="52" spans="1:32" ht="27" customHeight="1">
      <c r="A52" s="445" t="s">
        <v>119</v>
      </c>
      <c r="B52" s="446"/>
      <c r="C52" s="201" t="s">
        <v>418</v>
      </c>
      <c r="D52" s="202" t="s">
        <v>405</v>
      </c>
      <c r="E52" s="201" t="s">
        <v>406</v>
      </c>
      <c r="F52" s="447" t="s">
        <v>419</v>
      </c>
      <c r="G52" s="447"/>
      <c r="H52" s="447"/>
      <c r="I52" s="447"/>
      <c r="J52" s="447"/>
      <c r="K52" s="447"/>
      <c r="L52" s="447"/>
      <c r="M52" s="448"/>
      <c r="N52" s="203" t="s">
        <v>429</v>
      </c>
      <c r="O52" s="74" t="s">
        <v>418</v>
      </c>
      <c r="P52" s="449" t="s">
        <v>430</v>
      </c>
      <c r="Q52" s="450"/>
      <c r="R52" s="451" t="s">
        <v>431</v>
      </c>
      <c r="S52" s="451"/>
      <c r="T52" s="451"/>
      <c r="U52" s="451"/>
      <c r="V52" s="447" t="s">
        <v>419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420</v>
      </c>
      <c r="B53" s="446"/>
      <c r="C53" s="201" t="s">
        <v>421</v>
      </c>
      <c r="D53" s="202" t="s">
        <v>422</v>
      </c>
      <c r="E53" s="201" t="s">
        <v>409</v>
      </c>
      <c r="F53" s="447" t="s">
        <v>419</v>
      </c>
      <c r="G53" s="447"/>
      <c r="H53" s="447"/>
      <c r="I53" s="447"/>
      <c r="J53" s="447"/>
      <c r="K53" s="447"/>
      <c r="L53" s="447"/>
      <c r="M53" s="448"/>
      <c r="N53" s="203"/>
      <c r="O53" s="74"/>
      <c r="P53" s="449"/>
      <c r="Q53" s="450"/>
      <c r="R53" s="451"/>
      <c r="S53" s="451"/>
      <c r="T53" s="451"/>
      <c r="U53" s="451"/>
      <c r="V53" s="447"/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410</v>
      </c>
      <c r="B54" s="446"/>
      <c r="C54" s="201" t="s">
        <v>423</v>
      </c>
      <c r="D54" s="202" t="s">
        <v>411</v>
      </c>
      <c r="E54" s="201" t="s">
        <v>412</v>
      </c>
      <c r="F54" s="447" t="s">
        <v>419</v>
      </c>
      <c r="G54" s="447"/>
      <c r="H54" s="447"/>
      <c r="I54" s="447"/>
      <c r="J54" s="447"/>
      <c r="K54" s="447"/>
      <c r="L54" s="447"/>
      <c r="M54" s="448"/>
      <c r="N54" s="203"/>
      <c r="O54" s="74"/>
      <c r="P54" s="449"/>
      <c r="Q54" s="450"/>
      <c r="R54" s="451"/>
      <c r="S54" s="451"/>
      <c r="T54" s="451"/>
      <c r="U54" s="451"/>
      <c r="V54" s="447"/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52"/>
      <c r="B55" s="451"/>
      <c r="C55" s="202"/>
      <c r="D55" s="202"/>
      <c r="E55" s="201"/>
      <c r="F55" s="447"/>
      <c r="G55" s="447"/>
      <c r="H55" s="447"/>
      <c r="I55" s="447"/>
      <c r="J55" s="447"/>
      <c r="K55" s="447"/>
      <c r="L55" s="447"/>
      <c r="M55" s="448"/>
      <c r="N55" s="203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45"/>
      <c r="B56" s="446"/>
      <c r="C56" s="201"/>
      <c r="D56" s="202"/>
      <c r="E56" s="201"/>
      <c r="F56" s="447"/>
      <c r="G56" s="447"/>
      <c r="H56" s="447"/>
      <c r="I56" s="447"/>
      <c r="J56" s="447"/>
      <c r="K56" s="447"/>
      <c r="L56" s="447"/>
      <c r="M56" s="448"/>
      <c r="N56" s="203"/>
      <c r="O56" s="74"/>
      <c r="P56" s="451"/>
      <c r="Q56" s="451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201"/>
      <c r="D57" s="202"/>
      <c r="E57" s="201"/>
      <c r="F57" s="447"/>
      <c r="G57" s="447"/>
      <c r="H57" s="447"/>
      <c r="I57" s="447"/>
      <c r="J57" s="447"/>
      <c r="K57" s="447"/>
      <c r="L57" s="447"/>
      <c r="M57" s="448"/>
      <c r="N57" s="203"/>
      <c r="O57" s="74"/>
      <c r="P57" s="449"/>
      <c r="Q57" s="450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201"/>
      <c r="D58" s="202"/>
      <c r="E58" s="201"/>
      <c r="F58" s="447"/>
      <c r="G58" s="447"/>
      <c r="H58" s="447"/>
      <c r="I58" s="447"/>
      <c r="J58" s="447"/>
      <c r="K58" s="447"/>
      <c r="L58" s="447"/>
      <c r="M58" s="448"/>
      <c r="N58" s="203"/>
      <c r="O58" s="74"/>
      <c r="P58" s="451"/>
      <c r="Q58" s="451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52"/>
      <c r="B59" s="451"/>
      <c r="C59" s="202"/>
      <c r="D59" s="202"/>
      <c r="E59" s="202"/>
      <c r="F59" s="447"/>
      <c r="G59" s="447"/>
      <c r="H59" s="447"/>
      <c r="I59" s="447"/>
      <c r="J59" s="447"/>
      <c r="K59" s="447"/>
      <c r="L59" s="447"/>
      <c r="M59" s="448"/>
      <c r="N59" s="203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  <c r="AF59" s="94">
        <f>8*3000</f>
        <v>24000</v>
      </c>
    </row>
    <row r="60" spans="1:32" ht="27" customHeight="1" thickBot="1">
      <c r="A60" s="453"/>
      <c r="B60" s="454"/>
      <c r="C60" s="205"/>
      <c r="D60" s="205"/>
      <c r="E60" s="205"/>
      <c r="F60" s="455"/>
      <c r="G60" s="455"/>
      <c r="H60" s="455"/>
      <c r="I60" s="455"/>
      <c r="J60" s="455"/>
      <c r="K60" s="455"/>
      <c r="L60" s="455"/>
      <c r="M60" s="456"/>
      <c r="N60" s="204"/>
      <c r="O60" s="121"/>
      <c r="P60" s="454"/>
      <c r="Q60" s="454"/>
      <c r="R60" s="454"/>
      <c r="S60" s="454"/>
      <c r="T60" s="454"/>
      <c r="U60" s="454"/>
      <c r="V60" s="455"/>
      <c r="W60" s="455"/>
      <c r="X60" s="455"/>
      <c r="Y60" s="455"/>
      <c r="Z60" s="455"/>
      <c r="AA60" s="455"/>
      <c r="AB60" s="455"/>
      <c r="AC60" s="455"/>
      <c r="AD60" s="456"/>
      <c r="AF60" s="94">
        <f>16*3000</f>
        <v>48000</v>
      </c>
    </row>
    <row r="61" spans="1:32" ht="27.75" thickBot="1">
      <c r="A61" s="457" t="s">
        <v>432</v>
      </c>
      <c r="B61" s="457"/>
      <c r="C61" s="457"/>
      <c r="D61" s="457"/>
      <c r="E61" s="457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458" t="s">
        <v>115</v>
      </c>
      <c r="B62" s="459"/>
      <c r="C62" s="206" t="s">
        <v>2</v>
      </c>
      <c r="D62" s="206" t="s">
        <v>38</v>
      </c>
      <c r="E62" s="206" t="s">
        <v>3</v>
      </c>
      <c r="F62" s="459" t="s">
        <v>112</v>
      </c>
      <c r="G62" s="459"/>
      <c r="H62" s="459"/>
      <c r="I62" s="459"/>
      <c r="J62" s="459"/>
      <c r="K62" s="459" t="s">
        <v>40</v>
      </c>
      <c r="L62" s="459"/>
      <c r="M62" s="206" t="s">
        <v>41</v>
      </c>
      <c r="N62" s="459" t="s">
        <v>42</v>
      </c>
      <c r="O62" s="459"/>
      <c r="P62" s="460" t="s">
        <v>43</v>
      </c>
      <c r="Q62" s="461"/>
      <c r="R62" s="460" t="s">
        <v>44</v>
      </c>
      <c r="S62" s="462"/>
      <c r="T62" s="462"/>
      <c r="U62" s="462"/>
      <c r="V62" s="462"/>
      <c r="W62" s="462"/>
      <c r="X62" s="462"/>
      <c r="Y62" s="462"/>
      <c r="Z62" s="462"/>
      <c r="AA62" s="461"/>
      <c r="AB62" s="459" t="s">
        <v>45</v>
      </c>
      <c r="AC62" s="459"/>
      <c r="AD62" s="463"/>
      <c r="AF62" s="94">
        <f>SUM(AF59:AF61)</f>
        <v>96000</v>
      </c>
    </row>
    <row r="63" spans="1:32" ht="25.5" customHeight="1">
      <c r="A63" s="464">
        <v>1</v>
      </c>
      <c r="B63" s="465"/>
      <c r="C63" s="124" t="s">
        <v>397</v>
      </c>
      <c r="D63" s="209"/>
      <c r="E63" s="207" t="s">
        <v>398</v>
      </c>
      <c r="F63" s="466" t="s">
        <v>399</v>
      </c>
      <c r="G63" s="467"/>
      <c r="H63" s="467"/>
      <c r="I63" s="467"/>
      <c r="J63" s="467"/>
      <c r="K63" s="467" t="s">
        <v>400</v>
      </c>
      <c r="L63" s="467"/>
      <c r="M63" s="54" t="s">
        <v>389</v>
      </c>
      <c r="N63" s="467">
        <v>4</v>
      </c>
      <c r="O63" s="467"/>
      <c r="P63" s="468">
        <v>1000</v>
      </c>
      <c r="Q63" s="468"/>
      <c r="R63" s="447" t="s">
        <v>433</v>
      </c>
      <c r="S63" s="447"/>
      <c r="T63" s="447"/>
      <c r="U63" s="447"/>
      <c r="V63" s="447"/>
      <c r="W63" s="447"/>
      <c r="X63" s="447"/>
      <c r="Y63" s="447"/>
      <c r="Z63" s="447"/>
      <c r="AA63" s="447"/>
      <c r="AB63" s="467"/>
      <c r="AC63" s="467"/>
      <c r="AD63" s="469"/>
      <c r="AF63" s="53"/>
    </row>
    <row r="64" spans="1:32" ht="25.5" customHeight="1">
      <c r="A64" s="464">
        <v>2</v>
      </c>
      <c r="B64" s="465"/>
      <c r="C64" s="124"/>
      <c r="D64" s="209"/>
      <c r="E64" s="207"/>
      <c r="F64" s="466"/>
      <c r="G64" s="467"/>
      <c r="H64" s="467"/>
      <c r="I64" s="467"/>
      <c r="J64" s="467"/>
      <c r="K64" s="467"/>
      <c r="L64" s="467"/>
      <c r="M64" s="54"/>
      <c r="N64" s="467"/>
      <c r="O64" s="467"/>
      <c r="P64" s="468"/>
      <c r="Q64" s="468"/>
      <c r="R64" s="447"/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3</v>
      </c>
      <c r="B65" s="465"/>
      <c r="C65" s="124"/>
      <c r="D65" s="209"/>
      <c r="E65" s="207"/>
      <c r="F65" s="466"/>
      <c r="G65" s="467"/>
      <c r="H65" s="467"/>
      <c r="I65" s="467"/>
      <c r="J65" s="467"/>
      <c r="K65" s="467"/>
      <c r="L65" s="467"/>
      <c r="M65" s="54"/>
      <c r="N65" s="467"/>
      <c r="O65" s="467"/>
      <c r="P65" s="468"/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4</v>
      </c>
      <c r="B66" s="465"/>
      <c r="C66" s="124"/>
      <c r="D66" s="209"/>
      <c r="E66" s="207"/>
      <c r="F66" s="466"/>
      <c r="G66" s="467"/>
      <c r="H66" s="467"/>
      <c r="I66" s="467"/>
      <c r="J66" s="467"/>
      <c r="K66" s="467"/>
      <c r="L66" s="467"/>
      <c r="M66" s="54"/>
      <c r="N66" s="467"/>
      <c r="O66" s="467"/>
      <c r="P66" s="468"/>
      <c r="Q66" s="468"/>
      <c r="R66" s="447"/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5</v>
      </c>
      <c r="B67" s="465"/>
      <c r="C67" s="124"/>
      <c r="D67" s="209"/>
      <c r="E67" s="207"/>
      <c r="F67" s="466"/>
      <c r="G67" s="467"/>
      <c r="H67" s="467"/>
      <c r="I67" s="467"/>
      <c r="J67" s="467"/>
      <c r="K67" s="467"/>
      <c r="L67" s="467"/>
      <c r="M67" s="54"/>
      <c r="N67" s="467"/>
      <c r="O67" s="467"/>
      <c r="P67" s="468"/>
      <c r="Q67" s="468"/>
      <c r="R67" s="447"/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6</v>
      </c>
      <c r="B68" s="465"/>
      <c r="C68" s="124"/>
      <c r="D68" s="209"/>
      <c r="E68" s="207"/>
      <c r="F68" s="466"/>
      <c r="G68" s="467"/>
      <c r="H68" s="467"/>
      <c r="I68" s="467"/>
      <c r="J68" s="467"/>
      <c r="K68" s="467"/>
      <c r="L68" s="467"/>
      <c r="M68" s="54"/>
      <c r="N68" s="467"/>
      <c r="O68" s="467"/>
      <c r="P68" s="468"/>
      <c r="Q68" s="468"/>
      <c r="R68" s="447"/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7</v>
      </c>
      <c r="B69" s="465"/>
      <c r="C69" s="124"/>
      <c r="D69" s="209"/>
      <c r="E69" s="207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8</v>
      </c>
      <c r="B70" s="465"/>
      <c r="C70" s="124"/>
      <c r="D70" s="209"/>
      <c r="E70" s="207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6.25" customHeight="1" thickBot="1">
      <c r="A71" s="470" t="s">
        <v>434</v>
      </c>
      <c r="B71" s="470"/>
      <c r="C71" s="470"/>
      <c r="D71" s="470"/>
      <c r="E71" s="470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471" t="s">
        <v>115</v>
      </c>
      <c r="B72" s="472"/>
      <c r="C72" s="208" t="s">
        <v>2</v>
      </c>
      <c r="D72" s="208" t="s">
        <v>38</v>
      </c>
      <c r="E72" s="208" t="s">
        <v>3</v>
      </c>
      <c r="F72" s="472" t="s">
        <v>39</v>
      </c>
      <c r="G72" s="472"/>
      <c r="H72" s="472"/>
      <c r="I72" s="472"/>
      <c r="J72" s="472"/>
      <c r="K72" s="473" t="s">
        <v>60</v>
      </c>
      <c r="L72" s="474"/>
      <c r="M72" s="474"/>
      <c r="N72" s="474"/>
      <c r="O72" s="474"/>
      <c r="P72" s="474"/>
      <c r="Q72" s="474"/>
      <c r="R72" s="474"/>
      <c r="S72" s="475"/>
      <c r="T72" s="472" t="s">
        <v>50</v>
      </c>
      <c r="U72" s="472"/>
      <c r="V72" s="473" t="s">
        <v>51</v>
      </c>
      <c r="W72" s="475"/>
      <c r="X72" s="474" t="s">
        <v>52</v>
      </c>
      <c r="Y72" s="474"/>
      <c r="Z72" s="474"/>
      <c r="AA72" s="474"/>
      <c r="AB72" s="474"/>
      <c r="AC72" s="474"/>
      <c r="AD72" s="476"/>
      <c r="AF72" s="53"/>
    </row>
    <row r="73" spans="1:32" ht="33.75" customHeight="1">
      <c r="A73" s="485">
        <v>1</v>
      </c>
      <c r="B73" s="486"/>
      <c r="C73" s="210" t="s">
        <v>118</v>
      </c>
      <c r="D73" s="210"/>
      <c r="E73" s="71" t="s">
        <v>124</v>
      </c>
      <c r="F73" s="487" t="s">
        <v>125</v>
      </c>
      <c r="G73" s="488"/>
      <c r="H73" s="488"/>
      <c r="I73" s="488"/>
      <c r="J73" s="489"/>
      <c r="K73" s="490" t="s">
        <v>120</v>
      </c>
      <c r="L73" s="491"/>
      <c r="M73" s="491"/>
      <c r="N73" s="491"/>
      <c r="O73" s="491"/>
      <c r="P73" s="491"/>
      <c r="Q73" s="491"/>
      <c r="R73" s="491"/>
      <c r="S73" s="492"/>
      <c r="T73" s="493">
        <v>42901</v>
      </c>
      <c r="U73" s="494"/>
      <c r="V73" s="495"/>
      <c r="W73" s="495"/>
      <c r="X73" s="496"/>
      <c r="Y73" s="496"/>
      <c r="Z73" s="496"/>
      <c r="AA73" s="496"/>
      <c r="AB73" s="496"/>
      <c r="AC73" s="496"/>
      <c r="AD73" s="497"/>
      <c r="AF73" s="53"/>
    </row>
    <row r="74" spans="1:32" ht="30" customHeight="1">
      <c r="A74" s="477">
        <f>A73+1</f>
        <v>2</v>
      </c>
      <c r="B74" s="478"/>
      <c r="C74" s="209" t="s">
        <v>118</v>
      </c>
      <c r="D74" s="209"/>
      <c r="E74" s="35" t="s">
        <v>121</v>
      </c>
      <c r="F74" s="478" t="s">
        <v>122</v>
      </c>
      <c r="G74" s="478"/>
      <c r="H74" s="478"/>
      <c r="I74" s="478"/>
      <c r="J74" s="478"/>
      <c r="K74" s="479" t="s">
        <v>123</v>
      </c>
      <c r="L74" s="480"/>
      <c r="M74" s="480"/>
      <c r="N74" s="480"/>
      <c r="O74" s="480"/>
      <c r="P74" s="480"/>
      <c r="Q74" s="480"/>
      <c r="R74" s="480"/>
      <c r="S74" s="481"/>
      <c r="T74" s="482">
        <v>42867</v>
      </c>
      <c r="U74" s="482"/>
      <c r="V74" s="482"/>
      <c r="W74" s="482"/>
      <c r="X74" s="483"/>
      <c r="Y74" s="483"/>
      <c r="Z74" s="483"/>
      <c r="AA74" s="483"/>
      <c r="AB74" s="483"/>
      <c r="AC74" s="483"/>
      <c r="AD74" s="484"/>
      <c r="AF74" s="53"/>
    </row>
    <row r="75" spans="1:32" ht="30" customHeight="1">
      <c r="A75" s="477">
        <f t="shared" ref="A75:A81" si="11">A74+1</f>
        <v>3</v>
      </c>
      <c r="B75" s="478"/>
      <c r="C75" s="209" t="s">
        <v>144</v>
      </c>
      <c r="D75" s="209"/>
      <c r="E75" s="35" t="s">
        <v>139</v>
      </c>
      <c r="F75" s="478" t="s">
        <v>145</v>
      </c>
      <c r="G75" s="478"/>
      <c r="H75" s="478"/>
      <c r="I75" s="478"/>
      <c r="J75" s="478"/>
      <c r="K75" s="479" t="s">
        <v>120</v>
      </c>
      <c r="L75" s="480"/>
      <c r="M75" s="480"/>
      <c r="N75" s="480"/>
      <c r="O75" s="480"/>
      <c r="P75" s="480"/>
      <c r="Q75" s="480"/>
      <c r="R75" s="480"/>
      <c r="S75" s="481"/>
      <c r="T75" s="482">
        <v>42937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si="11"/>
        <v>4</v>
      </c>
      <c r="B76" s="478"/>
      <c r="C76" s="209" t="s">
        <v>119</v>
      </c>
      <c r="D76" s="209"/>
      <c r="E76" s="35" t="s">
        <v>137</v>
      </c>
      <c r="F76" s="478" t="s">
        <v>138</v>
      </c>
      <c r="G76" s="478"/>
      <c r="H76" s="478"/>
      <c r="I76" s="478"/>
      <c r="J76" s="478"/>
      <c r="K76" s="479" t="s">
        <v>140</v>
      </c>
      <c r="L76" s="480"/>
      <c r="M76" s="480"/>
      <c r="N76" s="480"/>
      <c r="O76" s="480"/>
      <c r="P76" s="480"/>
      <c r="Q76" s="480"/>
      <c r="R76" s="480"/>
      <c r="S76" s="481"/>
      <c r="T76" s="482">
        <v>42920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1"/>
        <v>5</v>
      </c>
      <c r="B77" s="478"/>
      <c r="C77" s="209"/>
      <c r="D77" s="209"/>
      <c r="E77" s="35"/>
      <c r="F77" s="478"/>
      <c r="G77" s="478"/>
      <c r="H77" s="478"/>
      <c r="I77" s="478"/>
      <c r="J77" s="478"/>
      <c r="K77" s="479"/>
      <c r="L77" s="480"/>
      <c r="M77" s="480"/>
      <c r="N77" s="480"/>
      <c r="O77" s="480"/>
      <c r="P77" s="480"/>
      <c r="Q77" s="480"/>
      <c r="R77" s="480"/>
      <c r="S77" s="481"/>
      <c r="T77" s="482"/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1"/>
        <v>6</v>
      </c>
      <c r="B78" s="478"/>
      <c r="C78" s="209"/>
      <c r="D78" s="209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1"/>
        <v>7</v>
      </c>
      <c r="B79" s="478"/>
      <c r="C79" s="209"/>
      <c r="D79" s="209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1"/>
        <v>8</v>
      </c>
      <c r="B80" s="478"/>
      <c r="C80" s="209"/>
      <c r="D80" s="209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1"/>
        <v>9</v>
      </c>
      <c r="B81" s="478"/>
      <c r="C81" s="209"/>
      <c r="D81" s="209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6" thickBot="1">
      <c r="A82" s="470" t="s">
        <v>435</v>
      </c>
      <c r="B82" s="470"/>
      <c r="C82" s="470"/>
      <c r="D82" s="470"/>
      <c r="E82" s="470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498" t="s">
        <v>37</v>
      </c>
      <c r="B83" s="499"/>
      <c r="C83" s="499" t="s">
        <v>53</v>
      </c>
      <c r="D83" s="499"/>
      <c r="E83" s="499" t="s">
        <v>54</v>
      </c>
      <c r="F83" s="499"/>
      <c r="G83" s="499"/>
      <c r="H83" s="499"/>
      <c r="I83" s="499"/>
      <c r="J83" s="499"/>
      <c r="K83" s="499" t="s">
        <v>55</v>
      </c>
      <c r="L83" s="499"/>
      <c r="M83" s="499"/>
      <c r="N83" s="499"/>
      <c r="O83" s="499"/>
      <c r="P83" s="499"/>
      <c r="Q83" s="499"/>
      <c r="R83" s="499"/>
      <c r="S83" s="499"/>
      <c r="T83" s="499" t="s">
        <v>56</v>
      </c>
      <c r="U83" s="499"/>
      <c r="V83" s="499" t="s">
        <v>57</v>
      </c>
      <c r="W83" s="499"/>
      <c r="X83" s="499"/>
      <c r="Y83" s="499" t="s">
        <v>52</v>
      </c>
      <c r="Z83" s="499"/>
      <c r="AA83" s="499"/>
      <c r="AB83" s="499"/>
      <c r="AC83" s="499"/>
      <c r="AD83" s="500"/>
      <c r="AF83" s="53"/>
    </row>
    <row r="84" spans="1:32" ht="30.75" customHeight="1">
      <c r="A84" s="485">
        <v>1</v>
      </c>
      <c r="B84" s="486"/>
      <c r="C84" s="501">
        <v>1</v>
      </c>
      <c r="D84" s="501"/>
      <c r="E84" s="501" t="s">
        <v>129</v>
      </c>
      <c r="F84" s="501"/>
      <c r="G84" s="501"/>
      <c r="H84" s="501"/>
      <c r="I84" s="501"/>
      <c r="J84" s="501"/>
      <c r="K84" s="501" t="s">
        <v>130</v>
      </c>
      <c r="L84" s="501"/>
      <c r="M84" s="501"/>
      <c r="N84" s="501"/>
      <c r="O84" s="501"/>
      <c r="P84" s="501"/>
      <c r="Q84" s="501"/>
      <c r="R84" s="501"/>
      <c r="S84" s="501"/>
      <c r="T84" s="501" t="s">
        <v>131</v>
      </c>
      <c r="U84" s="501"/>
      <c r="V84" s="502">
        <v>1500000</v>
      </c>
      <c r="W84" s="502"/>
      <c r="X84" s="502"/>
      <c r="Y84" s="503" t="s">
        <v>132</v>
      </c>
      <c r="Z84" s="503"/>
      <c r="AA84" s="503"/>
      <c r="AB84" s="503"/>
      <c r="AC84" s="503"/>
      <c r="AD84" s="504"/>
      <c r="AF84" s="53"/>
    </row>
    <row r="85" spans="1:32" ht="30.75" customHeight="1">
      <c r="A85" s="477">
        <v>2</v>
      </c>
      <c r="B85" s="478"/>
      <c r="C85" s="512"/>
      <c r="D85" s="512"/>
      <c r="E85" s="512"/>
      <c r="F85" s="512"/>
      <c r="G85" s="512"/>
      <c r="H85" s="512"/>
      <c r="I85" s="512"/>
      <c r="J85" s="512"/>
      <c r="K85" s="512"/>
      <c r="L85" s="512"/>
      <c r="M85" s="512"/>
      <c r="N85" s="512"/>
      <c r="O85" s="512"/>
      <c r="P85" s="512"/>
      <c r="Q85" s="512"/>
      <c r="R85" s="512"/>
      <c r="S85" s="512"/>
      <c r="T85" s="513"/>
      <c r="U85" s="513"/>
      <c r="V85" s="514"/>
      <c r="W85" s="514"/>
      <c r="X85" s="514"/>
      <c r="Y85" s="505"/>
      <c r="Z85" s="505"/>
      <c r="AA85" s="505"/>
      <c r="AB85" s="505"/>
      <c r="AC85" s="505"/>
      <c r="AD85" s="506"/>
      <c r="AF85" s="53"/>
    </row>
    <row r="86" spans="1:32" ht="30.75" customHeight="1" thickBot="1">
      <c r="A86" s="507">
        <v>3</v>
      </c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09"/>
      <c r="U86" s="509"/>
      <c r="V86" s="509"/>
      <c r="W86" s="509"/>
      <c r="X86" s="509"/>
      <c r="Y86" s="510"/>
      <c r="Z86" s="510"/>
      <c r="AA86" s="510"/>
      <c r="AB86" s="510"/>
      <c r="AC86" s="510"/>
      <c r="AD86" s="511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J87"/>
  <sheetViews>
    <sheetView zoomScale="72" zoomScaleNormal="72" zoomScaleSheetLayoutView="70" workbookViewId="0">
      <selection activeCell="L18" sqref="L1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2" width="7.625" style="53" bestFit="1" customWidth="1"/>
    <col min="23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04" t="s">
        <v>436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05"/>
      <c r="B3" s="405"/>
      <c r="C3" s="405"/>
      <c r="D3" s="405"/>
      <c r="E3" s="405"/>
      <c r="F3" s="405"/>
      <c r="G3" s="40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06" t="s">
        <v>0</v>
      </c>
      <c r="B4" s="408" t="s">
        <v>1</v>
      </c>
      <c r="C4" s="408" t="s">
        <v>2</v>
      </c>
      <c r="D4" s="411" t="s">
        <v>3</v>
      </c>
      <c r="E4" s="413" t="s">
        <v>4</v>
      </c>
      <c r="F4" s="411" t="s">
        <v>5</v>
      </c>
      <c r="G4" s="408" t="s">
        <v>6</v>
      </c>
      <c r="H4" s="414" t="s">
        <v>7</v>
      </c>
      <c r="I4" s="435" t="s">
        <v>8</v>
      </c>
      <c r="J4" s="436"/>
      <c r="K4" s="436"/>
      <c r="L4" s="436"/>
      <c r="M4" s="436"/>
      <c r="N4" s="436"/>
      <c r="O4" s="437"/>
      <c r="P4" s="438" t="s">
        <v>9</v>
      </c>
      <c r="Q4" s="439"/>
      <c r="R4" s="440" t="s">
        <v>10</v>
      </c>
      <c r="S4" s="440"/>
      <c r="T4" s="440"/>
      <c r="U4" s="440"/>
      <c r="V4" s="440"/>
      <c r="W4" s="441" t="s">
        <v>11</v>
      </c>
      <c r="X4" s="440"/>
      <c r="Y4" s="440"/>
      <c r="Z4" s="440"/>
      <c r="AA4" s="442"/>
      <c r="AB4" s="443" t="s">
        <v>12</v>
      </c>
      <c r="AC4" s="416" t="s">
        <v>13</v>
      </c>
      <c r="AD4" s="416" t="s">
        <v>14</v>
      </c>
      <c r="AE4" s="58"/>
    </row>
    <row r="5" spans="1:32" ht="51" customHeight="1" thickBot="1">
      <c r="A5" s="407"/>
      <c r="B5" s="409"/>
      <c r="C5" s="410"/>
      <c r="D5" s="412"/>
      <c r="E5" s="412"/>
      <c r="F5" s="412"/>
      <c r="G5" s="409"/>
      <c r="H5" s="415"/>
      <c r="I5" s="59" t="s">
        <v>15</v>
      </c>
      <c r="J5" s="60" t="s">
        <v>16</v>
      </c>
      <c r="K5" s="222" t="s">
        <v>17</v>
      </c>
      <c r="L5" s="222" t="s">
        <v>18</v>
      </c>
      <c r="M5" s="222" t="s">
        <v>19</v>
      </c>
      <c r="N5" s="22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44"/>
      <c r="AC5" s="417"/>
      <c r="AD5" s="417"/>
      <c r="AE5" s="58"/>
    </row>
    <row r="6" spans="1:32" ht="27" customHeight="1">
      <c r="A6" s="108">
        <v>1</v>
      </c>
      <c r="B6" s="11" t="s">
        <v>59</v>
      </c>
      <c r="C6" s="11" t="s">
        <v>127</v>
      </c>
      <c r="D6" s="55" t="s">
        <v>128</v>
      </c>
      <c r="E6" s="56"/>
      <c r="F6" s="12">
        <v>7301</v>
      </c>
      <c r="G6" s="36">
        <v>1</v>
      </c>
      <c r="H6" s="38">
        <v>20</v>
      </c>
      <c r="I6" s="7">
        <v>1000</v>
      </c>
      <c r="J6" s="14">
        <v>1970</v>
      </c>
      <c r="K6" s="15">
        <f>L6+1962</f>
        <v>1962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12" si="7">$AD$22</f>
        <v>0.40522929135047792</v>
      </c>
      <c r="AF6" s="94">
        <f t="shared" ref="AF6:AF21" si="8">A6</f>
        <v>1</v>
      </c>
    </row>
    <row r="7" spans="1:32" ht="27" customHeight="1">
      <c r="A7" s="108">
        <v>2</v>
      </c>
      <c r="B7" s="11" t="s">
        <v>404</v>
      </c>
      <c r="C7" s="37" t="s">
        <v>119</v>
      </c>
      <c r="D7" s="55" t="s">
        <v>151</v>
      </c>
      <c r="E7" s="57" t="s">
        <v>171</v>
      </c>
      <c r="F7" s="33" t="s">
        <v>133</v>
      </c>
      <c r="G7" s="12">
        <v>1</v>
      </c>
      <c r="H7" s="13">
        <v>25</v>
      </c>
      <c r="I7" s="34">
        <v>20000</v>
      </c>
      <c r="J7" s="5">
        <v>4660</v>
      </c>
      <c r="K7" s="15">
        <f>L7+2137</f>
        <v>6790</v>
      </c>
      <c r="L7" s="15">
        <f>2427+2226</f>
        <v>4653</v>
      </c>
      <c r="M7" s="16">
        <f t="shared" si="0"/>
        <v>4653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0.99849785407725322</v>
      </c>
      <c r="AC7" s="9">
        <f t="shared" si="5"/>
        <v>1</v>
      </c>
      <c r="AD7" s="10">
        <f t="shared" si="6"/>
        <v>0.99849785407725322</v>
      </c>
      <c r="AE7" s="39">
        <f t="shared" si="7"/>
        <v>0.40522929135047792</v>
      </c>
      <c r="AF7" s="94">
        <f t="shared" si="8"/>
        <v>2</v>
      </c>
    </row>
    <row r="8" spans="1:32" ht="27" customHeight="1">
      <c r="A8" s="109">
        <v>3</v>
      </c>
      <c r="B8" s="11" t="s">
        <v>404</v>
      </c>
      <c r="C8" s="11" t="s">
        <v>119</v>
      </c>
      <c r="D8" s="55" t="s">
        <v>165</v>
      </c>
      <c r="E8" s="56" t="s">
        <v>166</v>
      </c>
      <c r="F8" s="12" t="s">
        <v>167</v>
      </c>
      <c r="G8" s="36">
        <v>1</v>
      </c>
      <c r="H8" s="38">
        <v>25</v>
      </c>
      <c r="I8" s="7">
        <v>30000</v>
      </c>
      <c r="J8" s="14">
        <v>5180</v>
      </c>
      <c r="K8" s="15">
        <f>8000+L8+4566</f>
        <v>17737</v>
      </c>
      <c r="L8" s="15">
        <f>2708+2463</f>
        <v>5171</v>
      </c>
      <c r="M8" s="16">
        <f t="shared" si="0"/>
        <v>5171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0.99826254826254823</v>
      </c>
      <c r="AC8" s="9">
        <f t="shared" si="5"/>
        <v>1</v>
      </c>
      <c r="AD8" s="10">
        <f t="shared" si="6"/>
        <v>0.99826254826254823</v>
      </c>
      <c r="AE8" s="39">
        <f t="shared" si="7"/>
        <v>0.40522929135047792</v>
      </c>
      <c r="AF8" s="94">
        <f>A8</f>
        <v>3</v>
      </c>
    </row>
    <row r="9" spans="1:32" ht="27" customHeight="1">
      <c r="A9" s="110">
        <v>4</v>
      </c>
      <c r="B9" s="11" t="s">
        <v>439</v>
      </c>
      <c r="C9" s="11" t="s">
        <v>326</v>
      </c>
      <c r="D9" s="55" t="s">
        <v>437</v>
      </c>
      <c r="E9" s="56" t="s">
        <v>438</v>
      </c>
      <c r="F9" s="12" t="s">
        <v>440</v>
      </c>
      <c r="G9" s="36">
        <v>1</v>
      </c>
      <c r="H9" s="38">
        <v>25</v>
      </c>
      <c r="I9" s="34">
        <v>650</v>
      </c>
      <c r="J9" s="5">
        <v>4324</v>
      </c>
      <c r="K9" s="15">
        <f>L9</f>
        <v>4324</v>
      </c>
      <c r="L9" s="15">
        <v>4324</v>
      </c>
      <c r="M9" s="16">
        <f t="shared" si="0"/>
        <v>4324</v>
      </c>
      <c r="N9" s="16">
        <v>0</v>
      </c>
      <c r="O9" s="62">
        <f t="shared" si="1"/>
        <v>0</v>
      </c>
      <c r="P9" s="42">
        <f t="shared" si="2"/>
        <v>11</v>
      </c>
      <c r="Q9" s="43">
        <f t="shared" si="3"/>
        <v>13</v>
      </c>
      <c r="R9" s="7"/>
      <c r="S9" s="6"/>
      <c r="T9" s="17"/>
      <c r="U9" s="17"/>
      <c r="V9" s="18">
        <v>13</v>
      </c>
      <c r="W9" s="19"/>
      <c r="X9" s="17"/>
      <c r="Y9" s="20"/>
      <c r="Z9" s="20"/>
      <c r="AA9" s="21"/>
      <c r="AB9" s="8">
        <f t="shared" si="4"/>
        <v>1</v>
      </c>
      <c r="AC9" s="9">
        <f t="shared" si="5"/>
        <v>0.45833333333333331</v>
      </c>
      <c r="AD9" s="10">
        <f t="shared" si="6"/>
        <v>0.45833333333333331</v>
      </c>
      <c r="AE9" s="39">
        <f t="shared" si="7"/>
        <v>0.40522929135047792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11" t="s">
        <v>251</v>
      </c>
      <c r="D10" s="55" t="s">
        <v>291</v>
      </c>
      <c r="E10" s="57" t="s">
        <v>331</v>
      </c>
      <c r="F10" s="12" t="s">
        <v>254</v>
      </c>
      <c r="G10" s="12">
        <v>1</v>
      </c>
      <c r="H10" s="13">
        <v>25</v>
      </c>
      <c r="I10" s="34">
        <v>2000</v>
      </c>
      <c r="J10" s="14">
        <v>812</v>
      </c>
      <c r="K10" s="15">
        <f>L10+703+47</f>
        <v>1562</v>
      </c>
      <c r="L10" s="15">
        <v>812</v>
      </c>
      <c r="M10" s="16">
        <f t="shared" si="0"/>
        <v>812</v>
      </c>
      <c r="N10" s="16">
        <v>0</v>
      </c>
      <c r="O10" s="62">
        <f t="shared" si="1"/>
        <v>0</v>
      </c>
      <c r="P10" s="42">
        <f t="shared" si="2"/>
        <v>10</v>
      </c>
      <c r="Q10" s="43">
        <f t="shared" si="3"/>
        <v>14</v>
      </c>
      <c r="R10" s="7"/>
      <c r="S10" s="6"/>
      <c r="T10" s="17"/>
      <c r="U10" s="17"/>
      <c r="V10" s="18">
        <v>14</v>
      </c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0.41666666666666669</v>
      </c>
      <c r="AD10" s="10">
        <f t="shared" si="6"/>
        <v>0.41666666666666669</v>
      </c>
      <c r="AE10" s="39">
        <f t="shared" si="7"/>
        <v>0.40522929135047792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118</v>
      </c>
      <c r="D11" s="55" t="s">
        <v>168</v>
      </c>
      <c r="E11" s="56" t="s">
        <v>169</v>
      </c>
      <c r="F11" s="12" t="s">
        <v>170</v>
      </c>
      <c r="G11" s="12">
        <v>1</v>
      </c>
      <c r="H11" s="13">
        <v>25</v>
      </c>
      <c r="I11" s="34">
        <v>5000</v>
      </c>
      <c r="J11" s="14">
        <v>2310</v>
      </c>
      <c r="K11" s="15">
        <f>L11+2712+4405+4494+1990+4336+2309</f>
        <v>20246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0.40522929135047792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11" t="s">
        <v>293</v>
      </c>
      <c r="D12" s="55" t="s">
        <v>408</v>
      </c>
      <c r="E12" s="57" t="s">
        <v>409</v>
      </c>
      <c r="F12" s="12" t="s">
        <v>296</v>
      </c>
      <c r="G12" s="12">
        <v>1</v>
      </c>
      <c r="H12" s="13">
        <v>25</v>
      </c>
      <c r="I12" s="7">
        <v>4000</v>
      </c>
      <c r="J12" s="14">
        <v>1170</v>
      </c>
      <c r="K12" s="15">
        <f>L12+3428</f>
        <v>4594</v>
      </c>
      <c r="L12" s="15">
        <v>1166</v>
      </c>
      <c r="M12" s="16">
        <f t="shared" si="0"/>
        <v>1166</v>
      </c>
      <c r="N12" s="16">
        <v>0</v>
      </c>
      <c r="O12" s="62">
        <f t="shared" si="1"/>
        <v>0</v>
      </c>
      <c r="P12" s="42">
        <f t="shared" si="2"/>
        <v>6</v>
      </c>
      <c r="Q12" s="43">
        <f t="shared" si="3"/>
        <v>18</v>
      </c>
      <c r="R12" s="7"/>
      <c r="S12" s="6"/>
      <c r="T12" s="17"/>
      <c r="U12" s="17"/>
      <c r="V12" s="18"/>
      <c r="W12" s="19">
        <v>18</v>
      </c>
      <c r="X12" s="17"/>
      <c r="Y12" s="20"/>
      <c r="Z12" s="20"/>
      <c r="AA12" s="21"/>
      <c r="AB12" s="8">
        <f t="shared" si="4"/>
        <v>0.99658119658119659</v>
      </c>
      <c r="AC12" s="9">
        <f t="shared" si="5"/>
        <v>0.25</v>
      </c>
      <c r="AD12" s="10">
        <f t="shared" si="6"/>
        <v>0.24914529914529915</v>
      </c>
      <c r="AE12" s="39">
        <f t="shared" si="7"/>
        <v>0.40522929135047792</v>
      </c>
      <c r="AF12" s="94">
        <f t="shared" si="8"/>
        <v>7</v>
      </c>
    </row>
    <row r="13" spans="1:32" ht="27" customHeight="1">
      <c r="A13" s="110">
        <v>7</v>
      </c>
      <c r="B13" s="11" t="s">
        <v>441</v>
      </c>
      <c r="C13" s="11" t="s">
        <v>293</v>
      </c>
      <c r="D13" s="55" t="s">
        <v>294</v>
      </c>
      <c r="E13" s="57" t="s">
        <v>295</v>
      </c>
      <c r="F13" s="12" t="s">
        <v>296</v>
      </c>
      <c r="G13" s="12">
        <v>1</v>
      </c>
      <c r="H13" s="13">
        <v>25</v>
      </c>
      <c r="I13" s="7">
        <v>10000</v>
      </c>
      <c r="J13" s="14">
        <v>3050</v>
      </c>
      <c r="K13" s="15">
        <f>L13</f>
        <v>3048</v>
      </c>
      <c r="L13" s="15">
        <f>606+2442</f>
        <v>3048</v>
      </c>
      <c r="M13" s="16">
        <f t="shared" si="0"/>
        <v>3048</v>
      </c>
      <c r="N13" s="16">
        <v>0</v>
      </c>
      <c r="O13" s="62">
        <f t="shared" si="1"/>
        <v>0</v>
      </c>
      <c r="P13" s="42">
        <f t="shared" si="2"/>
        <v>17</v>
      </c>
      <c r="Q13" s="43">
        <f t="shared" si="3"/>
        <v>7</v>
      </c>
      <c r="R13" s="7"/>
      <c r="S13" s="6"/>
      <c r="T13" s="17">
        <v>7</v>
      </c>
      <c r="U13" s="17"/>
      <c r="V13" s="18"/>
      <c r="W13" s="19"/>
      <c r="X13" s="17"/>
      <c r="Y13" s="20"/>
      <c r="Z13" s="20"/>
      <c r="AA13" s="21"/>
      <c r="AB13" s="8">
        <f t="shared" si="4"/>
        <v>0.999344262295082</v>
      </c>
      <c r="AC13" s="9">
        <f t="shared" si="5"/>
        <v>0.70833333333333337</v>
      </c>
      <c r="AD13" s="10">
        <f t="shared" si="6"/>
        <v>0.70786885245901643</v>
      </c>
      <c r="AE13" s="39">
        <f t="shared" ref="AE13" si="9">$AD$21</f>
        <v>0.99986527450319973</v>
      </c>
      <c r="AF13" s="94">
        <f t="shared" si="8"/>
        <v>7</v>
      </c>
    </row>
    <row r="14" spans="1:32" ht="27" customHeight="1">
      <c r="A14" s="110">
        <v>8</v>
      </c>
      <c r="B14" s="11" t="s">
        <v>59</v>
      </c>
      <c r="C14" s="11" t="s">
        <v>332</v>
      </c>
      <c r="D14" s="55"/>
      <c r="E14" s="57" t="s">
        <v>333</v>
      </c>
      <c r="F14" s="12">
        <v>7301</v>
      </c>
      <c r="G14" s="12">
        <v>1</v>
      </c>
      <c r="H14" s="13">
        <v>25</v>
      </c>
      <c r="I14" s="7">
        <v>1000</v>
      </c>
      <c r="J14" s="14">
        <v>4240</v>
      </c>
      <c r="K14" s="15">
        <f>L14+4239</f>
        <v>4239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/>
      <c r="X14" s="17"/>
      <c r="Y14" s="20"/>
      <c r="Z14" s="20"/>
      <c r="AA14" s="21">
        <v>24</v>
      </c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ref="AE14:AE21" si="10">$AD$22</f>
        <v>0.40522929135047792</v>
      </c>
      <c r="AF14" s="94">
        <f t="shared" si="8"/>
        <v>8</v>
      </c>
    </row>
    <row r="15" spans="1:32" ht="27" customHeight="1">
      <c r="A15" s="109">
        <v>9</v>
      </c>
      <c r="B15" s="11" t="s">
        <v>59</v>
      </c>
      <c r="C15" s="37" t="s">
        <v>118</v>
      </c>
      <c r="D15" s="55" t="s">
        <v>58</v>
      </c>
      <c r="E15" s="57" t="s">
        <v>159</v>
      </c>
      <c r="F15" s="33" t="s">
        <v>160</v>
      </c>
      <c r="G15" s="36">
        <v>1</v>
      </c>
      <c r="H15" s="38">
        <v>40</v>
      </c>
      <c r="I15" s="7">
        <v>200</v>
      </c>
      <c r="J15" s="5">
        <v>556</v>
      </c>
      <c r="K15" s="15">
        <f>L15+106+556</f>
        <v>662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10"/>
        <v>0.40522929135047792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11" t="s">
        <v>141</v>
      </c>
      <c r="D16" s="55" t="s">
        <v>137</v>
      </c>
      <c r="E16" s="57" t="s">
        <v>334</v>
      </c>
      <c r="F16" s="12" t="s">
        <v>143</v>
      </c>
      <c r="G16" s="12">
        <v>1</v>
      </c>
      <c r="H16" s="13">
        <v>25</v>
      </c>
      <c r="I16" s="34">
        <v>650</v>
      </c>
      <c r="J16" s="14">
        <v>910</v>
      </c>
      <c r="K16" s="15">
        <f>L16+903</f>
        <v>903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10"/>
        <v>0.40522929135047792</v>
      </c>
      <c r="AF16" s="94">
        <f t="shared" si="8"/>
        <v>10</v>
      </c>
    </row>
    <row r="17" spans="1:36" ht="27.75" customHeight="1">
      <c r="A17" s="109">
        <v>11</v>
      </c>
      <c r="B17" s="11" t="s">
        <v>59</v>
      </c>
      <c r="C17" s="11" t="s">
        <v>316</v>
      </c>
      <c r="D17" s="55" t="s">
        <v>336</v>
      </c>
      <c r="E17" s="56" t="s">
        <v>337</v>
      </c>
      <c r="F17" s="12" t="s">
        <v>338</v>
      </c>
      <c r="G17" s="36">
        <v>3</v>
      </c>
      <c r="H17" s="38">
        <v>25</v>
      </c>
      <c r="I17" s="7">
        <v>30000</v>
      </c>
      <c r="J17" s="14">
        <v>9360</v>
      </c>
      <c r="K17" s="15">
        <f>L17+11564+5784+14091</f>
        <v>40799</v>
      </c>
      <c r="L17" s="15">
        <f>645*3+2475*3</f>
        <v>9360</v>
      </c>
      <c r="M17" s="16">
        <f t="shared" si="0"/>
        <v>9360</v>
      </c>
      <c r="N17" s="16">
        <v>0</v>
      </c>
      <c r="O17" s="62">
        <f t="shared" si="1"/>
        <v>0</v>
      </c>
      <c r="P17" s="42">
        <f t="shared" si="2"/>
        <v>16</v>
      </c>
      <c r="Q17" s="43">
        <f t="shared" si="3"/>
        <v>8</v>
      </c>
      <c r="R17" s="7"/>
      <c r="S17" s="6"/>
      <c r="T17" s="17"/>
      <c r="U17" s="17"/>
      <c r="V17" s="18"/>
      <c r="W17" s="19">
        <v>8</v>
      </c>
      <c r="X17" s="17"/>
      <c r="Y17" s="20"/>
      <c r="Z17" s="20"/>
      <c r="AA17" s="21"/>
      <c r="AB17" s="8">
        <f t="shared" si="4"/>
        <v>1</v>
      </c>
      <c r="AC17" s="9">
        <f t="shared" si="5"/>
        <v>0.66666666666666663</v>
      </c>
      <c r="AD17" s="10">
        <f t="shared" si="6"/>
        <v>0.66666666666666663</v>
      </c>
      <c r="AE17" s="39">
        <f t="shared" si="10"/>
        <v>0.40522929135047792</v>
      </c>
      <c r="AF17" s="94">
        <f>A17</f>
        <v>11</v>
      </c>
      <c r="AJ17" s="15"/>
    </row>
    <row r="18" spans="1:36" ht="27" customHeight="1">
      <c r="A18" s="109">
        <v>12</v>
      </c>
      <c r="B18" s="11" t="s">
        <v>59</v>
      </c>
      <c r="C18" s="37" t="s">
        <v>410</v>
      </c>
      <c r="D18" s="55" t="s">
        <v>411</v>
      </c>
      <c r="E18" s="56" t="s">
        <v>412</v>
      </c>
      <c r="F18" s="12">
        <v>8301</v>
      </c>
      <c r="G18" s="12">
        <v>1</v>
      </c>
      <c r="H18" s="13">
        <v>25</v>
      </c>
      <c r="I18" s="34">
        <v>500</v>
      </c>
      <c r="J18" s="5">
        <v>632</v>
      </c>
      <c r="K18" s="15">
        <f>L18+632</f>
        <v>632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10"/>
        <v>0.40522929135047792</v>
      </c>
      <c r="AF18" s="94">
        <f t="shared" si="8"/>
        <v>12</v>
      </c>
    </row>
    <row r="19" spans="1:36" ht="27" customHeight="1">
      <c r="A19" s="110">
        <v>13</v>
      </c>
      <c r="B19" s="11" t="s">
        <v>59</v>
      </c>
      <c r="C19" s="37" t="s">
        <v>118</v>
      </c>
      <c r="D19" s="55" t="s">
        <v>216</v>
      </c>
      <c r="E19" s="57" t="s">
        <v>217</v>
      </c>
      <c r="F19" s="33" t="s">
        <v>218</v>
      </c>
      <c r="G19" s="12">
        <v>1</v>
      </c>
      <c r="H19" s="13">
        <v>25</v>
      </c>
      <c r="I19" s="34">
        <v>17000</v>
      </c>
      <c r="J19" s="5">
        <v>2310</v>
      </c>
      <c r="K19" s="15">
        <f>L19+1515+4929+5407+5379+2309</f>
        <v>19539</v>
      </c>
      <c r="L19" s="15">
        <v>0</v>
      </c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/>
      <c r="X19" s="17"/>
      <c r="Y19" s="20"/>
      <c r="Z19" s="20"/>
      <c r="AA19" s="21">
        <v>24</v>
      </c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10"/>
        <v>0.40522929135047792</v>
      </c>
      <c r="AF19" s="94">
        <f t="shared" si="8"/>
        <v>13</v>
      </c>
    </row>
    <row r="20" spans="1:36" ht="27" customHeight="1">
      <c r="A20" s="110">
        <v>14</v>
      </c>
      <c r="B20" s="11" t="s">
        <v>59</v>
      </c>
      <c r="C20" s="37" t="s">
        <v>255</v>
      </c>
      <c r="D20" s="55" t="s">
        <v>58</v>
      </c>
      <c r="E20" s="57" t="s">
        <v>134</v>
      </c>
      <c r="F20" s="33" t="s">
        <v>136</v>
      </c>
      <c r="G20" s="36">
        <v>1</v>
      </c>
      <c r="H20" s="38">
        <v>25</v>
      </c>
      <c r="I20" s="7">
        <v>30000</v>
      </c>
      <c r="J20" s="5">
        <v>2910</v>
      </c>
      <c r="K20" s="15">
        <f>L20+4891+5116+437+4687</f>
        <v>18040</v>
      </c>
      <c r="L20" s="15">
        <f>464+2445</f>
        <v>2909</v>
      </c>
      <c r="M20" s="16">
        <f t="shared" si="0"/>
        <v>2909</v>
      </c>
      <c r="N20" s="16">
        <v>0</v>
      </c>
      <c r="O20" s="62">
        <f t="shared" si="1"/>
        <v>0</v>
      </c>
      <c r="P20" s="42">
        <f t="shared" si="2"/>
        <v>14</v>
      </c>
      <c r="Q20" s="43">
        <f t="shared" si="3"/>
        <v>10</v>
      </c>
      <c r="R20" s="7"/>
      <c r="S20" s="6">
        <v>10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0.99965635738831615</v>
      </c>
      <c r="AC20" s="9">
        <f t="shared" si="5"/>
        <v>0.58333333333333337</v>
      </c>
      <c r="AD20" s="10">
        <f t="shared" si="6"/>
        <v>0.58313287514318446</v>
      </c>
      <c r="AE20" s="39">
        <f t="shared" si="10"/>
        <v>0.40522929135047792</v>
      </c>
      <c r="AF20" s="94">
        <f t="shared" si="8"/>
        <v>14</v>
      </c>
    </row>
    <row r="21" spans="1:36" ht="27" customHeight="1" thickBot="1">
      <c r="A21" s="110">
        <v>15</v>
      </c>
      <c r="B21" s="11" t="s">
        <v>59</v>
      </c>
      <c r="C21" s="11" t="s">
        <v>116</v>
      </c>
      <c r="D21" s="55"/>
      <c r="E21" s="56" t="s">
        <v>157</v>
      </c>
      <c r="F21" s="12" t="s">
        <v>117</v>
      </c>
      <c r="G21" s="12">
        <v>4</v>
      </c>
      <c r="H21" s="38">
        <v>20</v>
      </c>
      <c r="I21" s="7">
        <v>200000</v>
      </c>
      <c r="J21" s="14">
        <v>59380</v>
      </c>
      <c r="K21" s="15">
        <f>L21+40792+68628+25624+56572+59804+61268+59600+51196+44324+59348+54044+27196+52908</f>
        <v>720676</v>
      </c>
      <c r="L21" s="15">
        <f>7692*4+7151*4</f>
        <v>59372</v>
      </c>
      <c r="M21" s="16">
        <f t="shared" si="0"/>
        <v>59372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0.99986527450319973</v>
      </c>
      <c r="AC21" s="9">
        <f t="shared" si="5"/>
        <v>1</v>
      </c>
      <c r="AD21" s="10">
        <f t="shared" si="6"/>
        <v>0.99986527450319973</v>
      </c>
      <c r="AE21" s="39">
        <f t="shared" si="10"/>
        <v>0.40522929135047792</v>
      </c>
      <c r="AF21" s="94">
        <f t="shared" si="8"/>
        <v>15</v>
      </c>
    </row>
    <row r="22" spans="1:36" ht="31.5" customHeight="1" thickBot="1">
      <c r="A22" s="418" t="s">
        <v>34</v>
      </c>
      <c r="B22" s="419"/>
      <c r="C22" s="419"/>
      <c r="D22" s="419"/>
      <c r="E22" s="419"/>
      <c r="F22" s="419"/>
      <c r="G22" s="419"/>
      <c r="H22" s="420"/>
      <c r="I22" s="25">
        <f t="shared" ref="I22:N22" si="11">SUM(I6:I21)</f>
        <v>352000</v>
      </c>
      <c r="J22" s="22">
        <f t="shared" si="11"/>
        <v>103774</v>
      </c>
      <c r="K22" s="23">
        <f t="shared" si="11"/>
        <v>865753</v>
      </c>
      <c r="L22" s="24">
        <f t="shared" si="11"/>
        <v>90815</v>
      </c>
      <c r="M22" s="23">
        <f t="shared" si="11"/>
        <v>90815</v>
      </c>
      <c r="N22" s="24">
        <f t="shared" si="11"/>
        <v>0</v>
      </c>
      <c r="O22" s="44">
        <f t="shared" si="1"/>
        <v>0</v>
      </c>
      <c r="P22" s="45">
        <f t="shared" ref="P22:AA22" si="12">SUM(P6:P21)</f>
        <v>146</v>
      </c>
      <c r="Q22" s="46">
        <f t="shared" si="12"/>
        <v>238</v>
      </c>
      <c r="R22" s="26">
        <f t="shared" si="12"/>
        <v>24</v>
      </c>
      <c r="S22" s="27">
        <f t="shared" si="12"/>
        <v>10</v>
      </c>
      <c r="T22" s="27">
        <f t="shared" si="12"/>
        <v>7</v>
      </c>
      <c r="U22" s="27">
        <f t="shared" si="12"/>
        <v>0</v>
      </c>
      <c r="V22" s="28">
        <f t="shared" si="12"/>
        <v>27</v>
      </c>
      <c r="W22" s="29">
        <f t="shared" si="12"/>
        <v>122</v>
      </c>
      <c r="X22" s="30">
        <f t="shared" si="12"/>
        <v>0</v>
      </c>
      <c r="Y22" s="30">
        <f t="shared" si="12"/>
        <v>0</v>
      </c>
      <c r="Z22" s="30">
        <f t="shared" si="12"/>
        <v>0</v>
      </c>
      <c r="AA22" s="30">
        <f t="shared" si="12"/>
        <v>48</v>
      </c>
      <c r="AB22" s="31">
        <f>SUM(AB6:AB21)/15</f>
        <v>0.59948049954050642</v>
      </c>
      <c r="AC22" s="4">
        <f>SUM(AC6:AC21)/15</f>
        <v>0.40555555555555556</v>
      </c>
      <c r="AD22" s="4">
        <f>SUM(AD6:AD21)/15</f>
        <v>0.40522929135047792</v>
      </c>
      <c r="AE22" s="32"/>
    </row>
    <row r="24" spans="1:36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21" t="s">
        <v>46</v>
      </c>
      <c r="B49" s="421"/>
      <c r="C49" s="421"/>
      <c r="D49" s="421"/>
      <c r="E49" s="42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22" t="s">
        <v>442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4"/>
      <c r="N50" s="425" t="s">
        <v>456</v>
      </c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26"/>
      <c r="AD50" s="427"/>
    </row>
    <row r="51" spans="1:32" ht="27" customHeight="1">
      <c r="A51" s="428" t="s">
        <v>2</v>
      </c>
      <c r="B51" s="429"/>
      <c r="C51" s="221" t="s">
        <v>47</v>
      </c>
      <c r="D51" s="221" t="s">
        <v>48</v>
      </c>
      <c r="E51" s="221" t="s">
        <v>110</v>
      </c>
      <c r="F51" s="429" t="s">
        <v>109</v>
      </c>
      <c r="G51" s="429"/>
      <c r="H51" s="429"/>
      <c r="I51" s="429"/>
      <c r="J51" s="429"/>
      <c r="K51" s="429"/>
      <c r="L51" s="429"/>
      <c r="M51" s="430"/>
      <c r="N51" s="73" t="s">
        <v>114</v>
      </c>
      <c r="O51" s="221" t="s">
        <v>47</v>
      </c>
      <c r="P51" s="431" t="s">
        <v>48</v>
      </c>
      <c r="Q51" s="432"/>
      <c r="R51" s="431" t="s">
        <v>39</v>
      </c>
      <c r="S51" s="433"/>
      <c r="T51" s="433"/>
      <c r="U51" s="432"/>
      <c r="V51" s="431" t="s">
        <v>49</v>
      </c>
      <c r="W51" s="433"/>
      <c r="X51" s="433"/>
      <c r="Y51" s="433"/>
      <c r="Z51" s="433"/>
      <c r="AA51" s="433"/>
      <c r="AB51" s="433"/>
      <c r="AC51" s="433"/>
      <c r="AD51" s="434"/>
    </row>
    <row r="52" spans="1:32" ht="27" customHeight="1">
      <c r="A52" s="445" t="s">
        <v>443</v>
      </c>
      <c r="B52" s="446"/>
      <c r="C52" s="220" t="s">
        <v>444</v>
      </c>
      <c r="D52" s="217" t="s">
        <v>445</v>
      </c>
      <c r="E52" s="220" t="s">
        <v>446</v>
      </c>
      <c r="F52" s="447" t="s">
        <v>447</v>
      </c>
      <c r="G52" s="447"/>
      <c r="H52" s="447"/>
      <c r="I52" s="447"/>
      <c r="J52" s="447"/>
      <c r="K52" s="447"/>
      <c r="L52" s="447"/>
      <c r="M52" s="448"/>
      <c r="N52" s="216" t="s">
        <v>451</v>
      </c>
      <c r="O52" s="74" t="s">
        <v>452</v>
      </c>
      <c r="P52" s="449" t="s">
        <v>453</v>
      </c>
      <c r="Q52" s="450"/>
      <c r="R52" s="451" t="s">
        <v>457</v>
      </c>
      <c r="S52" s="451"/>
      <c r="T52" s="451"/>
      <c r="U52" s="451"/>
      <c r="V52" s="447" t="s">
        <v>458</v>
      </c>
      <c r="W52" s="447"/>
      <c r="X52" s="447"/>
      <c r="Y52" s="447"/>
      <c r="Z52" s="447"/>
      <c r="AA52" s="447"/>
      <c r="AB52" s="447"/>
      <c r="AC52" s="447"/>
      <c r="AD52" s="448"/>
    </row>
    <row r="53" spans="1:32" ht="27" customHeight="1">
      <c r="A53" s="445" t="s">
        <v>420</v>
      </c>
      <c r="B53" s="446"/>
      <c r="C53" s="220" t="s">
        <v>421</v>
      </c>
      <c r="D53" s="217" t="s">
        <v>448</v>
      </c>
      <c r="E53" s="220" t="s">
        <v>449</v>
      </c>
      <c r="F53" s="447" t="s">
        <v>450</v>
      </c>
      <c r="G53" s="447"/>
      <c r="H53" s="447"/>
      <c r="I53" s="447"/>
      <c r="J53" s="447"/>
      <c r="K53" s="447"/>
      <c r="L53" s="447"/>
      <c r="M53" s="448"/>
      <c r="N53" s="216" t="s">
        <v>459</v>
      </c>
      <c r="O53" s="74" t="s">
        <v>460</v>
      </c>
      <c r="P53" s="449" t="s">
        <v>461</v>
      </c>
      <c r="Q53" s="450"/>
      <c r="R53" s="451" t="s">
        <v>462</v>
      </c>
      <c r="S53" s="451"/>
      <c r="T53" s="451"/>
      <c r="U53" s="451"/>
      <c r="V53" s="447" t="s">
        <v>419</v>
      </c>
      <c r="W53" s="447"/>
      <c r="X53" s="447"/>
      <c r="Y53" s="447"/>
      <c r="Z53" s="447"/>
      <c r="AA53" s="447"/>
      <c r="AB53" s="447"/>
      <c r="AC53" s="447"/>
      <c r="AD53" s="448"/>
    </row>
    <row r="54" spans="1:32" ht="27" customHeight="1">
      <c r="A54" s="445" t="s">
        <v>451</v>
      </c>
      <c r="B54" s="446"/>
      <c r="C54" s="220" t="s">
        <v>452</v>
      </c>
      <c r="D54" s="217" t="s">
        <v>453</v>
      </c>
      <c r="E54" s="220" t="s">
        <v>454</v>
      </c>
      <c r="F54" s="447" t="s">
        <v>455</v>
      </c>
      <c r="G54" s="447"/>
      <c r="H54" s="447"/>
      <c r="I54" s="447"/>
      <c r="J54" s="447"/>
      <c r="K54" s="447"/>
      <c r="L54" s="447"/>
      <c r="M54" s="448"/>
      <c r="N54" s="216" t="s">
        <v>463</v>
      </c>
      <c r="O54" s="74" t="s">
        <v>464</v>
      </c>
      <c r="P54" s="449" t="s">
        <v>465</v>
      </c>
      <c r="Q54" s="450"/>
      <c r="R54" s="451" t="s">
        <v>466</v>
      </c>
      <c r="S54" s="451"/>
      <c r="T54" s="451"/>
      <c r="U54" s="451"/>
      <c r="V54" s="447" t="s">
        <v>419</v>
      </c>
      <c r="W54" s="447"/>
      <c r="X54" s="447"/>
      <c r="Y54" s="447"/>
      <c r="Z54" s="447"/>
      <c r="AA54" s="447"/>
      <c r="AB54" s="447"/>
      <c r="AC54" s="447"/>
      <c r="AD54" s="448"/>
    </row>
    <row r="55" spans="1:32" ht="27" customHeight="1">
      <c r="A55" s="445"/>
      <c r="B55" s="446"/>
      <c r="C55" s="220"/>
      <c r="D55" s="217"/>
      <c r="E55" s="220"/>
      <c r="F55" s="447"/>
      <c r="G55" s="447"/>
      <c r="H55" s="447"/>
      <c r="I55" s="447"/>
      <c r="J55" s="447"/>
      <c r="K55" s="447"/>
      <c r="L55" s="447"/>
      <c r="M55" s="448"/>
      <c r="N55" s="216"/>
      <c r="O55" s="74"/>
      <c r="P55" s="449"/>
      <c r="Q55" s="450"/>
      <c r="R55" s="451"/>
      <c r="S55" s="451"/>
      <c r="T55" s="451"/>
      <c r="U55" s="451"/>
      <c r="V55" s="447"/>
      <c r="W55" s="447"/>
      <c r="X55" s="447"/>
      <c r="Y55" s="447"/>
      <c r="Z55" s="447"/>
      <c r="AA55" s="447"/>
      <c r="AB55" s="447"/>
      <c r="AC55" s="447"/>
      <c r="AD55" s="448"/>
    </row>
    <row r="56" spans="1:32" ht="27" customHeight="1">
      <c r="A56" s="452"/>
      <c r="B56" s="451"/>
      <c r="C56" s="217"/>
      <c r="D56" s="217"/>
      <c r="E56" s="220"/>
      <c r="F56" s="447"/>
      <c r="G56" s="447"/>
      <c r="H56" s="447"/>
      <c r="I56" s="447"/>
      <c r="J56" s="447"/>
      <c r="K56" s="447"/>
      <c r="L56" s="447"/>
      <c r="M56" s="448"/>
      <c r="N56" s="216"/>
      <c r="O56" s="74"/>
      <c r="P56" s="449"/>
      <c r="Q56" s="450"/>
      <c r="R56" s="451"/>
      <c r="S56" s="451"/>
      <c r="T56" s="451"/>
      <c r="U56" s="451"/>
      <c r="V56" s="447"/>
      <c r="W56" s="447"/>
      <c r="X56" s="447"/>
      <c r="Y56" s="447"/>
      <c r="Z56" s="447"/>
      <c r="AA56" s="447"/>
      <c r="AB56" s="447"/>
      <c r="AC56" s="447"/>
      <c r="AD56" s="448"/>
    </row>
    <row r="57" spans="1:32" ht="27" customHeight="1">
      <c r="A57" s="445"/>
      <c r="B57" s="446"/>
      <c r="C57" s="220"/>
      <c r="D57" s="217"/>
      <c r="E57" s="220"/>
      <c r="F57" s="447"/>
      <c r="G57" s="447"/>
      <c r="H57" s="447"/>
      <c r="I57" s="447"/>
      <c r="J57" s="447"/>
      <c r="K57" s="447"/>
      <c r="L57" s="447"/>
      <c r="M57" s="448"/>
      <c r="N57" s="216"/>
      <c r="O57" s="74"/>
      <c r="P57" s="451"/>
      <c r="Q57" s="451"/>
      <c r="R57" s="451"/>
      <c r="S57" s="451"/>
      <c r="T57" s="451"/>
      <c r="U57" s="451"/>
      <c r="V57" s="447"/>
      <c r="W57" s="447"/>
      <c r="X57" s="447"/>
      <c r="Y57" s="447"/>
      <c r="Z57" s="447"/>
      <c r="AA57" s="447"/>
      <c r="AB57" s="447"/>
      <c r="AC57" s="447"/>
      <c r="AD57" s="448"/>
    </row>
    <row r="58" spans="1:32" ht="27" customHeight="1">
      <c r="A58" s="445"/>
      <c r="B58" s="446"/>
      <c r="C58" s="220"/>
      <c r="D58" s="217"/>
      <c r="E58" s="220"/>
      <c r="F58" s="447"/>
      <c r="G58" s="447"/>
      <c r="H58" s="447"/>
      <c r="I58" s="447"/>
      <c r="J58" s="447"/>
      <c r="K58" s="447"/>
      <c r="L58" s="447"/>
      <c r="M58" s="448"/>
      <c r="N58" s="216"/>
      <c r="O58" s="74"/>
      <c r="P58" s="449"/>
      <c r="Q58" s="450"/>
      <c r="R58" s="451"/>
      <c r="S58" s="451"/>
      <c r="T58" s="451"/>
      <c r="U58" s="451"/>
      <c r="V58" s="447"/>
      <c r="W58" s="447"/>
      <c r="X58" s="447"/>
      <c r="Y58" s="447"/>
      <c r="Z58" s="447"/>
      <c r="AA58" s="447"/>
      <c r="AB58" s="447"/>
      <c r="AC58" s="447"/>
      <c r="AD58" s="448"/>
    </row>
    <row r="59" spans="1:32" ht="27" customHeight="1">
      <c r="A59" s="445"/>
      <c r="B59" s="446"/>
      <c r="C59" s="220"/>
      <c r="D59" s="217"/>
      <c r="E59" s="220"/>
      <c r="F59" s="447"/>
      <c r="G59" s="447"/>
      <c r="H59" s="447"/>
      <c r="I59" s="447"/>
      <c r="J59" s="447"/>
      <c r="K59" s="447"/>
      <c r="L59" s="447"/>
      <c r="M59" s="448"/>
      <c r="N59" s="216"/>
      <c r="O59" s="74"/>
      <c r="P59" s="451"/>
      <c r="Q59" s="451"/>
      <c r="R59" s="451"/>
      <c r="S59" s="451"/>
      <c r="T59" s="451"/>
      <c r="U59" s="451"/>
      <c r="V59" s="447"/>
      <c r="W59" s="447"/>
      <c r="X59" s="447"/>
      <c r="Y59" s="447"/>
      <c r="Z59" s="447"/>
      <c r="AA59" s="447"/>
      <c r="AB59" s="447"/>
      <c r="AC59" s="447"/>
      <c r="AD59" s="448"/>
    </row>
    <row r="60" spans="1:32" ht="27" customHeight="1">
      <c r="A60" s="452"/>
      <c r="B60" s="451"/>
      <c r="C60" s="217"/>
      <c r="D60" s="217"/>
      <c r="E60" s="217"/>
      <c r="F60" s="447"/>
      <c r="G60" s="447"/>
      <c r="H60" s="447"/>
      <c r="I60" s="447"/>
      <c r="J60" s="447"/>
      <c r="K60" s="447"/>
      <c r="L60" s="447"/>
      <c r="M60" s="448"/>
      <c r="N60" s="216"/>
      <c r="O60" s="74"/>
      <c r="P60" s="451"/>
      <c r="Q60" s="451"/>
      <c r="R60" s="451"/>
      <c r="S60" s="451"/>
      <c r="T60" s="451"/>
      <c r="U60" s="451"/>
      <c r="V60" s="447"/>
      <c r="W60" s="447"/>
      <c r="X60" s="447"/>
      <c r="Y60" s="447"/>
      <c r="Z60" s="447"/>
      <c r="AA60" s="447"/>
      <c r="AB60" s="447"/>
      <c r="AC60" s="447"/>
      <c r="AD60" s="448"/>
      <c r="AF60" s="94">
        <f>8*3000</f>
        <v>24000</v>
      </c>
    </row>
    <row r="61" spans="1:32" ht="27" customHeight="1" thickBot="1">
      <c r="A61" s="453"/>
      <c r="B61" s="454"/>
      <c r="C61" s="219"/>
      <c r="D61" s="219"/>
      <c r="E61" s="219"/>
      <c r="F61" s="455"/>
      <c r="G61" s="455"/>
      <c r="H61" s="455"/>
      <c r="I61" s="455"/>
      <c r="J61" s="455"/>
      <c r="K61" s="455"/>
      <c r="L61" s="455"/>
      <c r="M61" s="456"/>
      <c r="N61" s="218"/>
      <c r="O61" s="121"/>
      <c r="P61" s="454"/>
      <c r="Q61" s="454"/>
      <c r="R61" s="454"/>
      <c r="S61" s="454"/>
      <c r="T61" s="454"/>
      <c r="U61" s="454"/>
      <c r="V61" s="455"/>
      <c r="W61" s="455"/>
      <c r="X61" s="455"/>
      <c r="Y61" s="455"/>
      <c r="Z61" s="455"/>
      <c r="AA61" s="455"/>
      <c r="AB61" s="455"/>
      <c r="AC61" s="455"/>
      <c r="AD61" s="456"/>
      <c r="AF61" s="94">
        <f>16*3000</f>
        <v>48000</v>
      </c>
    </row>
    <row r="62" spans="1:32" ht="27.75" thickBot="1">
      <c r="A62" s="457" t="s">
        <v>467</v>
      </c>
      <c r="B62" s="457"/>
      <c r="C62" s="457"/>
      <c r="D62" s="457"/>
      <c r="E62" s="457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458" t="s">
        <v>115</v>
      </c>
      <c r="B63" s="459"/>
      <c r="C63" s="215" t="s">
        <v>2</v>
      </c>
      <c r="D63" s="215" t="s">
        <v>38</v>
      </c>
      <c r="E63" s="215" t="s">
        <v>3</v>
      </c>
      <c r="F63" s="459" t="s">
        <v>112</v>
      </c>
      <c r="G63" s="459"/>
      <c r="H63" s="459"/>
      <c r="I63" s="459"/>
      <c r="J63" s="459"/>
      <c r="K63" s="459" t="s">
        <v>40</v>
      </c>
      <c r="L63" s="459"/>
      <c r="M63" s="215" t="s">
        <v>41</v>
      </c>
      <c r="N63" s="459" t="s">
        <v>42</v>
      </c>
      <c r="O63" s="459"/>
      <c r="P63" s="460" t="s">
        <v>43</v>
      </c>
      <c r="Q63" s="461"/>
      <c r="R63" s="460" t="s">
        <v>44</v>
      </c>
      <c r="S63" s="462"/>
      <c r="T63" s="462"/>
      <c r="U63" s="462"/>
      <c r="V63" s="462"/>
      <c r="W63" s="462"/>
      <c r="X63" s="462"/>
      <c r="Y63" s="462"/>
      <c r="Z63" s="462"/>
      <c r="AA63" s="461"/>
      <c r="AB63" s="459" t="s">
        <v>45</v>
      </c>
      <c r="AC63" s="459"/>
      <c r="AD63" s="463"/>
      <c r="AF63" s="94">
        <f>SUM(AF60:AF62)</f>
        <v>96000</v>
      </c>
    </row>
    <row r="64" spans="1:32" ht="25.5" customHeight="1">
      <c r="A64" s="464">
        <v>1</v>
      </c>
      <c r="B64" s="465"/>
      <c r="C64" s="124" t="s">
        <v>397</v>
      </c>
      <c r="D64" s="211"/>
      <c r="E64" s="213" t="s">
        <v>398</v>
      </c>
      <c r="F64" s="466" t="s">
        <v>399</v>
      </c>
      <c r="G64" s="467"/>
      <c r="H64" s="467"/>
      <c r="I64" s="467"/>
      <c r="J64" s="467"/>
      <c r="K64" s="467" t="s">
        <v>400</v>
      </c>
      <c r="L64" s="467"/>
      <c r="M64" s="54" t="s">
        <v>389</v>
      </c>
      <c r="N64" s="467">
        <v>4</v>
      </c>
      <c r="O64" s="467"/>
      <c r="P64" s="468">
        <v>1000</v>
      </c>
      <c r="Q64" s="468"/>
      <c r="R64" s="447" t="s">
        <v>433</v>
      </c>
      <c r="S64" s="447"/>
      <c r="T64" s="447"/>
      <c r="U64" s="447"/>
      <c r="V64" s="447"/>
      <c r="W64" s="447"/>
      <c r="X64" s="447"/>
      <c r="Y64" s="447"/>
      <c r="Z64" s="447"/>
      <c r="AA64" s="447"/>
      <c r="AB64" s="467"/>
      <c r="AC64" s="467"/>
      <c r="AD64" s="469"/>
      <c r="AF64" s="53"/>
    </row>
    <row r="65" spans="1:32" ht="25.5" customHeight="1">
      <c r="A65" s="464">
        <v>2</v>
      </c>
      <c r="B65" s="465"/>
      <c r="C65" s="124" t="s">
        <v>469</v>
      </c>
      <c r="D65" s="211"/>
      <c r="E65" s="213" t="s">
        <v>468</v>
      </c>
      <c r="F65" s="466" t="s">
        <v>470</v>
      </c>
      <c r="G65" s="467"/>
      <c r="H65" s="467"/>
      <c r="I65" s="467"/>
      <c r="J65" s="467"/>
      <c r="K65" s="467" t="s">
        <v>471</v>
      </c>
      <c r="L65" s="467"/>
      <c r="M65" s="54" t="s">
        <v>472</v>
      </c>
      <c r="N65" s="467">
        <v>8</v>
      </c>
      <c r="O65" s="467"/>
      <c r="P65" s="468">
        <v>50</v>
      </c>
      <c r="Q65" s="468"/>
      <c r="R65" s="447"/>
      <c r="S65" s="447"/>
      <c r="T65" s="447"/>
      <c r="U65" s="447"/>
      <c r="V65" s="447"/>
      <c r="W65" s="447"/>
      <c r="X65" s="447"/>
      <c r="Y65" s="447"/>
      <c r="Z65" s="447"/>
      <c r="AA65" s="447"/>
      <c r="AB65" s="467"/>
      <c r="AC65" s="467"/>
      <c r="AD65" s="469"/>
      <c r="AF65" s="53"/>
    </row>
    <row r="66" spans="1:32" ht="25.5" customHeight="1">
      <c r="A66" s="464">
        <v>3</v>
      </c>
      <c r="B66" s="465"/>
      <c r="C66" s="124" t="s">
        <v>469</v>
      </c>
      <c r="D66" s="211"/>
      <c r="E66" s="213" t="s">
        <v>474</v>
      </c>
      <c r="F66" s="466" t="s">
        <v>470</v>
      </c>
      <c r="G66" s="467"/>
      <c r="H66" s="467"/>
      <c r="I66" s="467"/>
      <c r="J66" s="467"/>
      <c r="K66" s="467" t="s">
        <v>475</v>
      </c>
      <c r="L66" s="467"/>
      <c r="M66" s="54" t="s">
        <v>472</v>
      </c>
      <c r="N66" s="467" t="s">
        <v>473</v>
      </c>
      <c r="O66" s="467"/>
      <c r="P66" s="468">
        <v>50</v>
      </c>
      <c r="Q66" s="468"/>
      <c r="R66" s="447" t="s">
        <v>476</v>
      </c>
      <c r="S66" s="447"/>
      <c r="T66" s="447"/>
      <c r="U66" s="447"/>
      <c r="V66" s="447"/>
      <c r="W66" s="447"/>
      <c r="X66" s="447"/>
      <c r="Y66" s="447"/>
      <c r="Z66" s="447"/>
      <c r="AA66" s="447"/>
      <c r="AB66" s="467"/>
      <c r="AC66" s="467"/>
      <c r="AD66" s="469"/>
      <c r="AF66" s="53"/>
    </row>
    <row r="67" spans="1:32" ht="25.5" customHeight="1">
      <c r="A67" s="464">
        <v>4</v>
      </c>
      <c r="B67" s="465"/>
      <c r="C67" s="124" t="s">
        <v>469</v>
      </c>
      <c r="D67" s="211"/>
      <c r="E67" s="213" t="s">
        <v>477</v>
      </c>
      <c r="F67" s="466" t="s">
        <v>478</v>
      </c>
      <c r="G67" s="467"/>
      <c r="H67" s="467"/>
      <c r="I67" s="467"/>
      <c r="J67" s="467"/>
      <c r="K67" s="467" t="s">
        <v>475</v>
      </c>
      <c r="L67" s="467"/>
      <c r="M67" s="54" t="s">
        <v>472</v>
      </c>
      <c r="N67" s="467">
        <v>13</v>
      </c>
      <c r="O67" s="467"/>
      <c r="P67" s="468"/>
      <c r="Q67" s="468"/>
      <c r="R67" s="447" t="s">
        <v>479</v>
      </c>
      <c r="S67" s="447"/>
      <c r="T67" s="447"/>
      <c r="U67" s="447"/>
      <c r="V67" s="447"/>
      <c r="W67" s="447"/>
      <c r="X67" s="447"/>
      <c r="Y67" s="447"/>
      <c r="Z67" s="447"/>
      <c r="AA67" s="447"/>
      <c r="AB67" s="467"/>
      <c r="AC67" s="467"/>
      <c r="AD67" s="469"/>
      <c r="AF67" s="53"/>
    </row>
    <row r="68" spans="1:32" ht="25.5" customHeight="1">
      <c r="A68" s="464">
        <v>5</v>
      </c>
      <c r="B68" s="465"/>
      <c r="C68" s="124" t="s">
        <v>469</v>
      </c>
      <c r="D68" s="211"/>
      <c r="E68" s="213" t="s">
        <v>480</v>
      </c>
      <c r="F68" s="466" t="s">
        <v>481</v>
      </c>
      <c r="G68" s="467"/>
      <c r="H68" s="467"/>
      <c r="I68" s="467"/>
      <c r="J68" s="467"/>
      <c r="K68" s="467" t="s">
        <v>475</v>
      </c>
      <c r="L68" s="467"/>
      <c r="M68" s="54" t="s">
        <v>472</v>
      </c>
      <c r="N68" s="467">
        <v>8</v>
      </c>
      <c r="O68" s="467"/>
      <c r="P68" s="468"/>
      <c r="Q68" s="468"/>
      <c r="R68" s="447" t="s">
        <v>479</v>
      </c>
      <c r="S68" s="447"/>
      <c r="T68" s="447"/>
      <c r="U68" s="447"/>
      <c r="V68" s="447"/>
      <c r="W68" s="447"/>
      <c r="X68" s="447"/>
      <c r="Y68" s="447"/>
      <c r="Z68" s="447"/>
      <c r="AA68" s="447"/>
      <c r="AB68" s="467"/>
      <c r="AC68" s="467"/>
      <c r="AD68" s="469"/>
      <c r="AF68" s="53"/>
    </row>
    <row r="69" spans="1:32" ht="25.5" customHeight="1">
      <c r="A69" s="464">
        <v>6</v>
      </c>
      <c r="B69" s="465"/>
      <c r="C69" s="124"/>
      <c r="D69" s="211"/>
      <c r="E69" s="213"/>
      <c r="F69" s="466"/>
      <c r="G69" s="467"/>
      <c r="H69" s="467"/>
      <c r="I69" s="467"/>
      <c r="J69" s="467"/>
      <c r="K69" s="467"/>
      <c r="L69" s="467"/>
      <c r="M69" s="54"/>
      <c r="N69" s="467"/>
      <c r="O69" s="467"/>
      <c r="P69" s="468"/>
      <c r="Q69" s="468"/>
      <c r="R69" s="447"/>
      <c r="S69" s="447"/>
      <c r="T69" s="447"/>
      <c r="U69" s="447"/>
      <c r="V69" s="447"/>
      <c r="W69" s="447"/>
      <c r="X69" s="447"/>
      <c r="Y69" s="447"/>
      <c r="Z69" s="447"/>
      <c r="AA69" s="447"/>
      <c r="AB69" s="467"/>
      <c r="AC69" s="467"/>
      <c r="AD69" s="469"/>
      <c r="AF69" s="53"/>
    </row>
    <row r="70" spans="1:32" ht="25.5" customHeight="1">
      <c r="A70" s="464">
        <v>7</v>
      </c>
      <c r="B70" s="465"/>
      <c r="C70" s="124"/>
      <c r="D70" s="211"/>
      <c r="E70" s="213"/>
      <c r="F70" s="466"/>
      <c r="G70" s="467"/>
      <c r="H70" s="467"/>
      <c r="I70" s="467"/>
      <c r="J70" s="467"/>
      <c r="K70" s="467"/>
      <c r="L70" s="467"/>
      <c r="M70" s="54"/>
      <c r="N70" s="467"/>
      <c r="O70" s="467"/>
      <c r="P70" s="468"/>
      <c r="Q70" s="468"/>
      <c r="R70" s="447"/>
      <c r="S70" s="447"/>
      <c r="T70" s="447"/>
      <c r="U70" s="447"/>
      <c r="V70" s="447"/>
      <c r="W70" s="447"/>
      <c r="X70" s="447"/>
      <c r="Y70" s="447"/>
      <c r="Z70" s="447"/>
      <c r="AA70" s="447"/>
      <c r="AB70" s="467"/>
      <c r="AC70" s="467"/>
      <c r="AD70" s="469"/>
      <c r="AF70" s="53"/>
    </row>
    <row r="71" spans="1:32" ht="25.5" customHeight="1">
      <c r="A71" s="464">
        <v>8</v>
      </c>
      <c r="B71" s="465"/>
      <c r="C71" s="124"/>
      <c r="D71" s="211"/>
      <c r="E71" s="213"/>
      <c r="F71" s="466"/>
      <c r="G71" s="467"/>
      <c r="H71" s="467"/>
      <c r="I71" s="467"/>
      <c r="J71" s="467"/>
      <c r="K71" s="467"/>
      <c r="L71" s="467"/>
      <c r="M71" s="54"/>
      <c r="N71" s="467"/>
      <c r="O71" s="467"/>
      <c r="P71" s="468"/>
      <c r="Q71" s="468"/>
      <c r="R71" s="447"/>
      <c r="S71" s="447"/>
      <c r="T71" s="447"/>
      <c r="U71" s="447"/>
      <c r="V71" s="447"/>
      <c r="W71" s="447"/>
      <c r="X71" s="447"/>
      <c r="Y71" s="447"/>
      <c r="Z71" s="447"/>
      <c r="AA71" s="447"/>
      <c r="AB71" s="467"/>
      <c r="AC71" s="467"/>
      <c r="AD71" s="469"/>
      <c r="AF71" s="53"/>
    </row>
    <row r="72" spans="1:32" ht="26.25" customHeight="1" thickBot="1">
      <c r="A72" s="470" t="s">
        <v>482</v>
      </c>
      <c r="B72" s="470"/>
      <c r="C72" s="470"/>
      <c r="D72" s="470"/>
      <c r="E72" s="470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471" t="s">
        <v>115</v>
      </c>
      <c r="B73" s="472"/>
      <c r="C73" s="214" t="s">
        <v>2</v>
      </c>
      <c r="D73" s="214" t="s">
        <v>38</v>
      </c>
      <c r="E73" s="214" t="s">
        <v>3</v>
      </c>
      <c r="F73" s="472" t="s">
        <v>39</v>
      </c>
      <c r="G73" s="472"/>
      <c r="H73" s="472"/>
      <c r="I73" s="472"/>
      <c r="J73" s="472"/>
      <c r="K73" s="473" t="s">
        <v>60</v>
      </c>
      <c r="L73" s="474"/>
      <c r="M73" s="474"/>
      <c r="N73" s="474"/>
      <c r="O73" s="474"/>
      <c r="P73" s="474"/>
      <c r="Q73" s="474"/>
      <c r="R73" s="474"/>
      <c r="S73" s="475"/>
      <c r="T73" s="472" t="s">
        <v>50</v>
      </c>
      <c r="U73" s="472"/>
      <c r="V73" s="473" t="s">
        <v>51</v>
      </c>
      <c r="W73" s="475"/>
      <c r="X73" s="474" t="s">
        <v>52</v>
      </c>
      <c r="Y73" s="474"/>
      <c r="Z73" s="474"/>
      <c r="AA73" s="474"/>
      <c r="AB73" s="474"/>
      <c r="AC73" s="474"/>
      <c r="AD73" s="476"/>
      <c r="AF73" s="53"/>
    </row>
    <row r="74" spans="1:32" ht="33.75" customHeight="1">
      <c r="A74" s="485">
        <v>1</v>
      </c>
      <c r="B74" s="486"/>
      <c r="C74" s="212" t="s">
        <v>118</v>
      </c>
      <c r="D74" s="212"/>
      <c r="E74" s="71" t="s">
        <v>124</v>
      </c>
      <c r="F74" s="487" t="s">
        <v>125</v>
      </c>
      <c r="G74" s="488"/>
      <c r="H74" s="488"/>
      <c r="I74" s="488"/>
      <c r="J74" s="489"/>
      <c r="K74" s="490" t="s">
        <v>120</v>
      </c>
      <c r="L74" s="491"/>
      <c r="M74" s="491"/>
      <c r="N74" s="491"/>
      <c r="O74" s="491"/>
      <c r="P74" s="491"/>
      <c r="Q74" s="491"/>
      <c r="R74" s="491"/>
      <c r="S74" s="492"/>
      <c r="T74" s="493">
        <v>42901</v>
      </c>
      <c r="U74" s="494"/>
      <c r="V74" s="495"/>
      <c r="W74" s="495"/>
      <c r="X74" s="496"/>
      <c r="Y74" s="496"/>
      <c r="Z74" s="496"/>
      <c r="AA74" s="496"/>
      <c r="AB74" s="496"/>
      <c r="AC74" s="496"/>
      <c r="AD74" s="497"/>
      <c r="AF74" s="53"/>
    </row>
    <row r="75" spans="1:32" ht="30" customHeight="1">
      <c r="A75" s="477">
        <f>A74+1</f>
        <v>2</v>
      </c>
      <c r="B75" s="478"/>
      <c r="C75" s="211" t="s">
        <v>118</v>
      </c>
      <c r="D75" s="211"/>
      <c r="E75" s="35" t="s">
        <v>121</v>
      </c>
      <c r="F75" s="478" t="s">
        <v>122</v>
      </c>
      <c r="G75" s="478"/>
      <c r="H75" s="478"/>
      <c r="I75" s="478"/>
      <c r="J75" s="478"/>
      <c r="K75" s="479" t="s">
        <v>123</v>
      </c>
      <c r="L75" s="480"/>
      <c r="M75" s="480"/>
      <c r="N75" s="480"/>
      <c r="O75" s="480"/>
      <c r="P75" s="480"/>
      <c r="Q75" s="480"/>
      <c r="R75" s="480"/>
      <c r="S75" s="481"/>
      <c r="T75" s="482">
        <v>42867</v>
      </c>
      <c r="U75" s="482"/>
      <c r="V75" s="482"/>
      <c r="W75" s="482"/>
      <c r="X75" s="483"/>
      <c r="Y75" s="483"/>
      <c r="Z75" s="483"/>
      <c r="AA75" s="483"/>
      <c r="AB75" s="483"/>
      <c r="AC75" s="483"/>
      <c r="AD75" s="484"/>
      <c r="AF75" s="53"/>
    </row>
    <row r="76" spans="1:32" ht="30" customHeight="1">
      <c r="A76" s="477">
        <f t="shared" ref="A76:A82" si="13">A75+1</f>
        <v>3</v>
      </c>
      <c r="B76" s="478"/>
      <c r="C76" s="211" t="s">
        <v>144</v>
      </c>
      <c r="D76" s="211"/>
      <c r="E76" s="35" t="s">
        <v>139</v>
      </c>
      <c r="F76" s="478" t="s">
        <v>145</v>
      </c>
      <c r="G76" s="478"/>
      <c r="H76" s="478"/>
      <c r="I76" s="478"/>
      <c r="J76" s="478"/>
      <c r="K76" s="479" t="s">
        <v>120</v>
      </c>
      <c r="L76" s="480"/>
      <c r="M76" s="480"/>
      <c r="N76" s="480"/>
      <c r="O76" s="480"/>
      <c r="P76" s="480"/>
      <c r="Q76" s="480"/>
      <c r="R76" s="480"/>
      <c r="S76" s="481"/>
      <c r="T76" s="482">
        <v>42937</v>
      </c>
      <c r="U76" s="482"/>
      <c r="V76" s="482"/>
      <c r="W76" s="482"/>
      <c r="X76" s="483"/>
      <c r="Y76" s="483"/>
      <c r="Z76" s="483"/>
      <c r="AA76" s="483"/>
      <c r="AB76" s="483"/>
      <c r="AC76" s="483"/>
      <c r="AD76" s="484"/>
      <c r="AF76" s="53"/>
    </row>
    <row r="77" spans="1:32" ht="30" customHeight="1">
      <c r="A77" s="477">
        <f t="shared" si="13"/>
        <v>4</v>
      </c>
      <c r="B77" s="478"/>
      <c r="C77" s="211" t="s">
        <v>119</v>
      </c>
      <c r="D77" s="211"/>
      <c r="E77" s="35" t="s">
        <v>137</v>
      </c>
      <c r="F77" s="478" t="s">
        <v>138</v>
      </c>
      <c r="G77" s="478"/>
      <c r="H77" s="478"/>
      <c r="I77" s="478"/>
      <c r="J77" s="478"/>
      <c r="K77" s="479" t="s">
        <v>140</v>
      </c>
      <c r="L77" s="480"/>
      <c r="M77" s="480"/>
      <c r="N77" s="480"/>
      <c r="O77" s="480"/>
      <c r="P77" s="480"/>
      <c r="Q77" s="480"/>
      <c r="R77" s="480"/>
      <c r="S77" s="481"/>
      <c r="T77" s="482">
        <v>42920</v>
      </c>
      <c r="U77" s="482"/>
      <c r="V77" s="482"/>
      <c r="W77" s="482"/>
      <c r="X77" s="483"/>
      <c r="Y77" s="483"/>
      <c r="Z77" s="483"/>
      <c r="AA77" s="483"/>
      <c r="AB77" s="483"/>
      <c r="AC77" s="483"/>
      <c r="AD77" s="484"/>
      <c r="AF77" s="53"/>
    </row>
    <row r="78" spans="1:32" ht="30" customHeight="1">
      <c r="A78" s="477">
        <f t="shared" si="13"/>
        <v>5</v>
      </c>
      <c r="B78" s="478"/>
      <c r="C78" s="211"/>
      <c r="D78" s="211"/>
      <c r="E78" s="35"/>
      <c r="F78" s="478"/>
      <c r="G78" s="478"/>
      <c r="H78" s="478"/>
      <c r="I78" s="478"/>
      <c r="J78" s="478"/>
      <c r="K78" s="479"/>
      <c r="L78" s="480"/>
      <c r="M78" s="480"/>
      <c r="N78" s="480"/>
      <c r="O78" s="480"/>
      <c r="P78" s="480"/>
      <c r="Q78" s="480"/>
      <c r="R78" s="480"/>
      <c r="S78" s="481"/>
      <c r="T78" s="482"/>
      <c r="U78" s="482"/>
      <c r="V78" s="482"/>
      <c r="W78" s="482"/>
      <c r="X78" s="483"/>
      <c r="Y78" s="483"/>
      <c r="Z78" s="483"/>
      <c r="AA78" s="483"/>
      <c r="AB78" s="483"/>
      <c r="AC78" s="483"/>
      <c r="AD78" s="484"/>
      <c r="AF78" s="53"/>
    </row>
    <row r="79" spans="1:32" ht="30" customHeight="1">
      <c r="A79" s="477">
        <f t="shared" si="13"/>
        <v>6</v>
      </c>
      <c r="B79" s="478"/>
      <c r="C79" s="211"/>
      <c r="D79" s="211"/>
      <c r="E79" s="35"/>
      <c r="F79" s="478"/>
      <c r="G79" s="478"/>
      <c r="H79" s="478"/>
      <c r="I79" s="478"/>
      <c r="J79" s="478"/>
      <c r="K79" s="479"/>
      <c r="L79" s="480"/>
      <c r="M79" s="480"/>
      <c r="N79" s="480"/>
      <c r="O79" s="480"/>
      <c r="P79" s="480"/>
      <c r="Q79" s="480"/>
      <c r="R79" s="480"/>
      <c r="S79" s="481"/>
      <c r="T79" s="482"/>
      <c r="U79" s="482"/>
      <c r="V79" s="482"/>
      <c r="W79" s="482"/>
      <c r="X79" s="483"/>
      <c r="Y79" s="483"/>
      <c r="Z79" s="483"/>
      <c r="AA79" s="483"/>
      <c r="AB79" s="483"/>
      <c r="AC79" s="483"/>
      <c r="AD79" s="484"/>
      <c r="AF79" s="53"/>
    </row>
    <row r="80" spans="1:32" ht="30" customHeight="1">
      <c r="A80" s="477">
        <f t="shared" si="13"/>
        <v>7</v>
      </c>
      <c r="B80" s="478"/>
      <c r="C80" s="211"/>
      <c r="D80" s="211"/>
      <c r="E80" s="35"/>
      <c r="F80" s="478"/>
      <c r="G80" s="478"/>
      <c r="H80" s="478"/>
      <c r="I80" s="478"/>
      <c r="J80" s="478"/>
      <c r="K80" s="479"/>
      <c r="L80" s="480"/>
      <c r="M80" s="480"/>
      <c r="N80" s="480"/>
      <c r="O80" s="480"/>
      <c r="P80" s="480"/>
      <c r="Q80" s="480"/>
      <c r="R80" s="480"/>
      <c r="S80" s="481"/>
      <c r="T80" s="482"/>
      <c r="U80" s="482"/>
      <c r="V80" s="482"/>
      <c r="W80" s="482"/>
      <c r="X80" s="483"/>
      <c r="Y80" s="483"/>
      <c r="Z80" s="483"/>
      <c r="AA80" s="483"/>
      <c r="AB80" s="483"/>
      <c r="AC80" s="483"/>
      <c r="AD80" s="484"/>
      <c r="AF80" s="53"/>
    </row>
    <row r="81" spans="1:32" ht="30" customHeight="1">
      <c r="A81" s="477">
        <f t="shared" si="13"/>
        <v>8</v>
      </c>
      <c r="B81" s="478"/>
      <c r="C81" s="211"/>
      <c r="D81" s="211"/>
      <c r="E81" s="35"/>
      <c r="F81" s="478"/>
      <c r="G81" s="478"/>
      <c r="H81" s="478"/>
      <c r="I81" s="478"/>
      <c r="J81" s="478"/>
      <c r="K81" s="479"/>
      <c r="L81" s="480"/>
      <c r="M81" s="480"/>
      <c r="N81" s="480"/>
      <c r="O81" s="480"/>
      <c r="P81" s="480"/>
      <c r="Q81" s="480"/>
      <c r="R81" s="480"/>
      <c r="S81" s="481"/>
      <c r="T81" s="482"/>
      <c r="U81" s="482"/>
      <c r="V81" s="482"/>
      <c r="W81" s="482"/>
      <c r="X81" s="483"/>
      <c r="Y81" s="483"/>
      <c r="Z81" s="483"/>
      <c r="AA81" s="483"/>
      <c r="AB81" s="483"/>
      <c r="AC81" s="483"/>
      <c r="AD81" s="484"/>
      <c r="AF81" s="53"/>
    </row>
    <row r="82" spans="1:32" ht="30" customHeight="1">
      <c r="A82" s="477">
        <f t="shared" si="13"/>
        <v>9</v>
      </c>
      <c r="B82" s="478"/>
      <c r="C82" s="211"/>
      <c r="D82" s="211"/>
      <c r="E82" s="35"/>
      <c r="F82" s="478"/>
      <c r="G82" s="478"/>
      <c r="H82" s="478"/>
      <c r="I82" s="478"/>
      <c r="J82" s="478"/>
      <c r="K82" s="479"/>
      <c r="L82" s="480"/>
      <c r="M82" s="480"/>
      <c r="N82" s="480"/>
      <c r="O82" s="480"/>
      <c r="P82" s="480"/>
      <c r="Q82" s="480"/>
      <c r="R82" s="480"/>
      <c r="S82" s="481"/>
      <c r="T82" s="482"/>
      <c r="U82" s="482"/>
      <c r="V82" s="482"/>
      <c r="W82" s="482"/>
      <c r="X82" s="483"/>
      <c r="Y82" s="483"/>
      <c r="Z82" s="483"/>
      <c r="AA82" s="483"/>
      <c r="AB82" s="483"/>
      <c r="AC82" s="483"/>
      <c r="AD82" s="484"/>
      <c r="AF82" s="53"/>
    </row>
    <row r="83" spans="1:32" ht="36" thickBot="1">
      <c r="A83" s="470" t="s">
        <v>483</v>
      </c>
      <c r="B83" s="470"/>
      <c r="C83" s="470"/>
      <c r="D83" s="470"/>
      <c r="E83" s="470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498" t="s">
        <v>37</v>
      </c>
      <c r="B84" s="499"/>
      <c r="C84" s="499" t="s">
        <v>53</v>
      </c>
      <c r="D84" s="499"/>
      <c r="E84" s="499" t="s">
        <v>54</v>
      </c>
      <c r="F84" s="499"/>
      <c r="G84" s="499"/>
      <c r="H84" s="499"/>
      <c r="I84" s="499"/>
      <c r="J84" s="499"/>
      <c r="K84" s="499" t="s">
        <v>55</v>
      </c>
      <c r="L84" s="499"/>
      <c r="M84" s="499"/>
      <c r="N84" s="499"/>
      <c r="O84" s="499"/>
      <c r="P84" s="499"/>
      <c r="Q84" s="499"/>
      <c r="R84" s="499"/>
      <c r="S84" s="499"/>
      <c r="T84" s="499" t="s">
        <v>56</v>
      </c>
      <c r="U84" s="499"/>
      <c r="V84" s="499" t="s">
        <v>57</v>
      </c>
      <c r="W84" s="499"/>
      <c r="X84" s="499"/>
      <c r="Y84" s="499" t="s">
        <v>52</v>
      </c>
      <c r="Z84" s="499"/>
      <c r="AA84" s="499"/>
      <c r="AB84" s="499"/>
      <c r="AC84" s="499"/>
      <c r="AD84" s="500"/>
      <c r="AF84" s="53"/>
    </row>
    <row r="85" spans="1:32" ht="30.75" customHeight="1">
      <c r="A85" s="485">
        <v>1</v>
      </c>
      <c r="B85" s="486"/>
      <c r="C85" s="501">
        <v>1</v>
      </c>
      <c r="D85" s="501"/>
      <c r="E85" s="501" t="s">
        <v>129</v>
      </c>
      <c r="F85" s="501"/>
      <c r="G85" s="501"/>
      <c r="H85" s="501"/>
      <c r="I85" s="501"/>
      <c r="J85" s="501"/>
      <c r="K85" s="501" t="s">
        <v>130</v>
      </c>
      <c r="L85" s="501"/>
      <c r="M85" s="501"/>
      <c r="N85" s="501"/>
      <c r="O85" s="501"/>
      <c r="P85" s="501"/>
      <c r="Q85" s="501"/>
      <c r="R85" s="501"/>
      <c r="S85" s="501"/>
      <c r="T85" s="501" t="s">
        <v>131</v>
      </c>
      <c r="U85" s="501"/>
      <c r="V85" s="502">
        <v>1500000</v>
      </c>
      <c r="W85" s="502"/>
      <c r="X85" s="502"/>
      <c r="Y85" s="503" t="s">
        <v>132</v>
      </c>
      <c r="Z85" s="503"/>
      <c r="AA85" s="503"/>
      <c r="AB85" s="503"/>
      <c r="AC85" s="503"/>
      <c r="AD85" s="504"/>
      <c r="AF85" s="53"/>
    </row>
    <row r="86" spans="1:32" ht="30.75" customHeight="1">
      <c r="A86" s="477">
        <v>2</v>
      </c>
      <c r="B86" s="478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512"/>
      <c r="R86" s="512"/>
      <c r="S86" s="512"/>
      <c r="T86" s="513"/>
      <c r="U86" s="513"/>
      <c r="V86" s="514"/>
      <c r="W86" s="514"/>
      <c r="X86" s="514"/>
      <c r="Y86" s="505"/>
      <c r="Z86" s="505"/>
      <c r="AA86" s="505"/>
      <c r="AB86" s="505"/>
      <c r="AC86" s="505"/>
      <c r="AD86" s="506"/>
      <c r="AF86" s="53"/>
    </row>
    <row r="87" spans="1:32" ht="30.75" customHeight="1" thickBot="1">
      <c r="A87" s="507">
        <v>3</v>
      </c>
      <c r="B87" s="508"/>
      <c r="C87" s="509"/>
      <c r="D87" s="509"/>
      <c r="E87" s="509"/>
      <c r="F87" s="509"/>
      <c r="G87" s="509"/>
      <c r="H87" s="509"/>
      <c r="I87" s="509"/>
      <c r="J87" s="509"/>
      <c r="K87" s="509"/>
      <c r="L87" s="509"/>
      <c r="M87" s="509"/>
      <c r="N87" s="509"/>
      <c r="O87" s="509"/>
      <c r="P87" s="509"/>
      <c r="Q87" s="509"/>
      <c r="R87" s="509"/>
      <c r="S87" s="509"/>
      <c r="T87" s="509"/>
      <c r="U87" s="509"/>
      <c r="V87" s="509"/>
      <c r="W87" s="509"/>
      <c r="X87" s="509"/>
      <c r="Y87" s="510"/>
      <c r="Z87" s="510"/>
      <c r="AA87" s="510"/>
      <c r="AB87" s="510"/>
      <c r="AC87" s="510"/>
      <c r="AD87" s="511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26</vt:i4>
      </vt:variant>
      <vt:variant>
        <vt:lpstr>이름 지정된 범위</vt:lpstr>
      </vt:variant>
      <vt:variant>
        <vt:i4>25</vt:i4>
      </vt:variant>
    </vt:vector>
  </HeadingPairs>
  <TitlesOfParts>
    <vt:vector size="51" baseType="lpstr">
      <vt:lpstr>총괄</vt:lpstr>
      <vt:lpstr>01</vt:lpstr>
      <vt:lpstr>04</vt:lpstr>
      <vt:lpstr>05</vt:lpstr>
      <vt:lpstr>06</vt:lpstr>
      <vt:lpstr>07</vt:lpstr>
      <vt:lpstr>08</vt:lpstr>
      <vt:lpstr>11</vt:lpstr>
      <vt:lpstr>12</vt:lpstr>
      <vt:lpstr>13</vt:lpstr>
      <vt:lpstr>14</vt:lpstr>
      <vt:lpstr>15</vt:lpstr>
      <vt:lpstr>16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'01'!Print_Area</vt:lpstr>
      <vt:lpstr>'04'!Print_Area</vt:lpstr>
      <vt:lpstr>'05'!Print_Area</vt:lpstr>
      <vt:lpstr>'06'!Print_Area</vt:lpstr>
      <vt:lpstr>'07'!Print_Area</vt:lpstr>
      <vt:lpstr>'08'!Print_Area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'18'!Print_Area</vt:lpstr>
      <vt:lpstr>'19'!Print_Area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2017-05-09T00:48:16Z</cp:lastPrinted>
  <dcterms:created xsi:type="dcterms:W3CDTF">2014-05-16T00:06:55Z</dcterms:created>
  <dcterms:modified xsi:type="dcterms:W3CDTF">2019-08-02T10:05:39Z</dcterms:modified>
</cp:coreProperties>
</file>