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2"/>
  </bookViews>
  <sheets>
    <sheet name="총괄" sheetId="16" r:id="rId1"/>
    <sheet name="02" sheetId="1102" r:id="rId2"/>
    <sheet name="03" sheetId="1103" r:id="rId3"/>
    <sheet name="04" sheetId="1104" r:id="rId4"/>
    <sheet name="05" sheetId="1105" r:id="rId5"/>
    <sheet name="08" sheetId="1106" r:id="rId6"/>
    <sheet name="09" sheetId="1107" r:id="rId7"/>
    <sheet name="10" sheetId="1108" r:id="rId8"/>
    <sheet name="11" sheetId="1109" r:id="rId9"/>
    <sheet name="12" sheetId="1110" r:id="rId10"/>
    <sheet name="15" sheetId="1111" r:id="rId11"/>
    <sheet name="16" sheetId="1112" r:id="rId12"/>
    <sheet name="17" sheetId="1113" r:id="rId13"/>
    <sheet name="18" sheetId="1114" r:id="rId14"/>
    <sheet name="19" sheetId="1115" r:id="rId15"/>
    <sheet name="22" sheetId="1116" r:id="rId16"/>
    <sheet name="23" sheetId="1117" r:id="rId17"/>
    <sheet name="24" sheetId="1118" r:id="rId18"/>
    <sheet name="25" sheetId="1119" r:id="rId19"/>
    <sheet name="26" sheetId="1120" r:id="rId20"/>
    <sheet name="29" sheetId="1121" r:id="rId21"/>
    <sheet name="30" sheetId="1122" r:id="rId22"/>
    <sheet name="31" sheetId="1123" r:id="rId23"/>
  </sheets>
  <definedNames>
    <definedName name="_xlnm.Print_Area" localSheetId="1">'02'!$A$1:$AD$87</definedName>
    <definedName name="_xlnm.Print_Area" localSheetId="2">'03'!$A$1:$AD$87</definedName>
    <definedName name="_xlnm.Print_Area" localSheetId="3">'04'!$A$1:$AD$87</definedName>
    <definedName name="_xlnm.Print_Area" localSheetId="4">'05'!$A$1:$AD$86</definedName>
    <definedName name="_xlnm.Print_Area" localSheetId="5">'08'!$A$1:$AD$86</definedName>
    <definedName name="_xlnm.Print_Area" localSheetId="6">'09'!$A$1:$AD$86</definedName>
    <definedName name="_xlnm.Print_Area" localSheetId="7">'10'!$A$1:$AD$86</definedName>
    <definedName name="_xlnm.Print_Area" localSheetId="8">'11'!$A$1:$AD$86</definedName>
    <definedName name="_xlnm.Print_Area" localSheetId="9">'12'!$A$1:$AD$86</definedName>
    <definedName name="_xlnm.Print_Area" localSheetId="10">'15'!$A$1:$AD$86</definedName>
    <definedName name="_xlnm.Print_Area" localSheetId="11">'16'!$A$1:$AD$86</definedName>
    <definedName name="_xlnm.Print_Area" localSheetId="12">'17'!$A$1:$AD$87</definedName>
    <definedName name="_xlnm.Print_Area" localSheetId="13">'18'!$A$1:$AD$86</definedName>
    <definedName name="_xlnm.Print_Area" localSheetId="14">'19'!$A$1:$AD$87</definedName>
    <definedName name="_xlnm.Print_Area" localSheetId="15">'22'!$A$1:$AD$86</definedName>
    <definedName name="_xlnm.Print_Area" localSheetId="16">'23'!$A$1:$AD$87</definedName>
    <definedName name="_xlnm.Print_Area" localSheetId="17">'24'!$A$1:$AD$86</definedName>
    <definedName name="_xlnm.Print_Area" localSheetId="18">'25'!$A$1:$AD$87</definedName>
    <definedName name="_xlnm.Print_Area" localSheetId="19">'26'!$A$1:$AD$86</definedName>
    <definedName name="_xlnm.Print_Area" localSheetId="20">'29'!$A$1:$AD$87</definedName>
    <definedName name="_xlnm.Print_Area" localSheetId="21">'30'!$A$1:$AD$87</definedName>
    <definedName name="_xlnm.Print_Area" localSheetId="22">'31'!$A$1:$AD$86</definedName>
  </definedNames>
  <calcPr calcId="144525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K19" i="1123"/>
  <c r="L20" i="1123"/>
  <c r="K20" i="1123" s="1"/>
  <c r="L15" i="1123"/>
  <c r="K15" i="1123" s="1"/>
  <c r="K12" i="1123"/>
  <c r="L8" i="1123"/>
  <c r="K17" i="1123"/>
  <c r="K13" i="1123"/>
  <c r="K10" i="1123"/>
  <c r="K9" i="1123"/>
  <c r="K8" i="1123"/>
  <c r="A74" i="1123"/>
  <c r="A75" i="1123" s="1"/>
  <c r="A76" i="1123" s="1"/>
  <c r="A77" i="1123" s="1"/>
  <c r="A78" i="1123" s="1"/>
  <c r="A79" i="1123" s="1"/>
  <c r="A80" i="1123" s="1"/>
  <c r="A81" i="1123" s="1"/>
  <c r="AF60" i="1123"/>
  <c r="AF59" i="1123"/>
  <c r="AF62" i="1123" s="1"/>
  <c r="AA21" i="1123"/>
  <c r="Z21" i="1123"/>
  <c r="Y21" i="1123"/>
  <c r="X21" i="1123"/>
  <c r="W21" i="1123"/>
  <c r="V21" i="1123"/>
  <c r="U21" i="1123"/>
  <c r="T21" i="1123"/>
  <c r="S21" i="1123"/>
  <c r="R21" i="1123"/>
  <c r="N21" i="1123"/>
  <c r="J21" i="1123"/>
  <c r="I21" i="1123"/>
  <c r="AF20" i="1123"/>
  <c r="Q20" i="1123"/>
  <c r="O20" i="1123"/>
  <c r="AF19" i="1123"/>
  <c r="AB19" i="1123"/>
  <c r="Q19" i="1123"/>
  <c r="P19" i="1123" s="1"/>
  <c r="AC19" i="1123" s="1"/>
  <c r="O19" i="1123"/>
  <c r="M19" i="1123"/>
  <c r="AF18" i="1123"/>
  <c r="AB18" i="1123"/>
  <c r="Q18" i="1123"/>
  <c r="P18" i="1123"/>
  <c r="AC18" i="1123" s="1"/>
  <c r="AD18" i="1123" s="1"/>
  <c r="O18" i="1123"/>
  <c r="M18" i="1123"/>
  <c r="K18" i="1123"/>
  <c r="AF17" i="1123"/>
  <c r="Q17" i="1123"/>
  <c r="P17" i="1123" s="1"/>
  <c r="AC17" i="1123" s="1"/>
  <c r="M17" i="1123"/>
  <c r="AB17" i="1123"/>
  <c r="AF16" i="1123"/>
  <c r="AB16" i="1123"/>
  <c r="Q16" i="1123"/>
  <c r="P16" i="1123"/>
  <c r="AC16" i="1123" s="1"/>
  <c r="O16" i="1123"/>
  <c r="M16" i="1123"/>
  <c r="K16" i="1123"/>
  <c r="AF15" i="1123"/>
  <c r="Q15" i="1123"/>
  <c r="O15" i="1123"/>
  <c r="AF14" i="1123"/>
  <c r="AB14" i="1123"/>
  <c r="Q14" i="1123"/>
  <c r="P14" i="1123"/>
  <c r="AC14" i="1123" s="1"/>
  <c r="O14" i="1123"/>
  <c r="M14" i="1123"/>
  <c r="K14" i="1123"/>
  <c r="AF13" i="1123"/>
  <c r="AB13" i="1123"/>
  <c r="Q13" i="1123"/>
  <c r="P13" i="1123" s="1"/>
  <c r="AC13" i="1123" s="1"/>
  <c r="O13" i="1123"/>
  <c r="M13" i="1123"/>
  <c r="AF12" i="1123"/>
  <c r="AB12" i="1123"/>
  <c r="Q12" i="1123"/>
  <c r="P12" i="1123" s="1"/>
  <c r="AC12" i="1123" s="1"/>
  <c r="O12" i="1123"/>
  <c r="M12" i="1123"/>
  <c r="AF11" i="1123"/>
  <c r="AB11" i="1123"/>
  <c r="Q11" i="1123"/>
  <c r="P11" i="1123"/>
  <c r="AC11" i="1123" s="1"/>
  <c r="O11" i="1123"/>
  <c r="M11" i="1123"/>
  <c r="K11" i="1123"/>
  <c r="AF10" i="1123"/>
  <c r="AB10" i="1123"/>
  <c r="Q10" i="1123"/>
  <c r="P10" i="1123"/>
  <c r="AC10" i="1123" s="1"/>
  <c r="O10" i="1123"/>
  <c r="M10" i="1123"/>
  <c r="AF9" i="1123"/>
  <c r="Q9" i="1123"/>
  <c r="O9" i="1123"/>
  <c r="AF8" i="1123"/>
  <c r="Q8" i="1123"/>
  <c r="P8" i="1123"/>
  <c r="AC8" i="1123" s="1"/>
  <c r="AB8" i="1123"/>
  <c r="AF7" i="1123"/>
  <c r="AB7" i="1123"/>
  <c r="Q7" i="1123"/>
  <c r="P7" i="1123"/>
  <c r="AC7" i="1123" s="1"/>
  <c r="O7" i="1123"/>
  <c r="M7" i="1123"/>
  <c r="K7" i="1123"/>
  <c r="AF6" i="1123"/>
  <c r="AB6" i="1123"/>
  <c r="Q6" i="1123"/>
  <c r="P6" i="1123"/>
  <c r="AC6" i="1123" s="1"/>
  <c r="O6" i="1123"/>
  <c r="M6" i="1123"/>
  <c r="K6" i="1123"/>
  <c r="AD10" i="1123" l="1"/>
  <c r="AD14" i="1123"/>
  <c r="Q21" i="1123"/>
  <c r="AD12" i="1123"/>
  <c r="AD11" i="1123"/>
  <c r="AD7" i="1123"/>
  <c r="AD13" i="1123"/>
  <c r="AD16" i="1123"/>
  <c r="AD19" i="1123"/>
  <c r="M8" i="1123"/>
  <c r="AD6" i="1123"/>
  <c r="O8" i="1123"/>
  <c r="AD8" i="1123" s="1"/>
  <c r="K21" i="1123"/>
  <c r="P9" i="1123"/>
  <c r="AC9" i="1123" s="1"/>
  <c r="P15" i="1123"/>
  <c r="AC15" i="1123" s="1"/>
  <c r="O17" i="1123"/>
  <c r="AD17" i="1123" s="1"/>
  <c r="P20" i="1123"/>
  <c r="AC20" i="1123" s="1"/>
  <c r="M9" i="1123"/>
  <c r="AB9" i="1123"/>
  <c r="M15" i="1123"/>
  <c r="AB15" i="1123"/>
  <c r="M20" i="1123"/>
  <c r="AB20" i="1123"/>
  <c r="L21" i="1123"/>
  <c r="O21" i="1123" s="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K14" i="1122"/>
  <c r="AF14" i="1122"/>
  <c r="AB14" i="1122"/>
  <c r="Q14" i="1122"/>
  <c r="P14" i="1122" s="1"/>
  <c r="AC14" i="1122" s="1"/>
  <c r="O14" i="1122"/>
  <c r="M14" i="1122"/>
  <c r="L21" i="1122"/>
  <c r="L18" i="1122"/>
  <c r="K18" i="1122"/>
  <c r="L16" i="1122"/>
  <c r="K16" i="1122"/>
  <c r="L10" i="1122"/>
  <c r="L9" i="1122"/>
  <c r="L8" i="1122"/>
  <c r="K7" i="1122"/>
  <c r="K21" i="1122"/>
  <c r="K20" i="1122"/>
  <c r="K13" i="1122"/>
  <c r="K10" i="1122"/>
  <c r="K9" i="1122"/>
  <c r="K8" i="1122"/>
  <c r="K6" i="1122"/>
  <c r="A76" i="1122"/>
  <c r="A77" i="1122" s="1"/>
  <c r="A78" i="1122" s="1"/>
  <c r="A79" i="1122" s="1"/>
  <c r="A80" i="1122" s="1"/>
  <c r="A81" i="1122" s="1"/>
  <c r="A82" i="1122" s="1"/>
  <c r="A75" i="1122"/>
  <c r="AF61" i="1122"/>
  <c r="AF60" i="1122"/>
  <c r="AF63" i="1122" s="1"/>
  <c r="AA22" i="1122"/>
  <c r="Z22" i="1122"/>
  <c r="Y22" i="1122"/>
  <c r="X22" i="1122"/>
  <c r="W22" i="1122"/>
  <c r="V22" i="1122"/>
  <c r="U22" i="1122"/>
  <c r="T22" i="1122"/>
  <c r="S22" i="1122"/>
  <c r="R22" i="1122"/>
  <c r="N22" i="1122"/>
  <c r="J22" i="1122"/>
  <c r="I22" i="1122"/>
  <c r="AF21" i="1122"/>
  <c r="AB21" i="1122"/>
  <c r="Q21" i="1122"/>
  <c r="M21" i="1122"/>
  <c r="O21" i="1122"/>
  <c r="AF20" i="1122"/>
  <c r="Q20" i="1122"/>
  <c r="AB20" i="1122"/>
  <c r="AF19" i="1122"/>
  <c r="AB19" i="1122"/>
  <c r="Q19" i="1122"/>
  <c r="P19" i="1122"/>
  <c r="AC19" i="1122" s="1"/>
  <c r="AD19" i="1122" s="1"/>
  <c r="O19" i="1122"/>
  <c r="M19" i="1122"/>
  <c r="K19" i="1122"/>
  <c r="AF18" i="1122"/>
  <c r="AB18" i="1122"/>
  <c r="Q18" i="1122"/>
  <c r="P18" i="1122"/>
  <c r="AC18" i="1122" s="1"/>
  <c r="O18" i="1122"/>
  <c r="M18" i="1122"/>
  <c r="AF17" i="1122"/>
  <c r="AB17" i="1122"/>
  <c r="Q17" i="1122"/>
  <c r="P17" i="1122"/>
  <c r="AC17" i="1122" s="1"/>
  <c r="O17" i="1122"/>
  <c r="M17" i="1122"/>
  <c r="K17" i="1122"/>
  <c r="AF16" i="1122"/>
  <c r="AB16" i="1122"/>
  <c r="Q16" i="1122"/>
  <c r="M16" i="1122"/>
  <c r="O16" i="1122"/>
  <c r="AF15" i="1122"/>
  <c r="AB15" i="1122"/>
  <c r="Q15" i="1122"/>
  <c r="P15" i="1122"/>
  <c r="AC15" i="1122" s="1"/>
  <c r="O15" i="1122"/>
  <c r="M15" i="1122"/>
  <c r="K15" i="1122"/>
  <c r="AF13" i="1122"/>
  <c r="AB13" i="1122"/>
  <c r="Q13" i="1122"/>
  <c r="P13" i="1122" s="1"/>
  <c r="AC13" i="1122" s="1"/>
  <c r="O13" i="1122"/>
  <c r="M13" i="1122"/>
  <c r="AF12" i="1122"/>
  <c r="AB12" i="1122"/>
  <c r="Q12" i="1122"/>
  <c r="P12" i="1122"/>
  <c r="AC12" i="1122" s="1"/>
  <c r="O12" i="1122"/>
  <c r="M12" i="1122"/>
  <c r="K12" i="1122"/>
  <c r="AF11" i="1122"/>
  <c r="AB11" i="1122"/>
  <c r="Q11" i="1122"/>
  <c r="P11" i="1122"/>
  <c r="AC11" i="1122" s="1"/>
  <c r="O11" i="1122"/>
  <c r="M11" i="1122"/>
  <c r="K11" i="1122"/>
  <c r="AF10" i="1122"/>
  <c r="AB10" i="1122"/>
  <c r="Q10" i="1122"/>
  <c r="M10" i="1122"/>
  <c r="O10" i="1122"/>
  <c r="AF9" i="1122"/>
  <c r="Q9" i="1122"/>
  <c r="AB9" i="1122"/>
  <c r="AF8" i="1122"/>
  <c r="AB8" i="1122"/>
  <c r="Q8" i="1122"/>
  <c r="M8" i="1122"/>
  <c r="O8" i="1122"/>
  <c r="AF7" i="1122"/>
  <c r="Q7" i="1122"/>
  <c r="AB7" i="1122"/>
  <c r="AF6" i="1122"/>
  <c r="Q6" i="1122"/>
  <c r="P6" i="1122"/>
  <c r="O6" i="1122"/>
  <c r="M6" i="1122"/>
  <c r="L22" i="1122"/>
  <c r="O22" i="1122" s="1"/>
  <c r="P21" i="1123" l="1"/>
  <c r="AB21" i="1123"/>
  <c r="M21" i="1123"/>
  <c r="AD9" i="1123"/>
  <c r="AD15" i="1123"/>
  <c r="AD20" i="1123"/>
  <c r="AC21" i="1123"/>
  <c r="AD14" i="1122"/>
  <c r="AD13" i="1122"/>
  <c r="AD12" i="1122"/>
  <c r="AD18" i="1122"/>
  <c r="Q22" i="1122"/>
  <c r="AD15" i="1122"/>
  <c r="AD17" i="1122"/>
  <c r="AD11" i="1122"/>
  <c r="AB6" i="1122"/>
  <c r="AB22" i="1122" s="1"/>
  <c r="O7" i="1122"/>
  <c r="P8" i="1122"/>
  <c r="AC8" i="1122" s="1"/>
  <c r="AD8" i="1122" s="1"/>
  <c r="O9" i="1122"/>
  <c r="P10" i="1122"/>
  <c r="AC10" i="1122" s="1"/>
  <c r="AD10" i="1122" s="1"/>
  <c r="P16" i="1122"/>
  <c r="AC16" i="1122" s="1"/>
  <c r="AD16" i="1122" s="1"/>
  <c r="O20" i="1122"/>
  <c r="P21" i="1122"/>
  <c r="AC21" i="1122" s="1"/>
  <c r="AD21" i="1122" s="1"/>
  <c r="AC6" i="1122"/>
  <c r="K22" i="1122"/>
  <c r="P7" i="1122"/>
  <c r="AC7" i="1122" s="1"/>
  <c r="AD7" i="1122" s="1"/>
  <c r="P9" i="1122"/>
  <c r="AC9" i="1122" s="1"/>
  <c r="AD9" i="1122" s="1"/>
  <c r="P20" i="1122"/>
  <c r="AC20" i="1122" s="1"/>
  <c r="M7" i="1122"/>
  <c r="M9" i="1122"/>
  <c r="M20" i="1122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1121"/>
  <c r="L20" i="1121"/>
  <c r="L16" i="1121"/>
  <c r="L14" i="1121"/>
  <c r="K14" i="1121" s="1"/>
  <c r="L11" i="1121"/>
  <c r="K11" i="1121"/>
  <c r="L10" i="1121"/>
  <c r="L8" i="1121"/>
  <c r="K8" i="1121"/>
  <c r="AF8" i="1121"/>
  <c r="Q8" i="1121"/>
  <c r="P8" i="1121" s="1"/>
  <c r="AC8" i="1121" s="1"/>
  <c r="AB8" i="1121"/>
  <c r="L7" i="1121"/>
  <c r="K7" i="1121" s="1"/>
  <c r="L6" i="1121"/>
  <c r="K21" i="1121"/>
  <c r="K20" i="1121"/>
  <c r="K16" i="1121"/>
  <c r="K12" i="1121"/>
  <c r="K10" i="1121"/>
  <c r="K9" i="1121"/>
  <c r="K6" i="1121"/>
  <c r="A75" i="1121"/>
  <c r="A76" i="1121" s="1"/>
  <c r="A77" i="1121" s="1"/>
  <c r="A78" i="1121" s="1"/>
  <c r="A79" i="1121" s="1"/>
  <c r="A80" i="1121" s="1"/>
  <c r="A81" i="1121" s="1"/>
  <c r="A82" i="1121" s="1"/>
  <c r="AF63" i="1121"/>
  <c r="AF61" i="1121"/>
  <c r="AF60" i="1121"/>
  <c r="AA22" i="1121"/>
  <c r="Z22" i="1121"/>
  <c r="Y22" i="1121"/>
  <c r="X22" i="1121"/>
  <c r="W22" i="1121"/>
  <c r="V22" i="1121"/>
  <c r="U22" i="1121"/>
  <c r="T22" i="1121"/>
  <c r="S22" i="1121"/>
  <c r="R22" i="1121"/>
  <c r="N22" i="1121"/>
  <c r="J22" i="1121"/>
  <c r="I22" i="1121"/>
  <c r="AF21" i="1121"/>
  <c r="Q21" i="1121"/>
  <c r="P21" i="1121" s="1"/>
  <c r="AC21" i="1121" s="1"/>
  <c r="M21" i="1121"/>
  <c r="O21" i="1121"/>
  <c r="AF20" i="1121"/>
  <c r="Q20" i="1121"/>
  <c r="O20" i="1121"/>
  <c r="AB20" i="1121"/>
  <c r="AF19" i="1121"/>
  <c r="AB19" i="1121"/>
  <c r="Q19" i="1121"/>
  <c r="P19" i="1121"/>
  <c r="AC19" i="1121" s="1"/>
  <c r="AD19" i="1121" s="1"/>
  <c r="O19" i="1121"/>
  <c r="M19" i="1121"/>
  <c r="K19" i="1121"/>
  <c r="AF18" i="1121"/>
  <c r="AB18" i="1121"/>
  <c r="Q18" i="1121"/>
  <c r="P18" i="1121"/>
  <c r="AC18" i="1121" s="1"/>
  <c r="O18" i="1121"/>
  <c r="M18" i="1121"/>
  <c r="K18" i="1121"/>
  <c r="AF17" i="1121"/>
  <c r="AB17" i="1121"/>
  <c r="Q17" i="1121"/>
  <c r="P17" i="1121"/>
  <c r="AC17" i="1121" s="1"/>
  <c r="O17" i="1121"/>
  <c r="M17" i="1121"/>
  <c r="K17" i="1121"/>
  <c r="AF16" i="1121"/>
  <c r="AB16" i="1121"/>
  <c r="Q16" i="1121"/>
  <c r="P16" i="1121"/>
  <c r="AC16" i="1121" s="1"/>
  <c r="M16" i="1121"/>
  <c r="O16" i="1121"/>
  <c r="AF15" i="1121"/>
  <c r="AB15" i="1121"/>
  <c r="Q15" i="1121"/>
  <c r="P15" i="1121"/>
  <c r="AC15" i="1121" s="1"/>
  <c r="O15" i="1121"/>
  <c r="M15" i="1121"/>
  <c r="K15" i="1121"/>
  <c r="AF14" i="1121"/>
  <c r="Q14" i="1121"/>
  <c r="P14" i="1121" s="1"/>
  <c r="AC14" i="1121" s="1"/>
  <c r="AF13" i="1121"/>
  <c r="AB13" i="1121"/>
  <c r="Q13" i="1121"/>
  <c r="P13" i="1121"/>
  <c r="AC13" i="1121" s="1"/>
  <c r="O13" i="1121"/>
  <c r="M13" i="1121"/>
  <c r="K13" i="1121"/>
  <c r="AF12" i="1121"/>
  <c r="AB12" i="1121"/>
  <c r="Q12" i="1121"/>
  <c r="P12" i="1121"/>
  <c r="AC12" i="1121" s="1"/>
  <c r="M12" i="1121"/>
  <c r="O12" i="1121"/>
  <c r="AF11" i="1121"/>
  <c r="AB11" i="1121"/>
  <c r="Q11" i="1121"/>
  <c r="P11" i="1121" s="1"/>
  <c r="AC11" i="1121" s="1"/>
  <c r="O11" i="1121"/>
  <c r="M11" i="1121"/>
  <c r="AF10" i="1121"/>
  <c r="Q10" i="1121"/>
  <c r="O10" i="1121"/>
  <c r="AB10" i="1121"/>
  <c r="AF9" i="1121"/>
  <c r="AB9" i="1121"/>
  <c r="Q9" i="1121"/>
  <c r="P9" i="1121" s="1"/>
  <c r="AC9" i="1121" s="1"/>
  <c r="O9" i="1121"/>
  <c r="M9" i="1121"/>
  <c r="AF7" i="1121"/>
  <c r="AB7" i="1121"/>
  <c r="Q7" i="1121"/>
  <c r="P7" i="1121" s="1"/>
  <c r="AC7" i="1121" s="1"/>
  <c r="O7" i="1121"/>
  <c r="M7" i="1121"/>
  <c r="AF6" i="1121"/>
  <c r="Q6" i="1121"/>
  <c r="O6" i="1121"/>
  <c r="AB6" i="1121"/>
  <c r="AD21" i="1123" l="1"/>
  <c r="AE16" i="1123" s="1"/>
  <c r="M22" i="1122"/>
  <c r="AD20" i="1122"/>
  <c r="AC22" i="1122"/>
  <c r="AD6" i="1122"/>
  <c r="P22" i="1122"/>
  <c r="O8" i="1121"/>
  <c r="AD8" i="1121" s="1"/>
  <c r="AD15" i="1121"/>
  <c r="AD11" i="1121"/>
  <c r="M8" i="1121"/>
  <c r="Q22" i="1121"/>
  <c r="AD7" i="1121"/>
  <c r="AD13" i="1121"/>
  <c r="AD17" i="1121"/>
  <c r="AD12" i="1121"/>
  <c r="AD9" i="1121"/>
  <c r="AD18" i="1121"/>
  <c r="AD16" i="1121"/>
  <c r="P6" i="1121"/>
  <c r="P10" i="1121"/>
  <c r="AC10" i="1121" s="1"/>
  <c r="AD10" i="1121" s="1"/>
  <c r="M14" i="1121"/>
  <c r="AB14" i="1121"/>
  <c r="P20" i="1121"/>
  <c r="AC20" i="1121" s="1"/>
  <c r="AD20" i="1121" s="1"/>
  <c r="O14" i="1121"/>
  <c r="AB21" i="1121"/>
  <c r="AD21" i="1121" s="1"/>
  <c r="L22" i="1121"/>
  <c r="O22" i="1121" s="1"/>
  <c r="M6" i="1121"/>
  <c r="M10" i="1121"/>
  <c r="M20" i="1121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0" i="1120"/>
  <c r="L19" i="1120"/>
  <c r="AE18" i="1123" l="1"/>
  <c r="AE7" i="1123"/>
  <c r="AE9" i="1123"/>
  <c r="AE13" i="1123"/>
  <c r="AE12" i="1123"/>
  <c r="AE11" i="1123"/>
  <c r="AE10" i="1123"/>
  <c r="AE20" i="1123"/>
  <c r="AE8" i="1123"/>
  <c r="AE17" i="1123"/>
  <c r="AE19" i="1123"/>
  <c r="AE6" i="1123"/>
  <c r="AE15" i="1123"/>
  <c r="AE14" i="1123"/>
  <c r="AD22" i="1122"/>
  <c r="AB22" i="1121"/>
  <c r="M22" i="1121"/>
  <c r="AD14" i="1121"/>
  <c r="P22" i="1121"/>
  <c r="AC6" i="1121"/>
  <c r="K22" i="1121"/>
  <c r="L15" i="1120"/>
  <c r="K15" i="1120" s="1"/>
  <c r="L13" i="1120"/>
  <c r="K13" i="1120" s="1"/>
  <c r="L11" i="1120"/>
  <c r="K11" i="1120" s="1"/>
  <c r="L9" i="1120"/>
  <c r="K9" i="1120" s="1"/>
  <c r="L8" i="1120"/>
  <c r="L6" i="1120"/>
  <c r="K6" i="1120" s="1"/>
  <c r="K20" i="1120"/>
  <c r="K16" i="1120"/>
  <c r="K8" i="1120"/>
  <c r="A75" i="1120"/>
  <c r="A76" i="1120" s="1"/>
  <c r="A77" i="1120" s="1"/>
  <c r="A78" i="1120" s="1"/>
  <c r="A79" i="1120" s="1"/>
  <c r="A80" i="1120" s="1"/>
  <c r="A81" i="1120" s="1"/>
  <c r="A74" i="1120"/>
  <c r="AF60" i="1120"/>
  <c r="AF59" i="1120"/>
  <c r="AF62" i="1120" s="1"/>
  <c r="AA21" i="1120"/>
  <c r="Z21" i="1120"/>
  <c r="Y21" i="1120"/>
  <c r="X21" i="1120"/>
  <c r="W21" i="1120"/>
  <c r="V21" i="1120"/>
  <c r="U21" i="1120"/>
  <c r="T21" i="1120"/>
  <c r="S21" i="1120"/>
  <c r="R21" i="1120"/>
  <c r="N21" i="1120"/>
  <c r="J21" i="1120"/>
  <c r="I21" i="1120"/>
  <c r="AF20" i="1120"/>
  <c r="AB20" i="1120"/>
  <c r="Q20" i="1120"/>
  <c r="M20" i="1120"/>
  <c r="O20" i="1120"/>
  <c r="AF19" i="1120"/>
  <c r="AB19" i="1120"/>
  <c r="Q19" i="1120"/>
  <c r="P19" i="1120" s="1"/>
  <c r="AC19" i="1120" s="1"/>
  <c r="O19" i="1120"/>
  <c r="M19" i="1120"/>
  <c r="K19" i="1120"/>
  <c r="AF18" i="1120"/>
  <c r="AB18" i="1120"/>
  <c r="Q18" i="1120"/>
  <c r="P18" i="1120"/>
  <c r="AC18" i="1120" s="1"/>
  <c r="AD18" i="1120" s="1"/>
  <c r="O18" i="1120"/>
  <c r="M18" i="1120"/>
  <c r="K18" i="1120"/>
  <c r="AF17" i="1120"/>
  <c r="AB17" i="1120"/>
  <c r="Q17" i="1120"/>
  <c r="P17" i="1120"/>
  <c r="AC17" i="1120" s="1"/>
  <c r="O17" i="1120"/>
  <c r="M17" i="1120"/>
  <c r="K17" i="1120"/>
  <c r="AF16" i="1120"/>
  <c r="AB16" i="1120"/>
  <c r="Q16" i="1120"/>
  <c r="P16" i="1120"/>
  <c r="AC16" i="1120" s="1"/>
  <c r="O16" i="1120"/>
  <c r="M16" i="1120"/>
  <c r="AF15" i="1120"/>
  <c r="AB15" i="1120"/>
  <c r="Q15" i="1120"/>
  <c r="P15" i="1120" s="1"/>
  <c r="AC15" i="1120" s="1"/>
  <c r="O15" i="1120"/>
  <c r="M15" i="1120"/>
  <c r="AF14" i="1120"/>
  <c r="AB14" i="1120"/>
  <c r="Q14" i="1120"/>
  <c r="P14" i="1120"/>
  <c r="AC14" i="1120" s="1"/>
  <c r="AD14" i="1120" s="1"/>
  <c r="O14" i="1120"/>
  <c r="M14" i="1120"/>
  <c r="K14" i="1120"/>
  <c r="AF13" i="1120"/>
  <c r="Q13" i="1120"/>
  <c r="AB13" i="1120"/>
  <c r="AF12" i="1120"/>
  <c r="AB12" i="1120"/>
  <c r="Q12" i="1120"/>
  <c r="P12" i="1120"/>
  <c r="AC12" i="1120" s="1"/>
  <c r="O12" i="1120"/>
  <c r="M12" i="1120"/>
  <c r="K12" i="1120"/>
  <c r="AF11" i="1120"/>
  <c r="AB11" i="1120"/>
  <c r="Q11" i="1120"/>
  <c r="M11" i="1120"/>
  <c r="O11" i="1120"/>
  <c r="AF10" i="1120"/>
  <c r="AB10" i="1120"/>
  <c r="Q10" i="1120"/>
  <c r="P10" i="1120"/>
  <c r="AC10" i="1120" s="1"/>
  <c r="O10" i="1120"/>
  <c r="M10" i="1120"/>
  <c r="K10" i="1120"/>
  <c r="AF9" i="1120"/>
  <c r="AB9" i="1120"/>
  <c r="Q9" i="1120"/>
  <c r="P9" i="1120"/>
  <c r="AC9" i="1120" s="1"/>
  <c r="O9" i="1120"/>
  <c r="M9" i="1120"/>
  <c r="AF8" i="1120"/>
  <c r="AB8" i="1120"/>
  <c r="Q8" i="1120"/>
  <c r="P8" i="1120" s="1"/>
  <c r="AC8" i="1120" s="1"/>
  <c r="M8" i="1120"/>
  <c r="AF7" i="1120"/>
  <c r="AB7" i="1120"/>
  <c r="Q7" i="1120"/>
  <c r="P7" i="1120"/>
  <c r="AC7" i="1120" s="1"/>
  <c r="O7" i="1120"/>
  <c r="M7" i="1120"/>
  <c r="K7" i="1120"/>
  <c r="AF6" i="1120"/>
  <c r="AB6" i="1120"/>
  <c r="Q6" i="1120"/>
  <c r="M6" i="1120"/>
  <c r="O6" i="1120"/>
  <c r="AE11" i="1122" l="1"/>
  <c r="AE14" i="1122"/>
  <c r="AE12" i="1122"/>
  <c r="AE15" i="1122"/>
  <c r="AE18" i="1122"/>
  <c r="AE20" i="1122"/>
  <c r="AE8" i="1122"/>
  <c r="AE21" i="1122"/>
  <c r="AE17" i="1122"/>
  <c r="AE10" i="1122"/>
  <c r="AE7" i="1122"/>
  <c r="AE19" i="1122"/>
  <c r="AE6" i="1122"/>
  <c r="AE13" i="1122"/>
  <c r="AE16" i="1122"/>
  <c r="AE9" i="1122"/>
  <c r="AC22" i="1121"/>
  <c r="AD6" i="1121"/>
  <c r="AD22" i="1121" s="1"/>
  <c r="AE8" i="1121" s="1"/>
  <c r="AD19" i="1120"/>
  <c r="Q21" i="1120"/>
  <c r="AD9" i="1120"/>
  <c r="AD12" i="1120"/>
  <c r="AD7" i="1120"/>
  <c r="AD15" i="1120"/>
  <c r="AD16" i="1120"/>
  <c r="AD10" i="1120"/>
  <c r="AD17" i="1120"/>
  <c r="AB21" i="1120"/>
  <c r="O8" i="1120"/>
  <c r="AD8" i="1120" s="1"/>
  <c r="P6" i="1120"/>
  <c r="P11" i="1120"/>
  <c r="AC11" i="1120" s="1"/>
  <c r="AD11" i="1120" s="1"/>
  <c r="O13" i="1120"/>
  <c r="P20" i="1120"/>
  <c r="AC20" i="1120" s="1"/>
  <c r="AD20" i="1120" s="1"/>
  <c r="P13" i="1120"/>
  <c r="AC13" i="1120" s="1"/>
  <c r="L21" i="1120"/>
  <c r="O21" i="1120" s="1"/>
  <c r="M13" i="1120"/>
  <c r="M21" i="1120" s="1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119"/>
  <c r="O21" i="1119" s="1"/>
  <c r="K17" i="1119"/>
  <c r="L14" i="1119"/>
  <c r="L12" i="1119"/>
  <c r="K12" i="1119" s="1"/>
  <c r="L10" i="1119"/>
  <c r="L9" i="1119"/>
  <c r="K9" i="1119" s="1"/>
  <c r="AF9" i="1119"/>
  <c r="Q9" i="1119"/>
  <c r="AB9" i="1119"/>
  <c r="L8" i="1119"/>
  <c r="L6" i="1119"/>
  <c r="K6" i="1119" s="1"/>
  <c r="K14" i="1119"/>
  <c r="K13" i="1119"/>
  <c r="K11" i="1119"/>
  <c r="K10" i="1119"/>
  <c r="K8" i="1119"/>
  <c r="A75" i="1119"/>
  <c r="A76" i="1119" s="1"/>
  <c r="A77" i="1119" s="1"/>
  <c r="A78" i="1119" s="1"/>
  <c r="A79" i="1119" s="1"/>
  <c r="A80" i="1119" s="1"/>
  <c r="A81" i="1119" s="1"/>
  <c r="A82" i="1119" s="1"/>
  <c r="AF61" i="1119"/>
  <c r="AF63" i="1119" s="1"/>
  <c r="AF60" i="1119"/>
  <c r="AA22" i="1119"/>
  <c r="Z22" i="1119"/>
  <c r="Y22" i="1119"/>
  <c r="X22" i="1119"/>
  <c r="W22" i="1119"/>
  <c r="V22" i="1119"/>
  <c r="U22" i="1119"/>
  <c r="T22" i="1119"/>
  <c r="S22" i="1119"/>
  <c r="R22" i="1119"/>
  <c r="N22" i="1119"/>
  <c r="J22" i="1119"/>
  <c r="I22" i="1119"/>
  <c r="AF21" i="1119"/>
  <c r="AB21" i="1119"/>
  <c r="Q21" i="1119"/>
  <c r="M21" i="1119"/>
  <c r="AF20" i="1119"/>
  <c r="AB20" i="1119"/>
  <c r="Q20" i="1119"/>
  <c r="P20" i="1119"/>
  <c r="AC20" i="1119" s="1"/>
  <c r="O20" i="1119"/>
  <c r="M20" i="1119"/>
  <c r="K20" i="1119"/>
  <c r="AF19" i="1119"/>
  <c r="AB19" i="1119"/>
  <c r="Q19" i="1119"/>
  <c r="P19" i="1119"/>
  <c r="AC19" i="1119" s="1"/>
  <c r="O19" i="1119"/>
  <c r="M19" i="1119"/>
  <c r="K19" i="1119"/>
  <c r="AF18" i="1119"/>
  <c r="AB18" i="1119"/>
  <c r="Q18" i="1119"/>
  <c r="P18" i="1119"/>
  <c r="AC18" i="1119" s="1"/>
  <c r="O18" i="1119"/>
  <c r="M18" i="1119"/>
  <c r="K18" i="1119"/>
  <c r="AF17" i="1119"/>
  <c r="AB17" i="1119"/>
  <c r="Q17" i="1119"/>
  <c r="P17" i="1119" s="1"/>
  <c r="AC17" i="1119" s="1"/>
  <c r="O17" i="1119"/>
  <c r="M17" i="1119"/>
  <c r="AF16" i="1119"/>
  <c r="AB16" i="1119"/>
  <c r="Q16" i="1119"/>
  <c r="P16" i="1119"/>
  <c r="AC16" i="1119" s="1"/>
  <c r="O16" i="1119"/>
  <c r="M16" i="1119"/>
  <c r="K16" i="1119"/>
  <c r="AF15" i="1119"/>
  <c r="AB15" i="1119"/>
  <c r="Q15" i="1119"/>
  <c r="P15" i="1119"/>
  <c r="AC15" i="1119" s="1"/>
  <c r="O15" i="1119"/>
  <c r="M15" i="1119"/>
  <c r="K15" i="1119"/>
  <c r="AF14" i="1119"/>
  <c r="Q14" i="1119"/>
  <c r="AB14" i="1119"/>
  <c r="AF13" i="1119"/>
  <c r="AB13" i="1119"/>
  <c r="Q13" i="1119"/>
  <c r="P13" i="1119"/>
  <c r="AC13" i="1119" s="1"/>
  <c r="M13" i="1119"/>
  <c r="O13" i="1119"/>
  <c r="AF12" i="1119"/>
  <c r="Q12" i="1119"/>
  <c r="P12" i="1119" s="1"/>
  <c r="AC12" i="1119" s="1"/>
  <c r="O12" i="1119"/>
  <c r="AF11" i="1119"/>
  <c r="AB11" i="1119"/>
  <c r="Q11" i="1119"/>
  <c r="P11" i="1119"/>
  <c r="AC11" i="1119" s="1"/>
  <c r="M11" i="1119"/>
  <c r="O11" i="1119"/>
  <c r="AF10" i="1119"/>
  <c r="Q10" i="1119"/>
  <c r="AB10" i="1119"/>
  <c r="AF8" i="1119"/>
  <c r="AB8" i="1119"/>
  <c r="Q8" i="1119"/>
  <c r="P8" i="1119" s="1"/>
  <c r="AC8" i="1119" s="1"/>
  <c r="O8" i="1119"/>
  <c r="M8" i="1119"/>
  <c r="L22" i="1119"/>
  <c r="O22" i="1119" s="1"/>
  <c r="AF7" i="1119"/>
  <c r="AB7" i="1119"/>
  <c r="Q7" i="1119"/>
  <c r="P7" i="1119"/>
  <c r="AC7" i="1119" s="1"/>
  <c r="AD7" i="1119" s="1"/>
  <c r="O7" i="1119"/>
  <c r="M7" i="1119"/>
  <c r="K7" i="1119"/>
  <c r="AF6" i="1119"/>
  <c r="AB6" i="1119"/>
  <c r="Q6" i="1119"/>
  <c r="O6" i="1119"/>
  <c r="M6" i="1119"/>
  <c r="AE19" i="1121" l="1"/>
  <c r="AE17" i="1121"/>
  <c r="AE12" i="1121"/>
  <c r="AE9" i="1121"/>
  <c r="AE10" i="1121"/>
  <c r="AE6" i="1121"/>
  <c r="AE14" i="1121"/>
  <c r="AE7" i="1121"/>
  <c r="AE20" i="1121"/>
  <c r="AE15" i="1121"/>
  <c r="AE21" i="1121"/>
  <c r="AE18" i="1121"/>
  <c r="AE16" i="1121"/>
  <c r="AE13" i="1121"/>
  <c r="AE11" i="1121"/>
  <c r="AD13" i="1120"/>
  <c r="AC6" i="1120"/>
  <c r="P21" i="1120"/>
  <c r="K21" i="1120"/>
  <c r="K21" i="1119"/>
  <c r="AD19" i="1119"/>
  <c r="O9" i="1119"/>
  <c r="K22" i="1119"/>
  <c r="P9" i="1119"/>
  <c r="AC9" i="1119" s="1"/>
  <c r="AD9" i="1119" s="1"/>
  <c r="Q22" i="1119"/>
  <c r="AD13" i="1119"/>
  <c r="M9" i="1119"/>
  <c r="P6" i="1119"/>
  <c r="AC6" i="1119" s="1"/>
  <c r="AD6" i="1119" s="1"/>
  <c r="AD8" i="1119"/>
  <c r="AD15" i="1119"/>
  <c r="AD16" i="1119"/>
  <c r="AD17" i="1119"/>
  <c r="AD20" i="1119"/>
  <c r="AD11" i="1119"/>
  <c r="AD18" i="1119"/>
  <c r="P21" i="1119"/>
  <c r="AC21" i="1119" s="1"/>
  <c r="AD21" i="1119" s="1"/>
  <c r="O10" i="1119"/>
  <c r="O14" i="1119"/>
  <c r="P10" i="1119"/>
  <c r="AC10" i="1119" s="1"/>
  <c r="AD10" i="1119" s="1"/>
  <c r="M12" i="1119"/>
  <c r="AB12" i="1119"/>
  <c r="AB22" i="1119" s="1"/>
  <c r="P14" i="1119"/>
  <c r="AC14" i="1119" s="1"/>
  <c r="M10" i="1119"/>
  <c r="M14" i="1119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118"/>
  <c r="L13" i="1118"/>
  <c r="K13" i="1118" s="1"/>
  <c r="L12" i="1118"/>
  <c r="L11" i="1118"/>
  <c r="AB11" i="1118" s="1"/>
  <c r="L10" i="1118"/>
  <c r="K10" i="1118"/>
  <c r="L9" i="1118"/>
  <c r="K9" i="1118" s="1"/>
  <c r="L8" i="1118"/>
  <c r="K20" i="1118"/>
  <c r="K19" i="1118"/>
  <c r="K14" i="1118"/>
  <c r="K8" i="1118"/>
  <c r="A75" i="1118"/>
  <c r="A76" i="1118" s="1"/>
  <c r="A77" i="1118" s="1"/>
  <c r="A78" i="1118" s="1"/>
  <c r="A79" i="1118" s="1"/>
  <c r="A80" i="1118" s="1"/>
  <c r="A81" i="1118" s="1"/>
  <c r="A74" i="1118"/>
  <c r="AF60" i="1118"/>
  <c r="AF59" i="1118"/>
  <c r="AF62" i="1118" s="1"/>
  <c r="AA21" i="1118"/>
  <c r="Z21" i="1118"/>
  <c r="Y21" i="1118"/>
  <c r="X21" i="1118"/>
  <c r="W21" i="1118"/>
  <c r="V21" i="1118"/>
  <c r="U21" i="1118"/>
  <c r="T21" i="1118"/>
  <c r="S21" i="1118"/>
  <c r="R21" i="1118"/>
  <c r="N21" i="1118"/>
  <c r="J21" i="1118"/>
  <c r="I21" i="1118"/>
  <c r="AF20" i="1118"/>
  <c r="Q20" i="1118"/>
  <c r="O20" i="1118"/>
  <c r="AF19" i="1118"/>
  <c r="Q19" i="1118"/>
  <c r="P19" i="1118"/>
  <c r="AC19" i="1118" s="1"/>
  <c r="AB19" i="1118"/>
  <c r="AF18" i="1118"/>
  <c r="AB18" i="1118"/>
  <c r="Q18" i="1118"/>
  <c r="P18" i="1118"/>
  <c r="AC18" i="1118" s="1"/>
  <c r="O18" i="1118"/>
  <c r="M18" i="1118"/>
  <c r="K18" i="1118"/>
  <c r="AF17" i="1118"/>
  <c r="AB17" i="1118"/>
  <c r="Q17" i="1118"/>
  <c r="P17" i="1118"/>
  <c r="AC17" i="1118" s="1"/>
  <c r="O17" i="1118"/>
  <c r="M17" i="1118"/>
  <c r="K17" i="1118"/>
  <c r="AF16" i="1118"/>
  <c r="AC16" i="1118"/>
  <c r="AB16" i="1118"/>
  <c r="Q16" i="1118"/>
  <c r="P16" i="1118"/>
  <c r="O16" i="1118"/>
  <c r="M16" i="1118"/>
  <c r="K16" i="1118"/>
  <c r="AF15" i="1118"/>
  <c r="AB15" i="1118"/>
  <c r="Q15" i="1118"/>
  <c r="P15" i="1118"/>
  <c r="AC15" i="1118" s="1"/>
  <c r="O15" i="1118"/>
  <c r="M15" i="1118"/>
  <c r="K15" i="1118"/>
  <c r="AF14" i="1118"/>
  <c r="AB14" i="1118"/>
  <c r="Q14" i="1118"/>
  <c r="P14" i="1118"/>
  <c r="AC14" i="1118" s="1"/>
  <c r="AD14" i="1118" s="1"/>
  <c r="O14" i="1118"/>
  <c r="M14" i="1118"/>
  <c r="AF13" i="1118"/>
  <c r="Q13" i="1118"/>
  <c r="O13" i="1118"/>
  <c r="AF12" i="1118"/>
  <c r="AB12" i="1118"/>
  <c r="Q12" i="1118"/>
  <c r="P12" i="1118" s="1"/>
  <c r="AC12" i="1118" s="1"/>
  <c r="O12" i="1118"/>
  <c r="M12" i="1118"/>
  <c r="K12" i="1118"/>
  <c r="AF11" i="1118"/>
  <c r="Q11" i="1118"/>
  <c r="AF10" i="1118"/>
  <c r="Q10" i="1118"/>
  <c r="O10" i="1118"/>
  <c r="AB10" i="1118"/>
  <c r="AF9" i="1118"/>
  <c r="AB9" i="1118"/>
  <c r="Q9" i="1118"/>
  <c r="P9" i="1118" s="1"/>
  <c r="AC9" i="1118" s="1"/>
  <c r="O9" i="1118"/>
  <c r="M9" i="1118"/>
  <c r="AF8" i="1118"/>
  <c r="Q8" i="1118"/>
  <c r="O8" i="1118"/>
  <c r="AF7" i="1118"/>
  <c r="AB7" i="1118"/>
  <c r="Q7" i="1118"/>
  <c r="P7" i="1118"/>
  <c r="AC7" i="1118" s="1"/>
  <c r="O7" i="1118"/>
  <c r="M7" i="1118"/>
  <c r="K7" i="1118"/>
  <c r="AF6" i="1118"/>
  <c r="AC6" i="1118"/>
  <c r="AB6" i="1118"/>
  <c r="Q6" i="1118"/>
  <c r="P6" i="1118"/>
  <c r="O6" i="1118"/>
  <c r="M6" i="1118"/>
  <c r="K6" i="1118"/>
  <c r="AC21" i="1120" l="1"/>
  <c r="AD6" i="1120"/>
  <c r="AD21" i="1120" s="1"/>
  <c r="M22" i="1119"/>
  <c r="AD12" i="1119"/>
  <c r="AD14" i="1119"/>
  <c r="P22" i="1119"/>
  <c r="AC22" i="1119"/>
  <c r="AD16" i="1118"/>
  <c r="AD18" i="1118"/>
  <c r="P11" i="1118"/>
  <c r="AC11" i="1118" s="1"/>
  <c r="K11" i="1118"/>
  <c r="P10" i="1118"/>
  <c r="AC10" i="1118" s="1"/>
  <c r="AD10" i="1118" s="1"/>
  <c r="AD9" i="1118"/>
  <c r="Q21" i="1118"/>
  <c r="AD7" i="1118"/>
  <c r="AD15" i="1118"/>
  <c r="AD12" i="1118"/>
  <c r="AD17" i="1118"/>
  <c r="P8" i="1118"/>
  <c r="AC8" i="1118" s="1"/>
  <c r="M10" i="1118"/>
  <c r="O11" i="1118"/>
  <c r="P13" i="1118"/>
  <c r="AC13" i="1118" s="1"/>
  <c r="O19" i="1118"/>
  <c r="AD19" i="1118" s="1"/>
  <c r="P20" i="1118"/>
  <c r="AC20" i="1118" s="1"/>
  <c r="AB8" i="1118"/>
  <c r="M13" i="1118"/>
  <c r="AB13" i="1118"/>
  <c r="M20" i="1118"/>
  <c r="AB20" i="1118"/>
  <c r="L21" i="1118"/>
  <c r="O21" i="1118" s="1"/>
  <c r="M8" i="1118"/>
  <c r="AD6" i="1118"/>
  <c r="K21" i="1118"/>
  <c r="M11" i="1118"/>
  <c r="M19" i="1118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1117"/>
  <c r="L20" i="1117"/>
  <c r="K20" i="1117" s="1"/>
  <c r="K15" i="1117"/>
  <c r="L14" i="1117"/>
  <c r="L10" i="1117"/>
  <c r="K10" i="1117" s="1"/>
  <c r="L11" i="1117"/>
  <c r="AF11" i="1117"/>
  <c r="AB11" i="1117"/>
  <c r="Q11" i="1117"/>
  <c r="O11" i="1117"/>
  <c r="M11" i="1117"/>
  <c r="K11" i="1117"/>
  <c r="L9" i="1117"/>
  <c r="L8" i="1117"/>
  <c r="K8" i="1117" s="1"/>
  <c r="K14" i="1117"/>
  <c r="K12" i="1117"/>
  <c r="K9" i="1117"/>
  <c r="A75" i="1117"/>
  <c r="A76" i="1117" s="1"/>
  <c r="A77" i="1117" s="1"/>
  <c r="A78" i="1117" s="1"/>
  <c r="A79" i="1117" s="1"/>
  <c r="A80" i="1117" s="1"/>
  <c r="A81" i="1117" s="1"/>
  <c r="A82" i="1117" s="1"/>
  <c r="AF63" i="1117"/>
  <c r="AF61" i="1117"/>
  <c r="AF60" i="1117"/>
  <c r="AA22" i="1117"/>
  <c r="Z22" i="1117"/>
  <c r="Y22" i="1117"/>
  <c r="X22" i="1117"/>
  <c r="W22" i="1117"/>
  <c r="V22" i="1117"/>
  <c r="U22" i="1117"/>
  <c r="T22" i="1117"/>
  <c r="S22" i="1117"/>
  <c r="R22" i="1117"/>
  <c r="N22" i="1117"/>
  <c r="J22" i="1117"/>
  <c r="I22" i="1117"/>
  <c r="AF21" i="1117"/>
  <c r="AB21" i="1117"/>
  <c r="Q21" i="1117"/>
  <c r="P21" i="1117"/>
  <c r="AC21" i="1117" s="1"/>
  <c r="O21" i="1117"/>
  <c r="M21" i="1117"/>
  <c r="K21" i="1117"/>
  <c r="AF20" i="1117"/>
  <c r="Q20" i="1117"/>
  <c r="P20" i="1117" s="1"/>
  <c r="AC20" i="1117" s="1"/>
  <c r="M20" i="1117"/>
  <c r="AF19" i="1117"/>
  <c r="AB19" i="1117"/>
  <c r="Q19" i="1117"/>
  <c r="P19" i="1117"/>
  <c r="AC19" i="1117" s="1"/>
  <c r="O19" i="1117"/>
  <c r="M19" i="1117"/>
  <c r="K19" i="1117"/>
  <c r="AF18" i="1117"/>
  <c r="AB18" i="1117"/>
  <c r="Q18" i="1117"/>
  <c r="P18" i="1117"/>
  <c r="AC18" i="1117" s="1"/>
  <c r="AD18" i="1117" s="1"/>
  <c r="O18" i="1117"/>
  <c r="M18" i="1117"/>
  <c r="K18" i="1117"/>
  <c r="AF17" i="1117"/>
  <c r="AB17" i="1117"/>
  <c r="Q17" i="1117"/>
  <c r="P17" i="1117"/>
  <c r="AC17" i="1117" s="1"/>
  <c r="O17" i="1117"/>
  <c r="M17" i="1117"/>
  <c r="K17" i="1117"/>
  <c r="AF16" i="1117"/>
  <c r="AC16" i="1117"/>
  <c r="AB16" i="1117"/>
  <c r="Q16" i="1117"/>
  <c r="P16" i="1117"/>
  <c r="O16" i="1117"/>
  <c r="M16" i="1117"/>
  <c r="K16" i="1117"/>
  <c r="AF15" i="1117"/>
  <c r="AB15" i="1117"/>
  <c r="Q15" i="1117"/>
  <c r="P15" i="1117"/>
  <c r="AC15" i="1117" s="1"/>
  <c r="O15" i="1117"/>
  <c r="M15" i="1117"/>
  <c r="AF14" i="1117"/>
  <c r="AB14" i="1117"/>
  <c r="Q14" i="1117"/>
  <c r="O14" i="1117"/>
  <c r="M14" i="1117"/>
  <c r="P14" i="1117"/>
  <c r="AC14" i="1117" s="1"/>
  <c r="AD14" i="1117" s="1"/>
  <c r="AF13" i="1117"/>
  <c r="AB13" i="1117"/>
  <c r="Q13" i="1117"/>
  <c r="P13" i="1117"/>
  <c r="AC13" i="1117" s="1"/>
  <c r="O13" i="1117"/>
  <c r="M13" i="1117"/>
  <c r="K13" i="1117"/>
  <c r="AF12" i="1117"/>
  <c r="AB12" i="1117"/>
  <c r="Q12" i="1117"/>
  <c r="P12" i="1117"/>
  <c r="AC12" i="1117" s="1"/>
  <c r="O12" i="1117"/>
  <c r="M12" i="1117"/>
  <c r="AF10" i="1117"/>
  <c r="AB10" i="1117"/>
  <c r="Q10" i="1117"/>
  <c r="O10" i="1117"/>
  <c r="M10" i="1117"/>
  <c r="P10" i="1117"/>
  <c r="AC10" i="1117" s="1"/>
  <c r="AF9" i="1117"/>
  <c r="AB9" i="1117"/>
  <c r="Q9" i="1117"/>
  <c r="M9" i="1117"/>
  <c r="P9" i="1117"/>
  <c r="AC9" i="1117" s="1"/>
  <c r="AF8" i="1117"/>
  <c r="Q8" i="1117"/>
  <c r="P8" i="1117"/>
  <c r="AC8" i="1117" s="1"/>
  <c r="AF7" i="1117"/>
  <c r="AB7" i="1117"/>
  <c r="Q7" i="1117"/>
  <c r="P7" i="1117"/>
  <c r="AC7" i="1117" s="1"/>
  <c r="O7" i="1117"/>
  <c r="M7" i="1117"/>
  <c r="K7" i="1117"/>
  <c r="AF6" i="1117"/>
  <c r="AB6" i="1117"/>
  <c r="Q6" i="1117"/>
  <c r="P6" i="1117"/>
  <c r="O6" i="1117"/>
  <c r="M6" i="1117"/>
  <c r="K6" i="1117"/>
  <c r="AE12" i="1120" l="1"/>
  <c r="AE17" i="1120"/>
  <c r="AE15" i="1120"/>
  <c r="AE13" i="1120"/>
  <c r="AE19" i="1120"/>
  <c r="AE20" i="1120"/>
  <c r="AE11" i="1120"/>
  <c r="AE8" i="1120"/>
  <c r="AE6" i="1120"/>
  <c r="AE10" i="1120"/>
  <c r="AE18" i="1120"/>
  <c r="AE16" i="1120"/>
  <c r="AE14" i="1120"/>
  <c r="AE9" i="1120"/>
  <c r="AE7" i="1120"/>
  <c r="AD22" i="1119"/>
  <c r="AE9" i="1119" s="1"/>
  <c r="AD11" i="1118"/>
  <c r="AC21" i="1118"/>
  <c r="M21" i="1118"/>
  <c r="AD13" i="1118"/>
  <c r="AB21" i="1118"/>
  <c r="AD8" i="1118"/>
  <c r="P21" i="1118"/>
  <c r="AD20" i="1118"/>
  <c r="Q22" i="1117"/>
  <c r="P11" i="1117"/>
  <c r="AC11" i="1117" s="1"/>
  <c r="AD11" i="1117"/>
  <c r="AD7" i="1117"/>
  <c r="AD21" i="1117"/>
  <c r="AD16" i="1117"/>
  <c r="AD19" i="1117"/>
  <c r="AD10" i="1117"/>
  <c r="AD15" i="1117"/>
  <c r="AD13" i="1117"/>
  <c r="AD12" i="1117"/>
  <c r="AD17" i="1117"/>
  <c r="P22" i="1117"/>
  <c r="K22" i="1117"/>
  <c r="AB20" i="1117"/>
  <c r="AC6" i="1117"/>
  <c r="M8" i="1117"/>
  <c r="M22" i="1117" s="1"/>
  <c r="AB8" i="1117"/>
  <c r="O9" i="1117"/>
  <c r="AD9" i="1117" s="1"/>
  <c r="O20" i="1117"/>
  <c r="O8" i="1117"/>
  <c r="L22" i="1117"/>
  <c r="O22" i="1117" s="1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K20" i="1116"/>
  <c r="L19" i="1116"/>
  <c r="K19" i="1116"/>
  <c r="L13" i="1116"/>
  <c r="K12" i="1116"/>
  <c r="L11" i="1116"/>
  <c r="K11" i="1116" s="1"/>
  <c r="L10" i="1116"/>
  <c r="K10" i="1116" s="1"/>
  <c r="L9" i="1116"/>
  <c r="L8" i="1116"/>
  <c r="K17" i="1116"/>
  <c r="K16" i="1116"/>
  <c r="K13" i="1116"/>
  <c r="K9" i="1116"/>
  <c r="K8" i="1116"/>
  <c r="K6" i="1116"/>
  <c r="A74" i="1116"/>
  <c r="A75" i="1116" s="1"/>
  <c r="A76" i="1116" s="1"/>
  <c r="A77" i="1116" s="1"/>
  <c r="A78" i="1116" s="1"/>
  <c r="A79" i="1116" s="1"/>
  <c r="A80" i="1116" s="1"/>
  <c r="A81" i="1116" s="1"/>
  <c r="AF60" i="1116"/>
  <c r="AF59" i="1116"/>
  <c r="AF62" i="1116" s="1"/>
  <c r="AA21" i="1116"/>
  <c r="Z21" i="1116"/>
  <c r="Y21" i="1116"/>
  <c r="X21" i="1116"/>
  <c r="W21" i="1116"/>
  <c r="V21" i="1116"/>
  <c r="U21" i="1116"/>
  <c r="T21" i="1116"/>
  <c r="S21" i="1116"/>
  <c r="R21" i="1116"/>
  <c r="N21" i="1116"/>
  <c r="J21" i="1116"/>
  <c r="I21" i="1116"/>
  <c r="AF20" i="1116"/>
  <c r="AB20" i="1116"/>
  <c r="Q20" i="1116"/>
  <c r="M20" i="1116"/>
  <c r="O20" i="1116"/>
  <c r="AF19" i="1116"/>
  <c r="Q19" i="1116"/>
  <c r="AB19" i="1116"/>
  <c r="AF18" i="1116"/>
  <c r="AB18" i="1116"/>
  <c r="Q18" i="1116"/>
  <c r="P18" i="1116"/>
  <c r="AC18" i="1116" s="1"/>
  <c r="O18" i="1116"/>
  <c r="M18" i="1116"/>
  <c r="K18" i="1116"/>
  <c r="AF17" i="1116"/>
  <c r="AB17" i="1116"/>
  <c r="Q17" i="1116"/>
  <c r="M17" i="1116"/>
  <c r="O17" i="1116"/>
  <c r="AF16" i="1116"/>
  <c r="Q16" i="1116"/>
  <c r="AB16" i="1116"/>
  <c r="AF15" i="1116"/>
  <c r="AB15" i="1116"/>
  <c r="Q15" i="1116"/>
  <c r="P15" i="1116"/>
  <c r="AC15" i="1116" s="1"/>
  <c r="O15" i="1116"/>
  <c r="M15" i="1116"/>
  <c r="K15" i="1116"/>
  <c r="AF14" i="1116"/>
  <c r="AB14" i="1116"/>
  <c r="Q14" i="1116"/>
  <c r="P14" i="1116"/>
  <c r="AC14" i="1116" s="1"/>
  <c r="O14" i="1116"/>
  <c r="M14" i="1116"/>
  <c r="K14" i="1116"/>
  <c r="AF13" i="1116"/>
  <c r="Q13" i="1116"/>
  <c r="P13" i="1116" s="1"/>
  <c r="AC13" i="1116" s="1"/>
  <c r="O13" i="1116"/>
  <c r="AF12" i="1116"/>
  <c r="AB12" i="1116"/>
  <c r="Q12" i="1116"/>
  <c r="P12" i="1116"/>
  <c r="AC12" i="1116" s="1"/>
  <c r="O12" i="1116"/>
  <c r="M12" i="1116"/>
  <c r="AF11" i="1116"/>
  <c r="AB11" i="1116"/>
  <c r="Q11" i="1116"/>
  <c r="P11" i="1116" s="1"/>
  <c r="AC11" i="1116" s="1"/>
  <c r="O11" i="1116"/>
  <c r="M11" i="1116"/>
  <c r="AF10" i="1116"/>
  <c r="Q10" i="1116"/>
  <c r="P10" i="1116" s="1"/>
  <c r="AC10" i="1116" s="1"/>
  <c r="AF9" i="1116"/>
  <c r="Q9" i="1116"/>
  <c r="P9" i="1116"/>
  <c r="AC9" i="1116" s="1"/>
  <c r="O9" i="1116"/>
  <c r="AB9" i="1116"/>
  <c r="AF8" i="1116"/>
  <c r="AB8" i="1116"/>
  <c r="Q8" i="1116"/>
  <c r="P8" i="1116" s="1"/>
  <c r="AC8" i="1116" s="1"/>
  <c r="O8" i="1116"/>
  <c r="M8" i="1116"/>
  <c r="AF7" i="1116"/>
  <c r="AB7" i="1116"/>
  <c r="Q7" i="1116"/>
  <c r="P7" i="1116"/>
  <c r="AC7" i="1116" s="1"/>
  <c r="O7" i="1116"/>
  <c r="M7" i="1116"/>
  <c r="K7" i="1116"/>
  <c r="AF6" i="1116"/>
  <c r="Q6" i="1116"/>
  <c r="L21" i="1116"/>
  <c r="O21" i="1116" s="1"/>
  <c r="AE14" i="1119" l="1"/>
  <c r="AE10" i="1119"/>
  <c r="AE11" i="1119"/>
  <c r="AE13" i="1119"/>
  <c r="AE17" i="1119"/>
  <c r="AE12" i="1119"/>
  <c r="AE20" i="1119"/>
  <c r="AE18" i="1119"/>
  <c r="AE7" i="1119"/>
  <c r="AE21" i="1119"/>
  <c r="AE16" i="1119"/>
  <c r="AE19" i="1119"/>
  <c r="AE15" i="1119"/>
  <c r="AE6" i="1119"/>
  <c r="AE8" i="1119"/>
  <c r="AD21" i="1118"/>
  <c r="AE18" i="1118" s="1"/>
  <c r="AB22" i="1117"/>
  <c r="AD20" i="1117"/>
  <c r="AD8" i="1117"/>
  <c r="AC22" i="1117"/>
  <c r="AD6" i="1117"/>
  <c r="AD12" i="1116"/>
  <c r="AD11" i="1116"/>
  <c r="Q21" i="1116"/>
  <c r="AD9" i="1116"/>
  <c r="AD14" i="1116"/>
  <c r="AD15" i="1116"/>
  <c r="AD8" i="1116"/>
  <c r="AD7" i="1116"/>
  <c r="AD18" i="1116"/>
  <c r="M10" i="1116"/>
  <c r="AB10" i="1116"/>
  <c r="M6" i="1116"/>
  <c r="AB6" i="1116"/>
  <c r="M9" i="1116"/>
  <c r="O10" i="1116"/>
  <c r="M13" i="1116"/>
  <c r="AB13" i="1116"/>
  <c r="AD13" i="1116" s="1"/>
  <c r="O16" i="1116"/>
  <c r="P17" i="1116"/>
  <c r="AC17" i="1116" s="1"/>
  <c r="AD17" i="1116" s="1"/>
  <c r="O19" i="1116"/>
  <c r="P20" i="1116"/>
  <c r="AC20" i="1116" s="1"/>
  <c r="AD20" i="1116" s="1"/>
  <c r="O6" i="1116"/>
  <c r="K21" i="1116"/>
  <c r="P16" i="1116"/>
  <c r="AC16" i="1116" s="1"/>
  <c r="P19" i="1116"/>
  <c r="AC19" i="1116" s="1"/>
  <c r="P6" i="1116"/>
  <c r="M16" i="1116"/>
  <c r="M19" i="11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1115"/>
  <c r="K21" i="1115" s="1"/>
  <c r="L20" i="1115"/>
  <c r="K20" i="1115" s="1"/>
  <c r="L18" i="1115"/>
  <c r="K18" i="1115" s="1"/>
  <c r="L17" i="1115"/>
  <c r="K17" i="1115" s="1"/>
  <c r="L14" i="1115"/>
  <c r="K14" i="1115" s="1"/>
  <c r="AF14" i="1115"/>
  <c r="AB14" i="1115"/>
  <c r="Q14" i="1115"/>
  <c r="P14" i="1115" s="1"/>
  <c r="AC14" i="1115" s="1"/>
  <c r="O14" i="1115"/>
  <c r="M14" i="1115"/>
  <c r="K11" i="1115"/>
  <c r="L10" i="1115"/>
  <c r="K10" i="1115" s="1"/>
  <c r="L9" i="1115"/>
  <c r="K9" i="1115" s="1"/>
  <c r="L8" i="1115"/>
  <c r="K8" i="1115" s="1"/>
  <c r="L6" i="1115"/>
  <c r="K13" i="1115"/>
  <c r="K12" i="1115"/>
  <c r="K7" i="1115"/>
  <c r="K6" i="1115"/>
  <c r="AE11" i="1118" l="1"/>
  <c r="AE6" i="1118"/>
  <c r="AE8" i="1118"/>
  <c r="AE10" i="1118"/>
  <c r="AE9" i="1118"/>
  <c r="AE13" i="1118"/>
  <c r="AE12" i="1118"/>
  <c r="AE14" i="1118"/>
  <c r="AE15" i="1118"/>
  <c r="AE19" i="1118"/>
  <c r="AE16" i="1118"/>
  <c r="AE20" i="1118"/>
  <c r="AE17" i="1118"/>
  <c r="AE7" i="1118"/>
  <c r="AD22" i="1117"/>
  <c r="AE20" i="1117" s="1"/>
  <c r="AD16" i="1116"/>
  <c r="AD10" i="1116"/>
  <c r="AD19" i="1116"/>
  <c r="M21" i="1116"/>
  <c r="P21" i="1116"/>
  <c r="AC6" i="1116"/>
  <c r="AB21" i="1116"/>
  <c r="AD14" i="1115"/>
  <c r="AE7" i="1117" l="1"/>
  <c r="AE12" i="1117"/>
  <c r="AE18" i="1117"/>
  <c r="AE13" i="1117"/>
  <c r="AE11" i="1117"/>
  <c r="AE17" i="1117"/>
  <c r="AE10" i="1117"/>
  <c r="AE6" i="1117"/>
  <c r="AE14" i="1117"/>
  <c r="AE9" i="1117"/>
  <c r="AE8" i="1117"/>
  <c r="AE21" i="1117"/>
  <c r="AE19" i="1117"/>
  <c r="AE15" i="1117"/>
  <c r="AE16" i="1117"/>
  <c r="AC21" i="1116"/>
  <c r="AD6" i="1116"/>
  <c r="AD21" i="1116" s="1"/>
  <c r="A75" i="1115"/>
  <c r="A76" i="1115" s="1"/>
  <c r="A77" i="1115" s="1"/>
  <c r="A78" i="1115" s="1"/>
  <c r="A79" i="1115" s="1"/>
  <c r="A80" i="1115" s="1"/>
  <c r="A81" i="1115" s="1"/>
  <c r="A82" i="1115" s="1"/>
  <c r="AF63" i="1115"/>
  <c r="AF61" i="1115"/>
  <c r="AF60" i="1115"/>
  <c r="AA22" i="1115"/>
  <c r="Z22" i="1115"/>
  <c r="Y22" i="1115"/>
  <c r="X22" i="1115"/>
  <c r="W22" i="1115"/>
  <c r="V22" i="1115"/>
  <c r="U22" i="1115"/>
  <c r="T22" i="1115"/>
  <c r="S22" i="1115"/>
  <c r="R22" i="1115"/>
  <c r="N22" i="1115"/>
  <c r="J22" i="1115"/>
  <c r="I22" i="1115"/>
  <c r="AF21" i="1115"/>
  <c r="Q21" i="1115"/>
  <c r="O21" i="1115"/>
  <c r="AB21" i="1115"/>
  <c r="AF20" i="1115"/>
  <c r="AB20" i="1115"/>
  <c r="Q20" i="1115"/>
  <c r="P20" i="1115" s="1"/>
  <c r="AC20" i="1115" s="1"/>
  <c r="M20" i="1115"/>
  <c r="AF19" i="1115"/>
  <c r="AB19" i="1115"/>
  <c r="Q19" i="1115"/>
  <c r="P19" i="1115"/>
  <c r="AC19" i="1115" s="1"/>
  <c r="O19" i="1115"/>
  <c r="M19" i="1115"/>
  <c r="K19" i="1115"/>
  <c r="AF18" i="1115"/>
  <c r="Q18" i="1115"/>
  <c r="O18" i="1115"/>
  <c r="AF17" i="1115"/>
  <c r="Q17" i="1115"/>
  <c r="AB17" i="1115"/>
  <c r="AF16" i="1115"/>
  <c r="AB16" i="1115"/>
  <c r="Q16" i="1115"/>
  <c r="P16" i="1115"/>
  <c r="AC16" i="1115" s="1"/>
  <c r="O16" i="1115"/>
  <c r="M16" i="1115"/>
  <c r="K16" i="1115"/>
  <c r="AF15" i="1115"/>
  <c r="AB15" i="1115"/>
  <c r="Q15" i="1115"/>
  <c r="P15" i="1115"/>
  <c r="AC15" i="1115" s="1"/>
  <c r="O15" i="1115"/>
  <c r="M15" i="1115"/>
  <c r="K15" i="1115"/>
  <c r="AF13" i="1115"/>
  <c r="Q13" i="1115"/>
  <c r="P13" i="1115"/>
  <c r="AC13" i="1115" s="1"/>
  <c r="AF12" i="1115"/>
  <c r="AB12" i="1115"/>
  <c r="Q12" i="1115"/>
  <c r="P12" i="1115"/>
  <c r="AC12" i="1115" s="1"/>
  <c r="O12" i="1115"/>
  <c r="M12" i="1115"/>
  <c r="AF11" i="1115"/>
  <c r="AB11" i="1115"/>
  <c r="Q11" i="1115"/>
  <c r="M11" i="1115"/>
  <c r="P11" i="1115"/>
  <c r="AC11" i="1115" s="1"/>
  <c r="AF10" i="1115"/>
  <c r="Q10" i="1115"/>
  <c r="P10" i="1115"/>
  <c r="AC10" i="1115" s="1"/>
  <c r="AF9" i="1115"/>
  <c r="AB9" i="1115"/>
  <c r="Q9" i="1115"/>
  <c r="P9" i="1115" s="1"/>
  <c r="AC9" i="1115" s="1"/>
  <c r="O9" i="1115"/>
  <c r="M9" i="1115"/>
  <c r="AF8" i="1115"/>
  <c r="Q8" i="1115"/>
  <c r="O8" i="1115"/>
  <c r="AB8" i="1115"/>
  <c r="AF7" i="1115"/>
  <c r="AB7" i="1115"/>
  <c r="Q7" i="1115"/>
  <c r="M7" i="1115"/>
  <c r="P7" i="1115"/>
  <c r="AC7" i="1115" s="1"/>
  <c r="AF6" i="1115"/>
  <c r="Q6" i="1115"/>
  <c r="L22" i="1115"/>
  <c r="O22" i="1115" s="1"/>
  <c r="AE18" i="1116" l="1"/>
  <c r="AE15" i="1116"/>
  <c r="AE19" i="1116"/>
  <c r="AE16" i="1116"/>
  <c r="AE12" i="1116"/>
  <c r="AE10" i="1116"/>
  <c r="AE20" i="1116"/>
  <c r="AE17" i="1116"/>
  <c r="AE14" i="1116"/>
  <c r="AE7" i="1116"/>
  <c r="AE6" i="1116"/>
  <c r="AE11" i="1116"/>
  <c r="AE8" i="1116"/>
  <c r="AE13" i="1116"/>
  <c r="AE9" i="1116"/>
  <c r="AD16" i="1115"/>
  <c r="AD15" i="1115"/>
  <c r="AD19" i="1115"/>
  <c r="Q22" i="1115"/>
  <c r="AD9" i="1115"/>
  <c r="AD12" i="1115"/>
  <c r="M6" i="1115"/>
  <c r="AB6" i="1115"/>
  <c r="O7" i="1115"/>
  <c r="AD7" i="1115" s="1"/>
  <c r="P8" i="1115"/>
  <c r="AC8" i="1115" s="1"/>
  <c r="AD8" i="1115" s="1"/>
  <c r="M10" i="1115"/>
  <c r="AB10" i="1115"/>
  <c r="O11" i="1115"/>
  <c r="AD11" i="1115" s="1"/>
  <c r="M13" i="1115"/>
  <c r="AB13" i="1115"/>
  <c r="O17" i="1115"/>
  <c r="P18" i="1115"/>
  <c r="AC18" i="1115" s="1"/>
  <c r="O20" i="1115"/>
  <c r="AD20" i="1115" s="1"/>
  <c r="P21" i="1115"/>
  <c r="AC21" i="1115" s="1"/>
  <c r="AD21" i="1115" s="1"/>
  <c r="O6" i="1115"/>
  <c r="O10" i="1115"/>
  <c r="O13" i="1115"/>
  <c r="P17" i="1115"/>
  <c r="AC17" i="1115" s="1"/>
  <c r="AD17" i="1115" s="1"/>
  <c r="P6" i="1115"/>
  <c r="M8" i="1115"/>
  <c r="M18" i="1115"/>
  <c r="AB18" i="1115"/>
  <c r="M21" i="1115"/>
  <c r="M17" i="1115"/>
  <c r="AD10" i="1115" l="1"/>
  <c r="AD13" i="1115"/>
  <c r="AB22" i="1115"/>
  <c r="P22" i="1115"/>
  <c r="AC6" i="1115"/>
  <c r="AD18" i="1115"/>
  <c r="M22" i="1115"/>
  <c r="K22" i="1115"/>
  <c r="AC22" i="1115" l="1"/>
  <c r="AD6" i="1115"/>
  <c r="AD22" i="1115" l="1"/>
  <c r="AE14" i="1115" s="1"/>
  <c r="T3" i="16"/>
  <c r="AE19" i="1115"/>
  <c r="AE16" i="1115"/>
  <c r="AE13" i="1115"/>
  <c r="AE10" i="1115"/>
  <c r="AE6" i="1115"/>
  <c r="AE20" i="1115"/>
  <c r="AE17" i="1115"/>
  <c r="AE11" i="1115"/>
  <c r="AE7" i="1115"/>
  <c r="AE21" i="1115"/>
  <c r="AE18" i="1115"/>
  <c r="AE15" i="1115"/>
  <c r="AE8" i="1115"/>
  <c r="AE12" i="1115"/>
  <c r="AE9" i="1115"/>
  <c r="L20" i="1114" l="1"/>
  <c r="L19" i="1114"/>
  <c r="L17" i="1114"/>
  <c r="K17" i="1114" s="1"/>
  <c r="L16" i="1114"/>
  <c r="L13" i="1114"/>
  <c r="K12" i="1114"/>
  <c r="L11" i="1114"/>
  <c r="K11" i="1114" s="1"/>
  <c r="L10" i="1114"/>
  <c r="O10" i="1114" s="1"/>
  <c r="AF10" i="1114"/>
  <c r="Q10" i="1114"/>
  <c r="M10" i="1114"/>
  <c r="L9" i="1114"/>
  <c r="K9" i="1114" s="1"/>
  <c r="L8" i="1114"/>
  <c r="K8" i="1114" s="1"/>
  <c r="L7" i="1114"/>
  <c r="L6" i="1114"/>
  <c r="P10" i="1114" l="1"/>
  <c r="AC10" i="1114" s="1"/>
  <c r="AD10" i="1114" s="1"/>
  <c r="AB10" i="1114"/>
  <c r="K10" i="1114"/>
  <c r="K20" i="1114" l="1"/>
  <c r="K19" i="1114"/>
  <c r="K18" i="1114"/>
  <c r="K16" i="1114"/>
  <c r="K14" i="1114"/>
  <c r="K13" i="1114"/>
  <c r="K7" i="1114"/>
  <c r="K6" i="1114"/>
  <c r="A74" i="1114"/>
  <c r="A75" i="1114" s="1"/>
  <c r="A76" i="1114" s="1"/>
  <c r="A77" i="1114" s="1"/>
  <c r="A78" i="1114" s="1"/>
  <c r="A79" i="1114" s="1"/>
  <c r="A80" i="1114" s="1"/>
  <c r="A81" i="1114" s="1"/>
  <c r="AF60" i="1114"/>
  <c r="AF62" i="1114" s="1"/>
  <c r="AF59" i="1114"/>
  <c r="AA21" i="1114"/>
  <c r="Z21" i="1114"/>
  <c r="Y21" i="1114"/>
  <c r="X21" i="1114"/>
  <c r="W21" i="1114"/>
  <c r="V21" i="1114"/>
  <c r="U21" i="1114"/>
  <c r="T21" i="1114"/>
  <c r="S21" i="1114"/>
  <c r="R21" i="1114"/>
  <c r="N21" i="1114"/>
  <c r="J21" i="1114"/>
  <c r="I21" i="1114"/>
  <c r="AF20" i="1114"/>
  <c r="AB20" i="1114"/>
  <c r="Q20" i="1114"/>
  <c r="M20" i="1114"/>
  <c r="O20" i="1114"/>
  <c r="AF19" i="1114"/>
  <c r="Q19" i="1114"/>
  <c r="AB19" i="1114"/>
  <c r="AF18" i="1114"/>
  <c r="Q18" i="1114"/>
  <c r="P18" i="1114"/>
  <c r="AC18" i="1114" s="1"/>
  <c r="O18" i="1114"/>
  <c r="AF17" i="1114"/>
  <c r="AB17" i="1114"/>
  <c r="Q17" i="1114"/>
  <c r="P17" i="1114" s="1"/>
  <c r="AC17" i="1114" s="1"/>
  <c r="O17" i="1114"/>
  <c r="M17" i="1114"/>
  <c r="AF16" i="1114"/>
  <c r="Q16" i="1114"/>
  <c r="P16" i="1114" s="1"/>
  <c r="AC16" i="1114" s="1"/>
  <c r="O16" i="1114"/>
  <c r="AF15" i="1114"/>
  <c r="AB15" i="1114"/>
  <c r="Q15" i="1114"/>
  <c r="P15" i="1114"/>
  <c r="AC15" i="1114" s="1"/>
  <c r="O15" i="1114"/>
  <c r="M15" i="1114"/>
  <c r="K15" i="1114"/>
  <c r="AF14" i="1114"/>
  <c r="AB14" i="1114"/>
  <c r="Q14" i="1114"/>
  <c r="P14" i="1114"/>
  <c r="AC14" i="1114" s="1"/>
  <c r="O14" i="1114"/>
  <c r="M14" i="1114"/>
  <c r="AF13" i="1114"/>
  <c r="Q13" i="1114"/>
  <c r="P13" i="1114" s="1"/>
  <c r="AC13" i="1114" s="1"/>
  <c r="O13" i="1114"/>
  <c r="AF12" i="1114"/>
  <c r="AB12" i="1114"/>
  <c r="Q12" i="1114"/>
  <c r="M12" i="1114"/>
  <c r="O12" i="1114"/>
  <c r="AF11" i="1114"/>
  <c r="AB11" i="1114"/>
  <c r="Q11" i="1114"/>
  <c r="P11" i="1114" s="1"/>
  <c r="AC11" i="1114" s="1"/>
  <c r="O11" i="1114"/>
  <c r="M11" i="1114"/>
  <c r="AF9" i="1114"/>
  <c r="AB9" i="1114"/>
  <c r="Q9" i="1114"/>
  <c r="P9" i="1114" s="1"/>
  <c r="AC9" i="1114" s="1"/>
  <c r="O9" i="1114"/>
  <c r="M9" i="1114"/>
  <c r="AF8" i="1114"/>
  <c r="Q8" i="1114"/>
  <c r="P8" i="1114" s="1"/>
  <c r="AC8" i="1114" s="1"/>
  <c r="M8" i="1114"/>
  <c r="O8" i="1114"/>
  <c r="AF7" i="1114"/>
  <c r="Q7" i="1114"/>
  <c r="P7" i="1114" s="1"/>
  <c r="AC7" i="1114" s="1"/>
  <c r="O7" i="1114"/>
  <c r="AF6" i="1114"/>
  <c r="AB6" i="1114"/>
  <c r="Q6" i="1114"/>
  <c r="M6" i="1114"/>
  <c r="O6" i="1114"/>
  <c r="AD15" i="1114" l="1"/>
  <c r="AD9" i="1114"/>
  <c r="Q21" i="1114"/>
  <c r="AD11" i="1114"/>
  <c r="AD17" i="1114"/>
  <c r="AD14" i="1114"/>
  <c r="P6" i="1114"/>
  <c r="AB8" i="1114"/>
  <c r="P12" i="1114"/>
  <c r="AC12" i="1114" s="1"/>
  <c r="AD12" i="1114" s="1"/>
  <c r="M18" i="1114"/>
  <c r="AB18" i="1114"/>
  <c r="AD18" i="1114" s="1"/>
  <c r="O19" i="1114"/>
  <c r="P20" i="1114"/>
  <c r="AC20" i="1114" s="1"/>
  <c r="AD20" i="1114" s="1"/>
  <c r="M7" i="1114"/>
  <c r="AB7" i="1114"/>
  <c r="AD7" i="1114" s="1"/>
  <c r="M13" i="1114"/>
  <c r="AB13" i="1114"/>
  <c r="AD13" i="1114" s="1"/>
  <c r="M16" i="1114"/>
  <c r="AB16" i="1114"/>
  <c r="AD16" i="1114" s="1"/>
  <c r="P19" i="1114"/>
  <c r="AC19" i="1114" s="1"/>
  <c r="AD19" i="1114" s="1"/>
  <c r="L21" i="1114"/>
  <c r="O21" i="1114" s="1"/>
  <c r="K21" i="1114"/>
  <c r="M19" i="1114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3" i="16"/>
  <c r="L21" i="1113"/>
  <c r="K21" i="1113" s="1"/>
  <c r="L20" i="1113"/>
  <c r="K20" i="1113" s="1"/>
  <c r="L19" i="1113"/>
  <c r="M19" i="1113" s="1"/>
  <c r="AF19" i="1113"/>
  <c r="Q19" i="1113"/>
  <c r="P19" i="1113" s="1"/>
  <c r="AC19" i="1113" s="1"/>
  <c r="O19" i="1113"/>
  <c r="K19" i="1113"/>
  <c r="K18" i="1113"/>
  <c r="L16" i="1113"/>
  <c r="K16" i="1113"/>
  <c r="L14" i="1113"/>
  <c r="L13" i="1113"/>
  <c r="K13" i="1113" s="1"/>
  <c r="L12" i="1113"/>
  <c r="K12" i="1113"/>
  <c r="L11" i="1113"/>
  <c r="K11" i="1113"/>
  <c r="K10" i="1113"/>
  <c r="L8" i="1113"/>
  <c r="K8" i="1113" s="1"/>
  <c r="L7" i="1113"/>
  <c r="L6" i="1113"/>
  <c r="K6" i="1113" s="1"/>
  <c r="K7" i="1113"/>
  <c r="A75" i="1113"/>
  <c r="A76" i="1113" s="1"/>
  <c r="A77" i="1113" s="1"/>
  <c r="A78" i="1113" s="1"/>
  <c r="A79" i="1113" s="1"/>
  <c r="A80" i="1113" s="1"/>
  <c r="A81" i="1113" s="1"/>
  <c r="A82" i="1113" s="1"/>
  <c r="AF63" i="1113"/>
  <c r="AF61" i="1113"/>
  <c r="AF60" i="1113"/>
  <c r="AA22" i="1113"/>
  <c r="Z22" i="1113"/>
  <c r="Y22" i="1113"/>
  <c r="X22" i="1113"/>
  <c r="W22" i="1113"/>
  <c r="V22" i="1113"/>
  <c r="U22" i="1113"/>
  <c r="T22" i="1113"/>
  <c r="S22" i="1113"/>
  <c r="R22" i="1113"/>
  <c r="N22" i="1113"/>
  <c r="J22" i="1113"/>
  <c r="I22" i="1113"/>
  <c r="AF21" i="1113"/>
  <c r="AB21" i="1113"/>
  <c r="Q21" i="1113"/>
  <c r="P21" i="1113"/>
  <c r="AC21" i="1113" s="1"/>
  <c r="AD21" i="1113" s="1"/>
  <c r="O21" i="1113"/>
  <c r="M21" i="1113"/>
  <c r="AF20" i="1113"/>
  <c r="AB20" i="1113"/>
  <c r="Q20" i="1113"/>
  <c r="P20" i="1113" s="1"/>
  <c r="AC20" i="1113" s="1"/>
  <c r="O20" i="1113"/>
  <c r="M20" i="1113"/>
  <c r="AF18" i="1113"/>
  <c r="AB18" i="1113"/>
  <c r="Q18" i="1113"/>
  <c r="P18" i="1113" s="1"/>
  <c r="AC18" i="1113" s="1"/>
  <c r="O18" i="1113"/>
  <c r="M18" i="1113"/>
  <c r="AF17" i="1113"/>
  <c r="AB17" i="1113"/>
  <c r="Q17" i="1113"/>
  <c r="P17" i="1113"/>
  <c r="AC17" i="1113" s="1"/>
  <c r="O17" i="1113"/>
  <c r="M17" i="1113"/>
  <c r="K17" i="1113"/>
  <c r="AF16" i="1113"/>
  <c r="AB16" i="1113"/>
  <c r="Q16" i="1113"/>
  <c r="P16" i="1113" s="1"/>
  <c r="AC16" i="1113" s="1"/>
  <c r="O16" i="1113"/>
  <c r="M16" i="1113"/>
  <c r="AF15" i="1113"/>
  <c r="AB15" i="1113"/>
  <c r="Q15" i="1113"/>
  <c r="P15" i="1113"/>
  <c r="AC15" i="1113" s="1"/>
  <c r="O15" i="1113"/>
  <c r="M15" i="1113"/>
  <c r="K15" i="1113"/>
  <c r="AF14" i="1113"/>
  <c r="Q14" i="1113"/>
  <c r="AF13" i="1113"/>
  <c r="Q13" i="1113"/>
  <c r="AF12" i="1113"/>
  <c r="AB12" i="1113"/>
  <c r="Q12" i="1113"/>
  <c r="P12" i="1113" s="1"/>
  <c r="AC12" i="1113" s="1"/>
  <c r="O12" i="1113"/>
  <c r="M12" i="1113"/>
  <c r="AF11" i="1113"/>
  <c r="AB11" i="1113"/>
  <c r="Q11" i="1113"/>
  <c r="P11" i="1113" s="1"/>
  <c r="AC11" i="1113" s="1"/>
  <c r="O11" i="1113"/>
  <c r="M11" i="1113"/>
  <c r="AF10" i="1113"/>
  <c r="AB10" i="1113"/>
  <c r="Q10" i="1113"/>
  <c r="P10" i="1113" s="1"/>
  <c r="AC10" i="1113" s="1"/>
  <c r="O10" i="1113"/>
  <c r="M10" i="1113"/>
  <c r="AF9" i="1113"/>
  <c r="AB9" i="1113"/>
  <c r="Q9" i="1113"/>
  <c r="P9" i="1113"/>
  <c r="AC9" i="1113" s="1"/>
  <c r="O9" i="1113"/>
  <c r="M9" i="1113"/>
  <c r="K9" i="1113"/>
  <c r="AF8" i="1113"/>
  <c r="AB8" i="1113"/>
  <c r="Q8" i="1113"/>
  <c r="P8" i="1113"/>
  <c r="AC8" i="1113" s="1"/>
  <c r="O8" i="1113"/>
  <c r="M8" i="1113"/>
  <c r="AF7" i="1113"/>
  <c r="Q7" i="1113"/>
  <c r="AF6" i="1113"/>
  <c r="AB6" i="1113"/>
  <c r="Q6" i="1113"/>
  <c r="P6" i="1113" s="1"/>
  <c r="O6" i="1113"/>
  <c r="M6" i="1113"/>
  <c r="M21" i="1114" l="1"/>
  <c r="AB21" i="1114"/>
  <c r="AD8" i="1114"/>
  <c r="AC6" i="1114"/>
  <c r="P21" i="1114"/>
  <c r="AB19" i="1113"/>
  <c r="AD19" i="1113" s="1"/>
  <c r="AD15" i="1113"/>
  <c r="AD17" i="1113"/>
  <c r="AD11" i="1113"/>
  <c r="AD18" i="1113"/>
  <c r="AD20" i="1113"/>
  <c r="AD16" i="1113"/>
  <c r="P14" i="1113"/>
  <c r="AC14" i="1113" s="1"/>
  <c r="M14" i="1113"/>
  <c r="AB14" i="1113"/>
  <c r="K14" i="1113"/>
  <c r="O14" i="1113"/>
  <c r="L22" i="1113"/>
  <c r="O22" i="1113" s="1"/>
  <c r="P13" i="1113"/>
  <c r="AC13" i="1113" s="1"/>
  <c r="O13" i="1113"/>
  <c r="AB13" i="1113"/>
  <c r="M13" i="1113"/>
  <c r="AD10" i="1113"/>
  <c r="Q22" i="1113"/>
  <c r="AD9" i="1113"/>
  <c r="AD8" i="1113"/>
  <c r="AD12" i="1113"/>
  <c r="M7" i="1113"/>
  <c r="M22" i="1113" s="1"/>
  <c r="AB7" i="1113"/>
  <c r="O7" i="1113"/>
  <c r="AC6" i="1113"/>
  <c r="K22" i="1113"/>
  <c r="P7" i="1113"/>
  <c r="AC7" i="1113" s="1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K13" i="1112"/>
  <c r="L7" i="1112"/>
  <c r="K7" i="1112" s="1"/>
  <c r="A75" i="1112"/>
  <c r="A76" i="1112" s="1"/>
  <c r="A77" i="1112" s="1"/>
  <c r="A78" i="1112" s="1"/>
  <c r="A79" i="1112" s="1"/>
  <c r="A80" i="1112" s="1"/>
  <c r="A81" i="1112" s="1"/>
  <c r="A74" i="1112"/>
  <c r="AF60" i="1112"/>
  <c r="AF59" i="1112"/>
  <c r="AF62" i="1112" s="1"/>
  <c r="AA21" i="1112"/>
  <c r="Z21" i="1112"/>
  <c r="Y21" i="1112"/>
  <c r="X21" i="1112"/>
  <c r="W21" i="1112"/>
  <c r="V21" i="1112"/>
  <c r="U21" i="1112"/>
  <c r="T21" i="1112"/>
  <c r="S21" i="1112"/>
  <c r="R21" i="1112"/>
  <c r="N21" i="1112"/>
  <c r="L21" i="1112"/>
  <c r="O21" i="1112" s="1"/>
  <c r="J21" i="1112"/>
  <c r="I21" i="1112"/>
  <c r="AF20" i="1112"/>
  <c r="AC20" i="1112"/>
  <c r="AD20" i="1112" s="1"/>
  <c r="AB20" i="1112"/>
  <c r="Q20" i="1112"/>
  <c r="P20" i="1112"/>
  <c r="O20" i="1112"/>
  <c r="M20" i="1112"/>
  <c r="K20" i="1112"/>
  <c r="AF19" i="1112"/>
  <c r="AB19" i="1112"/>
  <c r="Q19" i="1112"/>
  <c r="P19" i="1112"/>
  <c r="AC19" i="1112" s="1"/>
  <c r="AD19" i="1112" s="1"/>
  <c r="O19" i="1112"/>
  <c r="M19" i="1112"/>
  <c r="K19" i="1112"/>
  <c r="AF18" i="1112"/>
  <c r="AC18" i="1112"/>
  <c r="AD18" i="1112" s="1"/>
  <c r="AB18" i="1112"/>
  <c r="Q18" i="1112"/>
  <c r="P18" i="1112"/>
  <c r="O18" i="1112"/>
  <c r="M18" i="1112"/>
  <c r="K18" i="1112"/>
  <c r="AF17" i="1112"/>
  <c r="AB17" i="1112"/>
  <c r="Q17" i="1112"/>
  <c r="P17" i="1112"/>
  <c r="AC17" i="1112" s="1"/>
  <c r="AD17" i="1112" s="1"/>
  <c r="O17" i="1112"/>
  <c r="M17" i="1112"/>
  <c r="K17" i="1112"/>
  <c r="AF16" i="1112"/>
  <c r="AC16" i="1112"/>
  <c r="AD16" i="1112" s="1"/>
  <c r="AB16" i="1112"/>
  <c r="Q16" i="1112"/>
  <c r="P16" i="1112"/>
  <c r="O16" i="1112"/>
  <c r="M16" i="1112"/>
  <c r="K16" i="1112"/>
  <c r="AF15" i="1112"/>
  <c r="AB15" i="1112"/>
  <c r="Q15" i="1112"/>
  <c r="P15" i="1112"/>
  <c r="AC15" i="1112" s="1"/>
  <c r="AD15" i="1112" s="1"/>
  <c r="O15" i="1112"/>
  <c r="M15" i="1112"/>
  <c r="K15" i="1112"/>
  <c r="AF14" i="1112"/>
  <c r="AC14" i="1112"/>
  <c r="AD14" i="1112" s="1"/>
  <c r="AB14" i="1112"/>
  <c r="Q14" i="1112"/>
  <c r="P14" i="1112"/>
  <c r="O14" i="1112"/>
  <c r="M14" i="1112"/>
  <c r="K14" i="1112"/>
  <c r="AF13" i="1112"/>
  <c r="AB13" i="1112"/>
  <c r="Q13" i="1112"/>
  <c r="P13" i="1112"/>
  <c r="AC13" i="1112" s="1"/>
  <c r="O13" i="1112"/>
  <c r="M13" i="1112"/>
  <c r="AF12" i="1112"/>
  <c r="AB12" i="1112"/>
  <c r="Q12" i="1112"/>
  <c r="P12" i="1112" s="1"/>
  <c r="AC12" i="1112" s="1"/>
  <c r="O12" i="1112"/>
  <c r="M12" i="1112"/>
  <c r="K12" i="1112"/>
  <c r="AF11" i="1112"/>
  <c r="AB11" i="1112"/>
  <c r="Q11" i="1112"/>
  <c r="P11" i="1112"/>
  <c r="AC11" i="1112" s="1"/>
  <c r="AD11" i="1112" s="1"/>
  <c r="O11" i="1112"/>
  <c r="M11" i="1112"/>
  <c r="K11" i="1112"/>
  <c r="AF10" i="1112"/>
  <c r="AC10" i="1112"/>
  <c r="AD10" i="1112" s="1"/>
  <c r="AB10" i="1112"/>
  <c r="Q10" i="1112"/>
  <c r="P10" i="1112"/>
  <c r="O10" i="1112"/>
  <c r="M10" i="1112"/>
  <c r="K10" i="1112"/>
  <c r="AF9" i="1112"/>
  <c r="AB9" i="1112"/>
  <c r="Q9" i="1112"/>
  <c r="P9" i="1112"/>
  <c r="AC9" i="1112" s="1"/>
  <c r="AD9" i="1112" s="1"/>
  <c r="O9" i="1112"/>
  <c r="M9" i="1112"/>
  <c r="K9" i="1112"/>
  <c r="AF8" i="1112"/>
  <c r="AC8" i="1112"/>
  <c r="AD8" i="1112" s="1"/>
  <c r="AB8" i="1112"/>
  <c r="Q8" i="1112"/>
  <c r="P8" i="1112"/>
  <c r="O8" i="1112"/>
  <c r="M8" i="1112"/>
  <c r="K8" i="1112"/>
  <c r="AF7" i="1112"/>
  <c r="AB7" i="1112"/>
  <c r="Q7" i="1112"/>
  <c r="P7" i="1112" s="1"/>
  <c r="AC7" i="1112" s="1"/>
  <c r="O7" i="1112"/>
  <c r="M7" i="1112"/>
  <c r="AF6" i="1112"/>
  <c r="AC6" i="1112"/>
  <c r="AB6" i="1112"/>
  <c r="Q6" i="1112"/>
  <c r="P6" i="1112"/>
  <c r="O6" i="1112"/>
  <c r="M6" i="1112"/>
  <c r="K6" i="1112"/>
  <c r="AC21" i="1114" l="1"/>
  <c r="AD6" i="1114"/>
  <c r="AD21" i="1114" s="1"/>
  <c r="AE10" i="1114" s="1"/>
  <c r="AD14" i="1113"/>
  <c r="AB22" i="1113"/>
  <c r="AD13" i="1113"/>
  <c r="AD7" i="1113"/>
  <c r="R4" i="16" s="1"/>
  <c r="P22" i="1113"/>
  <c r="AD6" i="1113"/>
  <c r="AC22" i="1113"/>
  <c r="M21" i="1112"/>
  <c r="AD13" i="1112"/>
  <c r="AB21" i="1112"/>
  <c r="AD12" i="1112"/>
  <c r="Q21" i="1112"/>
  <c r="AD7" i="1112"/>
  <c r="AC21" i="1112"/>
  <c r="P21" i="1112"/>
  <c r="K21" i="1112"/>
  <c r="AD6" i="1112"/>
  <c r="P17" i="16"/>
  <c r="P16" i="16"/>
  <c r="P15" i="16"/>
  <c r="P14" i="16"/>
  <c r="P13" i="16"/>
  <c r="P12" i="16"/>
  <c r="P11" i="16"/>
  <c r="P9" i="16"/>
  <c r="P8" i="16"/>
  <c r="P7" i="16"/>
  <c r="P6" i="16"/>
  <c r="P5" i="16"/>
  <c r="P4" i="16"/>
  <c r="P3" i="16"/>
  <c r="K13" i="1111"/>
  <c r="K12" i="1111"/>
  <c r="K17" i="1111"/>
  <c r="K11" i="1111"/>
  <c r="A74" i="1111"/>
  <c r="A75" i="1111" s="1"/>
  <c r="A76" i="1111" s="1"/>
  <c r="A77" i="1111" s="1"/>
  <c r="A78" i="1111" s="1"/>
  <c r="A79" i="1111" s="1"/>
  <c r="A80" i="1111" s="1"/>
  <c r="A81" i="1111" s="1"/>
  <c r="AF60" i="1111"/>
  <c r="AF59" i="1111"/>
  <c r="AF62" i="1111" s="1"/>
  <c r="AA21" i="1111"/>
  <c r="Z21" i="1111"/>
  <c r="Y21" i="1111"/>
  <c r="X21" i="1111"/>
  <c r="W21" i="1111"/>
  <c r="V21" i="1111"/>
  <c r="U21" i="1111"/>
  <c r="T21" i="1111"/>
  <c r="S21" i="1111"/>
  <c r="R21" i="1111"/>
  <c r="N21" i="1111"/>
  <c r="L21" i="1111"/>
  <c r="O21" i="1111" s="1"/>
  <c r="J21" i="1111"/>
  <c r="I21" i="1111"/>
  <c r="AF20" i="1111"/>
  <c r="AB20" i="1111"/>
  <c r="Q20" i="1111"/>
  <c r="P20" i="1111"/>
  <c r="AC20" i="1111" s="1"/>
  <c r="AD20" i="1111" s="1"/>
  <c r="O20" i="1111"/>
  <c r="M20" i="1111"/>
  <c r="K20" i="1111"/>
  <c r="AF19" i="1111"/>
  <c r="AB19" i="1111"/>
  <c r="Q19" i="1111"/>
  <c r="P19" i="1111"/>
  <c r="AC19" i="1111" s="1"/>
  <c r="AD19" i="1111" s="1"/>
  <c r="O19" i="1111"/>
  <c r="M19" i="1111"/>
  <c r="K19" i="1111"/>
  <c r="AF18" i="1111"/>
  <c r="AB18" i="1111"/>
  <c r="Q18" i="1111"/>
  <c r="P18" i="1111"/>
  <c r="AC18" i="1111" s="1"/>
  <c r="AD18" i="1111" s="1"/>
  <c r="O18" i="1111"/>
  <c r="M18" i="1111"/>
  <c r="K18" i="1111"/>
  <c r="AF17" i="1111"/>
  <c r="AB17" i="1111"/>
  <c r="Q17" i="1111"/>
  <c r="P17" i="1111"/>
  <c r="AC17" i="1111" s="1"/>
  <c r="AD17" i="1111" s="1"/>
  <c r="O17" i="1111"/>
  <c r="M17" i="1111"/>
  <c r="AF16" i="1111"/>
  <c r="AB16" i="1111"/>
  <c r="Q16" i="1111"/>
  <c r="P16" i="1111"/>
  <c r="AC16" i="1111" s="1"/>
  <c r="O16" i="1111"/>
  <c r="M16" i="1111"/>
  <c r="K16" i="1111"/>
  <c r="AF15" i="1111"/>
  <c r="AB15" i="1111"/>
  <c r="Q15" i="1111"/>
  <c r="P15" i="1111"/>
  <c r="AC15" i="1111" s="1"/>
  <c r="O15" i="1111"/>
  <c r="M15" i="1111"/>
  <c r="K15" i="1111"/>
  <c r="AF14" i="1111"/>
  <c r="AB14" i="1111"/>
  <c r="Q14" i="1111"/>
  <c r="P14" i="1111"/>
  <c r="AC14" i="1111" s="1"/>
  <c r="AD14" i="1111" s="1"/>
  <c r="O14" i="1111"/>
  <c r="M14" i="1111"/>
  <c r="K14" i="1111"/>
  <c r="AF13" i="1111"/>
  <c r="AB13" i="1111"/>
  <c r="Q13" i="1111"/>
  <c r="P13" i="1111" s="1"/>
  <c r="AC13" i="1111" s="1"/>
  <c r="O13" i="1111"/>
  <c r="M13" i="1111"/>
  <c r="AF12" i="1111"/>
  <c r="AB12" i="1111"/>
  <c r="Q12" i="1111"/>
  <c r="P12" i="1111"/>
  <c r="AC12" i="1111" s="1"/>
  <c r="O12" i="1111"/>
  <c r="M12" i="1111"/>
  <c r="AF11" i="1111"/>
  <c r="AB11" i="1111"/>
  <c r="Q11" i="1111"/>
  <c r="P11" i="1111"/>
  <c r="AC11" i="1111" s="1"/>
  <c r="O11" i="1111"/>
  <c r="M11" i="1111"/>
  <c r="AF10" i="1111"/>
  <c r="AB10" i="1111"/>
  <c r="Q10" i="1111"/>
  <c r="P10" i="1111"/>
  <c r="AC10" i="1111" s="1"/>
  <c r="AD10" i="1111" s="1"/>
  <c r="O10" i="1111"/>
  <c r="M10" i="1111"/>
  <c r="K10" i="1111"/>
  <c r="AF9" i="1111"/>
  <c r="AB9" i="1111"/>
  <c r="Q9" i="1111"/>
  <c r="P9" i="1111"/>
  <c r="AC9" i="1111" s="1"/>
  <c r="AD9" i="1111" s="1"/>
  <c r="O9" i="1111"/>
  <c r="M9" i="1111"/>
  <c r="K9" i="1111"/>
  <c r="AF8" i="1111"/>
  <c r="AB8" i="1111"/>
  <c r="Q8" i="1111"/>
  <c r="P8" i="1111"/>
  <c r="AC8" i="1111" s="1"/>
  <c r="AD8" i="1111" s="1"/>
  <c r="O8" i="1111"/>
  <c r="M8" i="1111"/>
  <c r="K8" i="1111"/>
  <c r="AF7" i="1111"/>
  <c r="AB7" i="1111"/>
  <c r="Q7" i="1111"/>
  <c r="P7" i="1111"/>
  <c r="AC7" i="1111" s="1"/>
  <c r="AD7" i="1111" s="1"/>
  <c r="O7" i="1111"/>
  <c r="M7" i="1111"/>
  <c r="K7" i="1111"/>
  <c r="AF6" i="1111"/>
  <c r="AB6" i="1111"/>
  <c r="Q6" i="1111"/>
  <c r="P6" i="1111"/>
  <c r="AC6" i="1111" s="1"/>
  <c r="O6" i="1111"/>
  <c r="M6" i="1111"/>
  <c r="K6" i="1111"/>
  <c r="AE18" i="1114" l="1"/>
  <c r="AE14" i="1114"/>
  <c r="AE11" i="1114"/>
  <c r="AE8" i="1114"/>
  <c r="AE19" i="1114"/>
  <c r="AE17" i="1114"/>
  <c r="AE20" i="1114"/>
  <c r="AE15" i="1114"/>
  <c r="AE12" i="1114"/>
  <c r="AE9" i="1114"/>
  <c r="AE6" i="1114"/>
  <c r="AE16" i="1114"/>
  <c r="AE13" i="1114"/>
  <c r="AE7" i="1114"/>
  <c r="AD22" i="1113"/>
  <c r="R18" i="16" s="1"/>
  <c r="AD21" i="1112"/>
  <c r="AE17" i="1112" s="1"/>
  <c r="Q21" i="1111"/>
  <c r="AD13" i="1111"/>
  <c r="P10" i="16" s="1"/>
  <c r="K21" i="1111"/>
  <c r="AD12" i="1111"/>
  <c r="AD16" i="1111"/>
  <c r="M21" i="1111"/>
  <c r="AB21" i="1111"/>
  <c r="AD11" i="1111"/>
  <c r="AD15" i="1111"/>
  <c r="AC21" i="1111"/>
  <c r="AD6" i="1111"/>
  <c r="P21" i="1111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K17" i="1110"/>
  <c r="K16" i="1110"/>
  <c r="K14" i="1110"/>
  <c r="K11" i="1110"/>
  <c r="K10" i="1110"/>
  <c r="K9" i="1110"/>
  <c r="A75" i="1110"/>
  <c r="A76" i="1110" s="1"/>
  <c r="A77" i="1110" s="1"/>
  <c r="A78" i="1110" s="1"/>
  <c r="A79" i="1110" s="1"/>
  <c r="A80" i="1110" s="1"/>
  <c r="A81" i="1110" s="1"/>
  <c r="A74" i="1110"/>
  <c r="AF60" i="1110"/>
  <c r="AF59" i="1110"/>
  <c r="AF62" i="1110" s="1"/>
  <c r="AA21" i="1110"/>
  <c r="Z21" i="1110"/>
  <c r="Y21" i="1110"/>
  <c r="X21" i="1110"/>
  <c r="W21" i="1110"/>
  <c r="V21" i="1110"/>
  <c r="U21" i="1110"/>
  <c r="T21" i="1110"/>
  <c r="S21" i="1110"/>
  <c r="R21" i="1110"/>
  <c r="N21" i="1110"/>
  <c r="J21" i="1110"/>
  <c r="I21" i="1110"/>
  <c r="AF20" i="1110"/>
  <c r="AB20" i="1110"/>
  <c r="Q20" i="1110"/>
  <c r="P20" i="1110"/>
  <c r="AC20" i="1110" s="1"/>
  <c r="AD20" i="1110" s="1"/>
  <c r="O20" i="1110"/>
  <c r="M20" i="1110"/>
  <c r="K20" i="1110"/>
  <c r="AF19" i="1110"/>
  <c r="AC19" i="1110"/>
  <c r="AD19" i="1110" s="1"/>
  <c r="AB19" i="1110"/>
  <c r="Q19" i="1110"/>
  <c r="P19" i="1110"/>
  <c r="O19" i="1110"/>
  <c r="M19" i="1110"/>
  <c r="K19" i="1110"/>
  <c r="AF18" i="1110"/>
  <c r="AB18" i="1110"/>
  <c r="Q18" i="1110"/>
  <c r="P18" i="1110"/>
  <c r="AC18" i="1110" s="1"/>
  <c r="AD18" i="1110" s="1"/>
  <c r="O18" i="1110"/>
  <c r="M18" i="1110"/>
  <c r="K18" i="1110"/>
  <c r="AF17" i="1110"/>
  <c r="Q17" i="1110"/>
  <c r="P17" i="1110" s="1"/>
  <c r="AC17" i="1110" s="1"/>
  <c r="O17" i="1110"/>
  <c r="M17" i="1110"/>
  <c r="AB17" i="1110"/>
  <c r="AF16" i="1110"/>
  <c r="AB16" i="1110"/>
  <c r="Q16" i="1110"/>
  <c r="M16" i="1110"/>
  <c r="P16" i="1110"/>
  <c r="AC16" i="1110" s="1"/>
  <c r="AF15" i="1110"/>
  <c r="AB15" i="1110"/>
  <c r="Q15" i="1110"/>
  <c r="P15" i="1110"/>
  <c r="AC15" i="1110" s="1"/>
  <c r="AD15" i="1110" s="1"/>
  <c r="O15" i="1110"/>
  <c r="M15" i="1110"/>
  <c r="K15" i="1110"/>
  <c r="AF14" i="1110"/>
  <c r="AB14" i="1110"/>
  <c r="Q14" i="1110"/>
  <c r="P14" i="1110"/>
  <c r="AC14" i="1110" s="1"/>
  <c r="AD14" i="1110" s="1"/>
  <c r="O14" i="1110"/>
  <c r="M14" i="1110"/>
  <c r="AF13" i="1110"/>
  <c r="AB13" i="1110"/>
  <c r="Q13" i="1110"/>
  <c r="P13" i="1110"/>
  <c r="AC13" i="1110" s="1"/>
  <c r="O13" i="1110"/>
  <c r="M13" i="1110"/>
  <c r="K13" i="1110"/>
  <c r="AF12" i="1110"/>
  <c r="AB12" i="1110"/>
  <c r="Q12" i="1110"/>
  <c r="P12" i="1110"/>
  <c r="AC12" i="1110" s="1"/>
  <c r="AD12" i="1110" s="1"/>
  <c r="O12" i="1110"/>
  <c r="M12" i="1110"/>
  <c r="K12" i="1110"/>
  <c r="AF11" i="1110"/>
  <c r="Q11" i="1110"/>
  <c r="O11" i="1110"/>
  <c r="AF10" i="1110"/>
  <c r="Q10" i="1110"/>
  <c r="P10" i="1110"/>
  <c r="AC10" i="1110" s="1"/>
  <c r="AB10" i="1110"/>
  <c r="AF9" i="1110"/>
  <c r="AB9" i="1110"/>
  <c r="Q9" i="1110"/>
  <c r="P9" i="1110"/>
  <c r="AC9" i="1110" s="1"/>
  <c r="O9" i="1110"/>
  <c r="M9" i="1110"/>
  <c r="AF8" i="1110"/>
  <c r="AB8" i="1110"/>
  <c r="Q8" i="1110"/>
  <c r="P8" i="1110"/>
  <c r="AC8" i="1110" s="1"/>
  <c r="AD8" i="1110" s="1"/>
  <c r="O8" i="1110"/>
  <c r="M8" i="1110"/>
  <c r="K8" i="1110"/>
  <c r="AF7" i="1110"/>
  <c r="AC7" i="1110"/>
  <c r="AD7" i="1110" s="1"/>
  <c r="AB7" i="1110"/>
  <c r="Q7" i="1110"/>
  <c r="P7" i="1110"/>
  <c r="O7" i="1110"/>
  <c r="M7" i="1110"/>
  <c r="K7" i="1110"/>
  <c r="AF6" i="1110"/>
  <c r="AB6" i="1110"/>
  <c r="Q6" i="1110"/>
  <c r="P6" i="1110"/>
  <c r="AC6" i="1110" s="1"/>
  <c r="O6" i="1110"/>
  <c r="M6" i="1110"/>
  <c r="K6" i="1110"/>
  <c r="AE18" i="1113" l="1"/>
  <c r="AE19" i="1113"/>
  <c r="AE7" i="1113"/>
  <c r="AE8" i="1113"/>
  <c r="AE16" i="1113"/>
  <c r="AE6" i="1113"/>
  <c r="AE14" i="1113"/>
  <c r="AE9" i="1113"/>
  <c r="AE11" i="1113"/>
  <c r="AE10" i="1113"/>
  <c r="AE21" i="1113"/>
  <c r="AE15" i="1113"/>
  <c r="AE20" i="1113"/>
  <c r="AE13" i="1113"/>
  <c r="AE12" i="1113"/>
  <c r="AE17" i="1113"/>
  <c r="AE11" i="1112"/>
  <c r="AE8" i="1112"/>
  <c r="AE16" i="1112"/>
  <c r="AE7" i="1112"/>
  <c r="AE19" i="1112"/>
  <c r="AE14" i="1112"/>
  <c r="AE6" i="1112"/>
  <c r="AE13" i="1112"/>
  <c r="AE10" i="1112"/>
  <c r="AE18" i="1112"/>
  <c r="AE9" i="1112"/>
  <c r="AE15" i="1112"/>
  <c r="AE12" i="1112"/>
  <c r="AE20" i="1112"/>
  <c r="AD21" i="1111"/>
  <c r="P18" i="16" s="1"/>
  <c r="AE19" i="1111"/>
  <c r="AE17" i="1111"/>
  <c r="AE15" i="1111"/>
  <c r="AE13" i="1111"/>
  <c r="AE11" i="1111"/>
  <c r="AE9" i="1111"/>
  <c r="AE7" i="1111"/>
  <c r="AE20" i="1111"/>
  <c r="AE18" i="1111"/>
  <c r="AE16" i="1111"/>
  <c r="AE14" i="1111"/>
  <c r="AE12" i="1111"/>
  <c r="AE10" i="1111"/>
  <c r="AE8" i="1111"/>
  <c r="AE6" i="1111"/>
  <c r="Q21" i="1110"/>
  <c r="AD9" i="1110"/>
  <c r="AD13" i="1110"/>
  <c r="AD6" i="1110"/>
  <c r="AD17" i="1110"/>
  <c r="O10" i="1110"/>
  <c r="AD10" i="1110" s="1"/>
  <c r="K21" i="1110"/>
  <c r="P11" i="1110"/>
  <c r="AC11" i="1110" s="1"/>
  <c r="M11" i="1110"/>
  <c r="AB11" i="1110"/>
  <c r="AB21" i="1110" s="1"/>
  <c r="O16" i="1110"/>
  <c r="AD16" i="1110" s="1"/>
  <c r="L21" i="1110"/>
  <c r="O21" i="1110" s="1"/>
  <c r="M10" i="1110"/>
  <c r="M21" i="1110" s="1"/>
  <c r="AD11" i="1110" l="1"/>
  <c r="AD21" i="1110" s="1"/>
  <c r="P21" i="1110"/>
  <c r="AC21" i="1110"/>
  <c r="AE19" i="1110" l="1"/>
  <c r="AE17" i="1110"/>
  <c r="AE14" i="1110"/>
  <c r="AE12" i="1110"/>
  <c r="AE9" i="1110"/>
  <c r="AE7" i="1110"/>
  <c r="AE15" i="1110"/>
  <c r="AE10" i="1110"/>
  <c r="AE13" i="1110"/>
  <c r="AE11" i="1110"/>
  <c r="AE8" i="1110"/>
  <c r="AE20" i="1110"/>
  <c r="AE6" i="1110"/>
  <c r="AE16" i="1110"/>
  <c r="AE18" i="1110"/>
  <c r="L18" i="16" l="1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17" i="1109"/>
  <c r="K17" i="1109" s="1"/>
  <c r="L16" i="1109"/>
  <c r="L11" i="1109"/>
  <c r="K11" i="1109" s="1"/>
  <c r="L10" i="1109"/>
  <c r="K18" i="1109"/>
  <c r="K16" i="1109"/>
  <c r="K9" i="1109"/>
  <c r="K8" i="1109"/>
  <c r="A75" i="1109"/>
  <c r="A76" i="1109" s="1"/>
  <c r="A77" i="1109" s="1"/>
  <c r="A78" i="1109" s="1"/>
  <c r="A79" i="1109" s="1"/>
  <c r="A80" i="1109" s="1"/>
  <c r="A81" i="1109" s="1"/>
  <c r="A74" i="1109"/>
  <c r="AF60" i="1109"/>
  <c r="AF62" i="1109" s="1"/>
  <c r="AF59" i="1109"/>
  <c r="AA21" i="1109"/>
  <c r="Z21" i="1109"/>
  <c r="Y21" i="1109"/>
  <c r="X21" i="1109"/>
  <c r="W21" i="1109"/>
  <c r="V21" i="1109"/>
  <c r="U21" i="1109"/>
  <c r="T21" i="1109"/>
  <c r="S21" i="1109"/>
  <c r="R21" i="1109"/>
  <c r="N21" i="1109"/>
  <c r="J21" i="1109"/>
  <c r="I21" i="1109"/>
  <c r="AF20" i="1109"/>
  <c r="AB20" i="1109"/>
  <c r="Q20" i="1109"/>
  <c r="P20" i="1109"/>
  <c r="AC20" i="1109" s="1"/>
  <c r="AD20" i="1109" s="1"/>
  <c r="O20" i="1109"/>
  <c r="M20" i="1109"/>
  <c r="K20" i="1109"/>
  <c r="AF19" i="1109"/>
  <c r="AB19" i="1109"/>
  <c r="Q19" i="1109"/>
  <c r="P19" i="1109"/>
  <c r="AC19" i="1109" s="1"/>
  <c r="O19" i="1109"/>
  <c r="M19" i="1109"/>
  <c r="K19" i="1109"/>
  <c r="AF18" i="1109"/>
  <c r="Q18" i="1109"/>
  <c r="P18" i="1109"/>
  <c r="AC18" i="1109" s="1"/>
  <c r="O18" i="1109"/>
  <c r="AF17" i="1109"/>
  <c r="AB17" i="1109"/>
  <c r="Q17" i="1109"/>
  <c r="P17" i="1109" s="1"/>
  <c r="AC17" i="1109" s="1"/>
  <c r="O17" i="1109"/>
  <c r="M17" i="1109"/>
  <c r="AF16" i="1109"/>
  <c r="Q16" i="1109"/>
  <c r="P16" i="1109" s="1"/>
  <c r="AC16" i="1109" s="1"/>
  <c r="AF15" i="1109"/>
  <c r="AB15" i="1109"/>
  <c r="Q15" i="1109"/>
  <c r="P15" i="1109"/>
  <c r="AC15" i="1109" s="1"/>
  <c r="AD15" i="1109" s="1"/>
  <c r="O15" i="1109"/>
  <c r="M15" i="1109"/>
  <c r="K15" i="1109"/>
  <c r="AF14" i="1109"/>
  <c r="AB14" i="1109"/>
  <c r="Q14" i="1109"/>
  <c r="P14" i="1109" s="1"/>
  <c r="AC14" i="1109" s="1"/>
  <c r="O14" i="1109"/>
  <c r="M14" i="1109"/>
  <c r="K14" i="1109"/>
  <c r="AF13" i="1109"/>
  <c r="AB13" i="1109"/>
  <c r="Q13" i="1109"/>
  <c r="P13" i="1109"/>
  <c r="AC13" i="1109" s="1"/>
  <c r="AD13" i="1109" s="1"/>
  <c r="O13" i="1109"/>
  <c r="M13" i="1109"/>
  <c r="K13" i="1109"/>
  <c r="AF12" i="1109"/>
  <c r="AB12" i="1109"/>
  <c r="Q12" i="1109"/>
  <c r="P12" i="1109"/>
  <c r="AC12" i="1109" s="1"/>
  <c r="AD12" i="1109" s="1"/>
  <c r="O12" i="1109"/>
  <c r="M12" i="1109"/>
  <c r="K12" i="1109"/>
  <c r="AF11" i="1109"/>
  <c r="Q11" i="1109"/>
  <c r="P11" i="1109"/>
  <c r="AC11" i="1109" s="1"/>
  <c r="O11" i="1109"/>
  <c r="AF10" i="1109"/>
  <c r="AB10" i="1109"/>
  <c r="Q10" i="1109"/>
  <c r="P10" i="1109" s="1"/>
  <c r="AC10" i="1109" s="1"/>
  <c r="O10" i="1109"/>
  <c r="M10" i="1109"/>
  <c r="K10" i="1109"/>
  <c r="AF9" i="1109"/>
  <c r="Q9" i="1109"/>
  <c r="P9" i="1109" s="1"/>
  <c r="AC9" i="1109" s="1"/>
  <c r="AF8" i="1109"/>
  <c r="Q8" i="1109"/>
  <c r="P8" i="1109"/>
  <c r="AC8" i="1109" s="1"/>
  <c r="O8" i="1109"/>
  <c r="AF7" i="1109"/>
  <c r="AC7" i="1109"/>
  <c r="AB7" i="1109"/>
  <c r="Q7" i="1109"/>
  <c r="P7" i="1109"/>
  <c r="O7" i="1109"/>
  <c r="M7" i="1109"/>
  <c r="K7" i="1109"/>
  <c r="AF6" i="1109"/>
  <c r="AC6" i="1109"/>
  <c r="AB6" i="1109"/>
  <c r="Q6" i="1109"/>
  <c r="P6" i="1109"/>
  <c r="O6" i="1109"/>
  <c r="M6" i="1109"/>
  <c r="K6" i="1109"/>
  <c r="AD14" i="1109" l="1"/>
  <c r="AD10" i="1109"/>
  <c r="Q21" i="1109"/>
  <c r="AC21" i="1109"/>
  <c r="AD7" i="1109"/>
  <c r="AD17" i="1109"/>
  <c r="P21" i="1109"/>
  <c r="AD19" i="1109"/>
  <c r="M16" i="1109"/>
  <c r="AB16" i="1109"/>
  <c r="M9" i="1109"/>
  <c r="AB9" i="1109"/>
  <c r="M8" i="1109"/>
  <c r="AB8" i="1109"/>
  <c r="AD8" i="1109" s="1"/>
  <c r="O9" i="1109"/>
  <c r="M11" i="1109"/>
  <c r="AB11" i="1109"/>
  <c r="AD11" i="1109" s="1"/>
  <c r="O16" i="1109"/>
  <c r="M18" i="1109"/>
  <c r="AB18" i="1109"/>
  <c r="AD18" i="1109" s="1"/>
  <c r="L21" i="1109"/>
  <c r="O21" i="1109" s="1"/>
  <c r="AD6" i="1109"/>
  <c r="K21" i="1109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18" i="1108"/>
  <c r="K18" i="1108" s="1"/>
  <c r="L16" i="1108"/>
  <c r="K16" i="1108" s="1"/>
  <c r="L11" i="1108"/>
  <c r="K11" i="1108" s="1"/>
  <c r="L9" i="1108"/>
  <c r="K9" i="1108" s="1"/>
  <c r="L8" i="1108"/>
  <c r="K8" i="1108" s="1"/>
  <c r="K12" i="1108"/>
  <c r="A75" i="1108"/>
  <c r="A76" i="1108" s="1"/>
  <c r="A77" i="1108" s="1"/>
  <c r="A78" i="1108" s="1"/>
  <c r="A79" i="1108" s="1"/>
  <c r="A80" i="1108" s="1"/>
  <c r="A81" i="1108" s="1"/>
  <c r="A74" i="1108"/>
  <c r="AF60" i="1108"/>
  <c r="AF59" i="1108"/>
  <c r="AF62" i="1108" s="1"/>
  <c r="AA21" i="1108"/>
  <c r="Z21" i="1108"/>
  <c r="Y21" i="1108"/>
  <c r="X21" i="1108"/>
  <c r="W21" i="1108"/>
  <c r="V21" i="1108"/>
  <c r="U21" i="1108"/>
  <c r="T21" i="1108"/>
  <c r="S21" i="1108"/>
  <c r="R21" i="1108"/>
  <c r="N21" i="1108"/>
  <c r="J21" i="1108"/>
  <c r="I21" i="1108"/>
  <c r="AF20" i="1108"/>
  <c r="AB20" i="1108"/>
  <c r="Q20" i="1108"/>
  <c r="P20" i="1108"/>
  <c r="AC20" i="1108" s="1"/>
  <c r="AD20" i="1108" s="1"/>
  <c r="O20" i="1108"/>
  <c r="M20" i="1108"/>
  <c r="K20" i="1108"/>
  <c r="AF19" i="1108"/>
  <c r="AB19" i="1108"/>
  <c r="Q19" i="1108"/>
  <c r="P19" i="1108"/>
  <c r="AC19" i="1108" s="1"/>
  <c r="AD19" i="1108" s="1"/>
  <c r="O19" i="1108"/>
  <c r="M19" i="1108"/>
  <c r="K19" i="1108"/>
  <c r="AF18" i="1108"/>
  <c r="AB18" i="1108"/>
  <c r="Q18" i="1108"/>
  <c r="P18" i="1108" s="1"/>
  <c r="AC18" i="1108" s="1"/>
  <c r="O18" i="1108"/>
  <c r="M18" i="1108"/>
  <c r="AF17" i="1108"/>
  <c r="AB17" i="1108"/>
  <c r="Q17" i="1108"/>
  <c r="P17" i="1108"/>
  <c r="AC17" i="1108" s="1"/>
  <c r="AD17" i="1108" s="1"/>
  <c r="O17" i="1108"/>
  <c r="M17" i="1108"/>
  <c r="K17" i="1108"/>
  <c r="AF16" i="1108"/>
  <c r="Q16" i="1108"/>
  <c r="O16" i="1108"/>
  <c r="AF15" i="1108"/>
  <c r="AB15" i="1108"/>
  <c r="Q15" i="1108"/>
  <c r="P15" i="1108"/>
  <c r="AC15" i="1108" s="1"/>
  <c r="O15" i="1108"/>
  <c r="M15" i="1108"/>
  <c r="K15" i="1108"/>
  <c r="AF14" i="1108"/>
  <c r="AC14" i="1108"/>
  <c r="AB14" i="1108"/>
  <c r="Q14" i="1108"/>
  <c r="P14" i="1108"/>
  <c r="O14" i="1108"/>
  <c r="M14" i="1108"/>
  <c r="K14" i="1108"/>
  <c r="AF13" i="1108"/>
  <c r="AB13" i="1108"/>
  <c r="Q13" i="1108"/>
  <c r="P13" i="1108"/>
  <c r="AC13" i="1108" s="1"/>
  <c r="O13" i="1108"/>
  <c r="M13" i="1108"/>
  <c r="K13" i="1108"/>
  <c r="AF12" i="1108"/>
  <c r="AB12" i="1108"/>
  <c r="Q12" i="1108"/>
  <c r="O12" i="1108"/>
  <c r="M12" i="1108"/>
  <c r="P12" i="1108"/>
  <c r="AC12" i="1108" s="1"/>
  <c r="AF11" i="1108"/>
  <c r="AB11" i="1108"/>
  <c r="Q11" i="1108"/>
  <c r="P11" i="1108" s="1"/>
  <c r="AC11" i="1108" s="1"/>
  <c r="O11" i="1108"/>
  <c r="M11" i="1108"/>
  <c r="AF10" i="1108"/>
  <c r="AB10" i="1108"/>
  <c r="Q10" i="1108"/>
  <c r="P10" i="1108"/>
  <c r="AC10" i="1108" s="1"/>
  <c r="AD10" i="1108" s="1"/>
  <c r="O10" i="1108"/>
  <c r="M10" i="1108"/>
  <c r="K10" i="1108"/>
  <c r="AF9" i="1108"/>
  <c r="Q9" i="1108"/>
  <c r="O9" i="1108"/>
  <c r="AF8" i="1108"/>
  <c r="AB8" i="1108"/>
  <c r="Q8" i="1108"/>
  <c r="P8" i="1108" s="1"/>
  <c r="AC8" i="1108" s="1"/>
  <c r="O8" i="1108"/>
  <c r="M8" i="1108"/>
  <c r="AF7" i="1108"/>
  <c r="AB7" i="1108"/>
  <c r="Q7" i="1108"/>
  <c r="P7" i="1108"/>
  <c r="AC7" i="1108" s="1"/>
  <c r="AD7" i="1108" s="1"/>
  <c r="O7" i="1108"/>
  <c r="M7" i="1108"/>
  <c r="K7" i="1108"/>
  <c r="AF6" i="1108"/>
  <c r="AC6" i="1108"/>
  <c r="AB6" i="1108"/>
  <c r="Q6" i="1108"/>
  <c r="P6" i="1108"/>
  <c r="O6" i="1108"/>
  <c r="M6" i="1108"/>
  <c r="K6" i="1108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K18" i="1107"/>
  <c r="L16" i="1107"/>
  <c r="K16" i="1107" s="1"/>
  <c r="L12" i="1107"/>
  <c r="K12" i="1107" s="1"/>
  <c r="K10" i="1107"/>
  <c r="K9" i="1107"/>
  <c r="K19" i="1107"/>
  <c r="K17" i="1107"/>
  <c r="K13" i="1107"/>
  <c r="K11" i="1107"/>
  <c r="K8" i="1107"/>
  <c r="K7" i="1107"/>
  <c r="A75" i="1107"/>
  <c r="A76" i="1107" s="1"/>
  <c r="A77" i="1107" s="1"/>
  <c r="A78" i="1107" s="1"/>
  <c r="A79" i="1107" s="1"/>
  <c r="A80" i="1107" s="1"/>
  <c r="A81" i="1107" s="1"/>
  <c r="A74" i="1107"/>
  <c r="AF60" i="1107"/>
  <c r="AF59" i="1107"/>
  <c r="AF62" i="1107" s="1"/>
  <c r="AA21" i="1107"/>
  <c r="Z21" i="1107"/>
  <c r="Y21" i="1107"/>
  <c r="X21" i="1107"/>
  <c r="W21" i="1107"/>
  <c r="V21" i="1107"/>
  <c r="U21" i="1107"/>
  <c r="T21" i="1107"/>
  <c r="S21" i="1107"/>
  <c r="R21" i="1107"/>
  <c r="N21" i="1107"/>
  <c r="J21" i="1107"/>
  <c r="I21" i="1107"/>
  <c r="AF20" i="1107"/>
  <c r="AB20" i="1107"/>
  <c r="Q20" i="1107"/>
  <c r="P20" i="1107"/>
  <c r="AC20" i="1107" s="1"/>
  <c r="AD20" i="1107" s="1"/>
  <c r="O20" i="1107"/>
  <c r="M20" i="1107"/>
  <c r="K20" i="1107"/>
  <c r="AF19" i="1107"/>
  <c r="Q19" i="1107"/>
  <c r="P19" i="1107"/>
  <c r="AC19" i="1107" s="1"/>
  <c r="O19" i="1107"/>
  <c r="AB19" i="1107"/>
  <c r="AF18" i="1107"/>
  <c r="AB18" i="1107"/>
  <c r="Q18" i="1107"/>
  <c r="P18" i="1107"/>
  <c r="AC18" i="1107" s="1"/>
  <c r="O18" i="1107"/>
  <c r="M18" i="1107"/>
  <c r="AF17" i="1107"/>
  <c r="Q17" i="1107"/>
  <c r="O17" i="1107"/>
  <c r="AF16" i="1107"/>
  <c r="Q16" i="1107"/>
  <c r="AB16" i="1107"/>
  <c r="AF15" i="1107"/>
  <c r="AB15" i="1107"/>
  <c r="Q15" i="1107"/>
  <c r="P15" i="1107"/>
  <c r="AC15" i="1107" s="1"/>
  <c r="AD15" i="1107" s="1"/>
  <c r="O15" i="1107"/>
  <c r="M15" i="1107"/>
  <c r="K15" i="1107"/>
  <c r="AF14" i="1107"/>
  <c r="AB14" i="1107"/>
  <c r="Q14" i="1107"/>
  <c r="P14" i="1107"/>
  <c r="AC14" i="1107" s="1"/>
  <c r="O14" i="1107"/>
  <c r="M14" i="1107"/>
  <c r="K14" i="1107"/>
  <c r="AF13" i="1107"/>
  <c r="Q13" i="1107"/>
  <c r="P13" i="1107"/>
  <c r="AC13" i="1107" s="1"/>
  <c r="O13" i="1107"/>
  <c r="AB13" i="1107"/>
  <c r="AF12" i="1107"/>
  <c r="AB12" i="1107"/>
  <c r="Q12" i="1107"/>
  <c r="P12" i="1107"/>
  <c r="AC12" i="1107" s="1"/>
  <c r="O12" i="1107"/>
  <c r="M12" i="1107"/>
  <c r="AF11" i="1107"/>
  <c r="Q11" i="1107"/>
  <c r="O11" i="1107"/>
  <c r="AF10" i="1107"/>
  <c r="Q10" i="1107"/>
  <c r="P10" i="1107"/>
  <c r="AC10" i="1107" s="1"/>
  <c r="AB10" i="1107"/>
  <c r="AF9" i="1107"/>
  <c r="AB9" i="1107"/>
  <c r="Q9" i="1107"/>
  <c r="P9" i="1107" s="1"/>
  <c r="AC9" i="1107" s="1"/>
  <c r="AD9" i="1107" s="1"/>
  <c r="O9" i="1107"/>
  <c r="M9" i="1107"/>
  <c r="AF8" i="1107"/>
  <c r="Q8" i="1107"/>
  <c r="O8" i="1107"/>
  <c r="AF7" i="1107"/>
  <c r="Q7" i="1107"/>
  <c r="P7" i="1107"/>
  <c r="AC7" i="1107" s="1"/>
  <c r="AB7" i="1107"/>
  <c r="AF6" i="1107"/>
  <c r="AC6" i="1107"/>
  <c r="AB6" i="1107"/>
  <c r="Q6" i="1107"/>
  <c r="P6" i="1107"/>
  <c r="O6" i="1107"/>
  <c r="M6" i="1107"/>
  <c r="K6" i="1107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9" i="1106"/>
  <c r="K19" i="1106" s="1"/>
  <c r="L18" i="1106"/>
  <c r="L17" i="1106"/>
  <c r="L16" i="1106"/>
  <c r="L13" i="1106"/>
  <c r="K13" i="1106" s="1"/>
  <c r="L12" i="1106"/>
  <c r="K12" i="1106" s="1"/>
  <c r="L11" i="1106"/>
  <c r="K11" i="1106" s="1"/>
  <c r="L10" i="1106"/>
  <c r="K10" i="1106" s="1"/>
  <c r="L8" i="1106"/>
  <c r="K8" i="1106"/>
  <c r="L7" i="1106"/>
  <c r="K7" i="1106" s="1"/>
  <c r="K18" i="1106"/>
  <c r="K17" i="1106"/>
  <c r="K16" i="1106"/>
  <c r="K9" i="1106"/>
  <c r="K6" i="1106"/>
  <c r="A75" i="1106"/>
  <c r="A76" i="1106" s="1"/>
  <c r="A77" i="1106" s="1"/>
  <c r="A78" i="1106" s="1"/>
  <c r="A79" i="1106" s="1"/>
  <c r="A80" i="1106" s="1"/>
  <c r="A81" i="1106" s="1"/>
  <c r="A74" i="1106"/>
  <c r="AF60" i="1106"/>
  <c r="AF59" i="1106"/>
  <c r="AF62" i="1106" s="1"/>
  <c r="AA21" i="1106"/>
  <c r="Z21" i="1106"/>
  <c r="Y21" i="1106"/>
  <c r="X21" i="1106"/>
  <c r="W21" i="1106"/>
  <c r="V21" i="1106"/>
  <c r="U21" i="1106"/>
  <c r="T21" i="1106"/>
  <c r="S21" i="1106"/>
  <c r="R21" i="1106"/>
  <c r="N21" i="1106"/>
  <c r="J21" i="1106"/>
  <c r="I21" i="1106"/>
  <c r="AF20" i="1106"/>
  <c r="AB20" i="1106"/>
  <c r="Q20" i="1106"/>
  <c r="P20" i="1106"/>
  <c r="AC20" i="1106" s="1"/>
  <c r="AD20" i="1106" s="1"/>
  <c r="O20" i="1106"/>
  <c r="M20" i="1106"/>
  <c r="K20" i="1106"/>
  <c r="AF19" i="1106"/>
  <c r="Q19" i="1106"/>
  <c r="P19" i="1106" s="1"/>
  <c r="AC19" i="1106" s="1"/>
  <c r="O19" i="1106"/>
  <c r="AB19" i="1106"/>
  <c r="AF18" i="1106"/>
  <c r="AB18" i="1106"/>
  <c r="Q18" i="1106"/>
  <c r="O18" i="1106"/>
  <c r="M18" i="1106"/>
  <c r="P18" i="1106"/>
  <c r="AC18" i="1106" s="1"/>
  <c r="AD18" i="1106" s="1"/>
  <c r="AF17" i="1106"/>
  <c r="Q17" i="1106"/>
  <c r="O17" i="1106"/>
  <c r="AF16" i="1106"/>
  <c r="Q16" i="1106"/>
  <c r="P16" i="1106" s="1"/>
  <c r="AC16" i="1106" s="1"/>
  <c r="AB16" i="1106"/>
  <c r="AF15" i="1106"/>
  <c r="AB15" i="1106"/>
  <c r="Q15" i="1106"/>
  <c r="P15" i="1106"/>
  <c r="AC15" i="1106" s="1"/>
  <c r="AD15" i="1106" s="1"/>
  <c r="O15" i="1106"/>
  <c r="M15" i="1106"/>
  <c r="K15" i="1106"/>
  <c r="AF14" i="1106"/>
  <c r="AB14" i="1106"/>
  <c r="Q14" i="1106"/>
  <c r="P14" i="1106"/>
  <c r="AC14" i="1106" s="1"/>
  <c r="O14" i="1106"/>
  <c r="M14" i="1106"/>
  <c r="K14" i="1106"/>
  <c r="AF13" i="1106"/>
  <c r="Q13" i="1106"/>
  <c r="P13" i="1106" s="1"/>
  <c r="AC13" i="1106" s="1"/>
  <c r="O13" i="1106"/>
  <c r="AB13" i="1106"/>
  <c r="AF12" i="1106"/>
  <c r="AB12" i="1106"/>
  <c r="Q12" i="1106"/>
  <c r="P12" i="1106" s="1"/>
  <c r="AC12" i="1106" s="1"/>
  <c r="O12" i="1106"/>
  <c r="M12" i="1106"/>
  <c r="AF11" i="1106"/>
  <c r="Q11" i="1106"/>
  <c r="O11" i="1106"/>
  <c r="AF10" i="1106"/>
  <c r="Q10" i="1106"/>
  <c r="P10" i="1106" s="1"/>
  <c r="AC10" i="1106" s="1"/>
  <c r="AB10" i="1106"/>
  <c r="AF9" i="1106"/>
  <c r="Q9" i="1106"/>
  <c r="P9" i="1106"/>
  <c r="AC9" i="1106" s="1"/>
  <c r="O9" i="1106"/>
  <c r="AB9" i="1106"/>
  <c r="AF8" i="1106"/>
  <c r="AB8" i="1106"/>
  <c r="Q8" i="1106"/>
  <c r="P8" i="1106" s="1"/>
  <c r="AC8" i="1106" s="1"/>
  <c r="O8" i="1106"/>
  <c r="M8" i="1106"/>
  <c r="AF7" i="1106"/>
  <c r="Q7" i="1106"/>
  <c r="P7" i="1106" s="1"/>
  <c r="AC7" i="1106" s="1"/>
  <c r="AB7" i="1106"/>
  <c r="AF6" i="1106"/>
  <c r="Q6" i="1106"/>
  <c r="P6" i="1106"/>
  <c r="AC6" i="1106" s="1"/>
  <c r="O6" i="1106"/>
  <c r="L21" i="1106"/>
  <c r="O21" i="1106" s="1"/>
  <c r="M21" i="1109" l="1"/>
  <c r="AD16" i="1109"/>
  <c r="AB21" i="1109"/>
  <c r="AD9" i="1109"/>
  <c r="Q21" i="1108"/>
  <c r="P9" i="1108"/>
  <c r="AC9" i="1108" s="1"/>
  <c r="AB9" i="1108"/>
  <c r="M9" i="1108"/>
  <c r="AD8" i="1108"/>
  <c r="AD11" i="1108"/>
  <c r="AD13" i="1108"/>
  <c r="AD18" i="1108"/>
  <c r="AD14" i="1108"/>
  <c r="AD12" i="1108"/>
  <c r="AD15" i="1108"/>
  <c r="P16" i="1108"/>
  <c r="AC16" i="1108" s="1"/>
  <c r="AD6" i="1108"/>
  <c r="M16" i="1108"/>
  <c r="M21" i="1108" s="1"/>
  <c r="AB16" i="1108"/>
  <c r="AB21" i="1108" s="1"/>
  <c r="L21" i="1108"/>
  <c r="O21" i="1108" s="1"/>
  <c r="K21" i="1108"/>
  <c r="AD18" i="1107"/>
  <c r="Q21" i="1107"/>
  <c r="AD14" i="1107"/>
  <c r="AD12" i="1107"/>
  <c r="AD19" i="1107"/>
  <c r="AD13" i="1107"/>
  <c r="AB8" i="1107"/>
  <c r="O7" i="1107"/>
  <c r="AD7" i="1107" s="1"/>
  <c r="P8" i="1107"/>
  <c r="AC8" i="1107" s="1"/>
  <c r="O10" i="1107"/>
  <c r="AD10" i="1107" s="1"/>
  <c r="K21" i="1107"/>
  <c r="P11" i="1107"/>
  <c r="AC11" i="1107" s="1"/>
  <c r="M13" i="1107"/>
  <c r="O16" i="1107"/>
  <c r="P17" i="1107"/>
  <c r="AC17" i="1107" s="1"/>
  <c r="M19" i="1107"/>
  <c r="P16" i="1107"/>
  <c r="AC16" i="1107" s="1"/>
  <c r="M8" i="1107"/>
  <c r="M11" i="1107"/>
  <c r="M17" i="1107"/>
  <c r="AB17" i="1107"/>
  <c r="L21" i="1107"/>
  <c r="O21" i="1107" s="1"/>
  <c r="AD6" i="1107"/>
  <c r="AB11" i="1107"/>
  <c r="M7" i="1107"/>
  <c r="M10" i="1107"/>
  <c r="M16" i="1107"/>
  <c r="AD12" i="1106"/>
  <c r="Q21" i="1106"/>
  <c r="AD8" i="1106"/>
  <c r="AD14" i="1106"/>
  <c r="K21" i="1106"/>
  <c r="AD9" i="1106"/>
  <c r="AD13" i="1106"/>
  <c r="AD19" i="1106"/>
  <c r="M6" i="1106"/>
  <c r="AB6" i="1106"/>
  <c r="O7" i="1106"/>
  <c r="AD7" i="1106" s="1"/>
  <c r="M9" i="1106"/>
  <c r="O10" i="1106"/>
  <c r="AD10" i="1106" s="1"/>
  <c r="P11" i="1106"/>
  <c r="AC11" i="1106" s="1"/>
  <c r="M13" i="1106"/>
  <c r="O16" i="1106"/>
  <c r="AD16" i="1106" s="1"/>
  <c r="P17" i="1106"/>
  <c r="AC17" i="1106" s="1"/>
  <c r="M19" i="1106"/>
  <c r="M11" i="1106"/>
  <c r="AB11" i="1106"/>
  <c r="M17" i="1106"/>
  <c r="AB17" i="1106"/>
  <c r="M7" i="1106"/>
  <c r="M10" i="1106"/>
  <c r="M16" i="110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19" i="1105"/>
  <c r="L18" i="1105"/>
  <c r="L17" i="1105"/>
  <c r="K17" i="1105" s="1"/>
  <c r="L16" i="1105"/>
  <c r="K16" i="1105" s="1"/>
  <c r="L13" i="1105"/>
  <c r="K13" i="1105"/>
  <c r="L12" i="1105"/>
  <c r="K12" i="1105" s="1"/>
  <c r="L11" i="1105"/>
  <c r="L10" i="1105"/>
  <c r="K10" i="1105" s="1"/>
  <c r="L9" i="1105"/>
  <c r="L7" i="1105"/>
  <c r="K7" i="1105" s="1"/>
  <c r="L6" i="1105"/>
  <c r="K6" i="1105" s="1"/>
  <c r="K19" i="1105"/>
  <c r="K18" i="1105"/>
  <c r="K14" i="1105"/>
  <c r="K11" i="1105"/>
  <c r="K9" i="1105"/>
  <c r="K8" i="1105"/>
  <c r="A74" i="1105"/>
  <c r="A75" i="1105" s="1"/>
  <c r="A76" i="1105" s="1"/>
  <c r="A77" i="1105" s="1"/>
  <c r="A78" i="1105" s="1"/>
  <c r="A79" i="1105" s="1"/>
  <c r="A80" i="1105" s="1"/>
  <c r="A81" i="1105" s="1"/>
  <c r="AF60" i="1105"/>
  <c r="AF59" i="1105"/>
  <c r="AA21" i="1105"/>
  <c r="Z21" i="1105"/>
  <c r="Y21" i="1105"/>
  <c r="X21" i="1105"/>
  <c r="W21" i="1105"/>
  <c r="V21" i="1105"/>
  <c r="U21" i="1105"/>
  <c r="T21" i="1105"/>
  <c r="S21" i="1105"/>
  <c r="R21" i="1105"/>
  <c r="N21" i="1105"/>
  <c r="J21" i="1105"/>
  <c r="I21" i="1105"/>
  <c r="AF20" i="1105"/>
  <c r="AB20" i="1105"/>
  <c r="Q20" i="1105"/>
  <c r="P20" i="1105"/>
  <c r="AC20" i="1105" s="1"/>
  <c r="O20" i="1105"/>
  <c r="M20" i="1105"/>
  <c r="K20" i="1105"/>
  <c r="AF19" i="1105"/>
  <c r="Q19" i="1105"/>
  <c r="P19" i="1105" s="1"/>
  <c r="AC19" i="1105" s="1"/>
  <c r="O19" i="1105"/>
  <c r="AF18" i="1105"/>
  <c r="Q18" i="1105"/>
  <c r="P18" i="1105" s="1"/>
  <c r="AC18" i="1105" s="1"/>
  <c r="O18" i="1105"/>
  <c r="AB18" i="1105"/>
  <c r="AF17" i="1105"/>
  <c r="Q17" i="1105"/>
  <c r="AB17" i="1105"/>
  <c r="AF16" i="1105"/>
  <c r="Q16" i="1105"/>
  <c r="O16" i="1105"/>
  <c r="AF15" i="1105"/>
  <c r="AB15" i="1105"/>
  <c r="Q15" i="1105"/>
  <c r="P15" i="1105"/>
  <c r="AC15" i="1105" s="1"/>
  <c r="O15" i="1105"/>
  <c r="M15" i="1105"/>
  <c r="K15" i="1105"/>
  <c r="AF14" i="1105"/>
  <c r="Q14" i="1105"/>
  <c r="AB14" i="1105"/>
  <c r="AF13" i="1105"/>
  <c r="AB13" i="1105"/>
  <c r="Q13" i="1105"/>
  <c r="P13" i="1105" s="1"/>
  <c r="AC13" i="1105" s="1"/>
  <c r="O13" i="1105"/>
  <c r="M13" i="1105"/>
  <c r="AF12" i="1105"/>
  <c r="AB12" i="1105"/>
  <c r="Q12" i="1105"/>
  <c r="P12" i="1105" s="1"/>
  <c r="AC12" i="1105" s="1"/>
  <c r="O12" i="1105"/>
  <c r="M12" i="1105"/>
  <c r="AF11" i="1105"/>
  <c r="Q11" i="1105"/>
  <c r="AB11" i="1105"/>
  <c r="AF10" i="1105"/>
  <c r="Q10" i="1105"/>
  <c r="P10" i="1105" s="1"/>
  <c r="AC10" i="1105" s="1"/>
  <c r="O10" i="1105"/>
  <c r="AF9" i="1105"/>
  <c r="Q9" i="1105"/>
  <c r="P9" i="1105"/>
  <c r="AC9" i="1105" s="1"/>
  <c r="O9" i="1105"/>
  <c r="AB9" i="1105"/>
  <c r="AF8" i="1105"/>
  <c r="AB8" i="1105"/>
  <c r="Q8" i="1105"/>
  <c r="P8" i="1105"/>
  <c r="AC8" i="1105" s="1"/>
  <c r="AD8" i="1105" s="1"/>
  <c r="O8" i="1105"/>
  <c r="M8" i="1105"/>
  <c r="AF7" i="1105"/>
  <c r="Q7" i="1105"/>
  <c r="AF6" i="1105"/>
  <c r="Q6" i="1105"/>
  <c r="O6" i="1105"/>
  <c r="L21" i="1105"/>
  <c r="O21" i="1105" s="1"/>
  <c r="AD21" i="1109" l="1"/>
  <c r="AE19" i="1109" s="1"/>
  <c r="AD9" i="1108"/>
  <c r="AC21" i="1108"/>
  <c r="AD16" i="1108"/>
  <c r="AD21" i="1108" s="1"/>
  <c r="P21" i="1108"/>
  <c r="M21" i="1107"/>
  <c r="AD16" i="1107"/>
  <c r="AB21" i="1107"/>
  <c r="AD8" i="1107"/>
  <c r="AD17" i="1107"/>
  <c r="AD11" i="1107"/>
  <c r="AC21" i="1107"/>
  <c r="P21" i="1107"/>
  <c r="AC21" i="1106"/>
  <c r="AB21" i="1106"/>
  <c r="M21" i="1106"/>
  <c r="AD6" i="1106"/>
  <c r="AD17" i="1106"/>
  <c r="AD11" i="1106"/>
  <c r="P21" i="1106"/>
  <c r="AF62" i="1105"/>
  <c r="P16" i="1105"/>
  <c r="AC16" i="1105" s="1"/>
  <c r="AD13" i="1105"/>
  <c r="AD12" i="1105"/>
  <c r="Q21" i="1105"/>
  <c r="O7" i="1105"/>
  <c r="P7" i="1105"/>
  <c r="AC7" i="1105" s="1"/>
  <c r="P6" i="1105"/>
  <c r="AC6" i="1105" s="1"/>
  <c r="AD15" i="1105"/>
  <c r="AD20" i="1105"/>
  <c r="AD9" i="1105"/>
  <c r="AD18" i="1105"/>
  <c r="M7" i="1105"/>
  <c r="AB7" i="1105"/>
  <c r="AD7" i="1105" s="1"/>
  <c r="M10" i="1105"/>
  <c r="AB10" i="1105"/>
  <c r="AD10" i="1105" s="1"/>
  <c r="O11" i="1105"/>
  <c r="O14" i="1105"/>
  <c r="M16" i="1105"/>
  <c r="AB16" i="1105"/>
  <c r="O17" i="1105"/>
  <c r="M19" i="1105"/>
  <c r="AB19" i="1105"/>
  <c r="AD19" i="1105" s="1"/>
  <c r="M6" i="1105"/>
  <c r="AB6" i="1105"/>
  <c r="M9" i="1105"/>
  <c r="P11" i="1105"/>
  <c r="AC11" i="1105" s="1"/>
  <c r="K21" i="1105"/>
  <c r="P14" i="1105"/>
  <c r="AC14" i="1105" s="1"/>
  <c r="P17" i="1105"/>
  <c r="AC17" i="1105" s="1"/>
  <c r="M18" i="1105"/>
  <c r="M11" i="1105"/>
  <c r="M14" i="1105"/>
  <c r="M17" i="1105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1104"/>
  <c r="L19" i="1104"/>
  <c r="K19" i="1104" s="1"/>
  <c r="AF19" i="1104"/>
  <c r="Q19" i="1104"/>
  <c r="AB19" i="1104"/>
  <c r="L18" i="1104"/>
  <c r="L17" i="1104"/>
  <c r="L16" i="1104"/>
  <c r="K16" i="1104" s="1"/>
  <c r="L14" i="1104"/>
  <c r="L12" i="1104"/>
  <c r="L11" i="1104"/>
  <c r="O11" i="1104" s="1"/>
  <c r="L10" i="1104"/>
  <c r="K10" i="1104" s="1"/>
  <c r="L9" i="1104"/>
  <c r="K8" i="1104"/>
  <c r="L7" i="1104"/>
  <c r="K7" i="1104" s="1"/>
  <c r="L6" i="1104"/>
  <c r="K6" i="1104" s="1"/>
  <c r="K20" i="1104"/>
  <c r="K18" i="1104"/>
  <c r="K17" i="1104"/>
  <c r="K13" i="1104"/>
  <c r="K12" i="1104"/>
  <c r="K9" i="1104"/>
  <c r="A75" i="1104"/>
  <c r="A76" i="1104" s="1"/>
  <c r="A77" i="1104" s="1"/>
  <c r="A78" i="1104" s="1"/>
  <c r="A79" i="1104" s="1"/>
  <c r="A80" i="1104" s="1"/>
  <c r="A81" i="1104" s="1"/>
  <c r="A82" i="1104" s="1"/>
  <c r="AF61" i="1104"/>
  <c r="AF60" i="1104"/>
  <c r="AF63" i="1104" s="1"/>
  <c r="AA22" i="1104"/>
  <c r="Z22" i="1104"/>
  <c r="Y22" i="1104"/>
  <c r="X22" i="1104"/>
  <c r="W22" i="1104"/>
  <c r="V22" i="1104"/>
  <c r="U22" i="1104"/>
  <c r="T22" i="1104"/>
  <c r="S22" i="1104"/>
  <c r="R22" i="1104"/>
  <c r="N22" i="1104"/>
  <c r="J22" i="1104"/>
  <c r="I22" i="1104"/>
  <c r="AF21" i="1104"/>
  <c r="AB21" i="1104"/>
  <c r="Q21" i="1104"/>
  <c r="P21" i="1104"/>
  <c r="AC21" i="1104" s="1"/>
  <c r="AD21" i="1104" s="1"/>
  <c r="O21" i="1104"/>
  <c r="M21" i="1104"/>
  <c r="K21" i="1104"/>
  <c r="AF20" i="1104"/>
  <c r="Q20" i="1104"/>
  <c r="P20" i="1104" s="1"/>
  <c r="AC20" i="1104" s="1"/>
  <c r="AF18" i="1104"/>
  <c r="AB18" i="1104"/>
  <c r="Q18" i="1104"/>
  <c r="P18" i="1104" s="1"/>
  <c r="AC18" i="1104" s="1"/>
  <c r="O18" i="1104"/>
  <c r="M18" i="1104"/>
  <c r="AF17" i="1104"/>
  <c r="AB17" i="1104"/>
  <c r="Q17" i="1104"/>
  <c r="P17" i="1104" s="1"/>
  <c r="AC17" i="1104" s="1"/>
  <c r="M17" i="1104"/>
  <c r="AF16" i="1104"/>
  <c r="AB16" i="1104"/>
  <c r="Q16" i="1104"/>
  <c r="P16" i="1104" s="1"/>
  <c r="AC16" i="1104" s="1"/>
  <c r="O16" i="1104"/>
  <c r="M16" i="1104"/>
  <c r="AF15" i="1104"/>
  <c r="AB15" i="1104"/>
  <c r="Q15" i="1104"/>
  <c r="P15" i="1104"/>
  <c r="AC15" i="1104" s="1"/>
  <c r="O15" i="1104"/>
  <c r="M15" i="1104"/>
  <c r="K15" i="1104"/>
  <c r="AF14" i="1104"/>
  <c r="AB14" i="1104"/>
  <c r="Q14" i="1104"/>
  <c r="P14" i="1104" s="1"/>
  <c r="AC14" i="1104" s="1"/>
  <c r="O14" i="1104"/>
  <c r="M14" i="1104"/>
  <c r="K14" i="1104"/>
  <c r="AF13" i="1104"/>
  <c r="AB13" i="1104"/>
  <c r="Q13" i="1104"/>
  <c r="P13" i="1104" s="1"/>
  <c r="AC13" i="1104" s="1"/>
  <c r="O13" i="1104"/>
  <c r="M13" i="1104"/>
  <c r="AF12" i="1104"/>
  <c r="Q12" i="1104"/>
  <c r="P12" i="1104" s="1"/>
  <c r="AC12" i="1104" s="1"/>
  <c r="AF11" i="1104"/>
  <c r="Q11" i="1104"/>
  <c r="P11" i="1104" s="1"/>
  <c r="AC11" i="1104" s="1"/>
  <c r="AF10" i="1104"/>
  <c r="AB10" i="1104"/>
  <c r="Q10" i="1104"/>
  <c r="P10" i="1104" s="1"/>
  <c r="AC10" i="1104" s="1"/>
  <c r="O10" i="1104"/>
  <c r="M10" i="1104"/>
  <c r="AF9" i="1104"/>
  <c r="Q9" i="1104"/>
  <c r="P9" i="1104" s="1"/>
  <c r="AC9" i="1104" s="1"/>
  <c r="AF8" i="1104"/>
  <c r="AB8" i="1104"/>
  <c r="Q8" i="1104"/>
  <c r="P8" i="1104" s="1"/>
  <c r="AC8" i="1104" s="1"/>
  <c r="O8" i="1104"/>
  <c r="M8" i="1104"/>
  <c r="AF7" i="1104"/>
  <c r="AB7" i="1104"/>
  <c r="Q7" i="1104"/>
  <c r="M7" i="1104"/>
  <c r="L22" i="1104"/>
  <c r="O22" i="1104" s="1"/>
  <c r="AF6" i="1104"/>
  <c r="AB6" i="1104"/>
  <c r="Q6" i="1104"/>
  <c r="O6" i="1104"/>
  <c r="M6" i="1104"/>
  <c r="AE18" i="1109" l="1"/>
  <c r="AE10" i="1109"/>
  <c r="AE13" i="1109"/>
  <c r="AE15" i="1109"/>
  <c r="AE7" i="1109"/>
  <c r="AE6" i="1109"/>
  <c r="AE20" i="1109"/>
  <c r="AE17" i="1109"/>
  <c r="AE12" i="1109"/>
  <c r="AE8" i="1109"/>
  <c r="AE16" i="1109"/>
  <c r="AE11" i="1109"/>
  <c r="AE9" i="1109"/>
  <c r="AE14" i="1109"/>
  <c r="AE19" i="1108"/>
  <c r="AE17" i="1108"/>
  <c r="AE10" i="1108"/>
  <c r="AE8" i="1108"/>
  <c r="AE6" i="1108"/>
  <c r="AE15" i="1108"/>
  <c r="AE13" i="1108"/>
  <c r="AE7" i="1108"/>
  <c r="AE20" i="1108"/>
  <c r="AE18" i="1108"/>
  <c r="AE16" i="1108"/>
  <c r="AE11" i="1108"/>
  <c r="AE14" i="1108"/>
  <c r="AE12" i="1108"/>
  <c r="AE9" i="1108"/>
  <c r="AD21" i="1107"/>
  <c r="AE15" i="1107" s="1"/>
  <c r="AD21" i="1106"/>
  <c r="AE19" i="1106" s="1"/>
  <c r="AD16" i="1105"/>
  <c r="AD14" i="1105"/>
  <c r="AB21" i="1105"/>
  <c r="AD6" i="1105"/>
  <c r="P21" i="1105"/>
  <c r="AD17" i="1105"/>
  <c r="AD11" i="1105"/>
  <c r="M21" i="1105"/>
  <c r="AC21" i="1105"/>
  <c r="AD13" i="1104"/>
  <c r="O19" i="1104"/>
  <c r="P19" i="1104"/>
  <c r="AC19" i="1104" s="1"/>
  <c r="M19" i="1104"/>
  <c r="AD18" i="1104"/>
  <c r="AD14" i="1104"/>
  <c r="M11" i="1104"/>
  <c r="AB11" i="1104"/>
  <c r="AD11" i="1104" s="1"/>
  <c r="K11" i="1104"/>
  <c r="K22" i="1104" s="1"/>
  <c r="Q22" i="1104"/>
  <c r="AD8" i="1104"/>
  <c r="P6" i="1104"/>
  <c r="AC6" i="1104" s="1"/>
  <c r="AD16" i="1104"/>
  <c r="AD10" i="1104"/>
  <c r="AD15" i="1104"/>
  <c r="O7" i="1104"/>
  <c r="M9" i="1104"/>
  <c r="AB9" i="1104"/>
  <c r="M12" i="1104"/>
  <c r="AB12" i="1104"/>
  <c r="O17" i="1104"/>
  <c r="AD17" i="1104" s="1"/>
  <c r="M20" i="1104"/>
  <c r="AB20" i="1104"/>
  <c r="P7" i="1104"/>
  <c r="AC7" i="1104" s="1"/>
  <c r="O9" i="1104"/>
  <c r="O12" i="1104"/>
  <c r="O20" i="1104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L20" i="1103"/>
  <c r="K20" i="1103" s="1"/>
  <c r="K19" i="1103"/>
  <c r="L17" i="1103"/>
  <c r="K17" i="1103" s="1"/>
  <c r="AF17" i="1103"/>
  <c r="Q17" i="1103"/>
  <c r="M17" i="1103"/>
  <c r="L18" i="1103"/>
  <c r="K18" i="1103" s="1"/>
  <c r="L16" i="1103"/>
  <c r="M16" i="1103" s="1"/>
  <c r="L12" i="1103"/>
  <c r="K12" i="1103" s="1"/>
  <c r="L11" i="1103"/>
  <c r="O11" i="1103" s="1"/>
  <c r="L9" i="1103"/>
  <c r="L7" i="1103"/>
  <c r="K7" i="1103" s="1"/>
  <c r="K13" i="1103"/>
  <c r="K11" i="1103"/>
  <c r="K9" i="1103"/>
  <c r="K8" i="1103"/>
  <c r="A75" i="1103"/>
  <c r="A76" i="1103" s="1"/>
  <c r="A77" i="1103" s="1"/>
  <c r="A78" i="1103" s="1"/>
  <c r="A79" i="1103" s="1"/>
  <c r="A80" i="1103" s="1"/>
  <c r="A81" i="1103" s="1"/>
  <c r="A82" i="1103" s="1"/>
  <c r="AF63" i="1103"/>
  <c r="AF61" i="1103"/>
  <c r="AF60" i="1103"/>
  <c r="AA22" i="1103"/>
  <c r="Z22" i="1103"/>
  <c r="Y22" i="1103"/>
  <c r="X22" i="1103"/>
  <c r="W22" i="1103"/>
  <c r="V22" i="1103"/>
  <c r="U22" i="1103"/>
  <c r="T22" i="1103"/>
  <c r="S22" i="1103"/>
  <c r="R22" i="1103"/>
  <c r="N22" i="1103"/>
  <c r="J22" i="1103"/>
  <c r="I22" i="1103"/>
  <c r="AF21" i="1103"/>
  <c r="AB21" i="1103"/>
  <c r="Q21" i="1103"/>
  <c r="P21" i="1103"/>
  <c r="AC21" i="1103" s="1"/>
  <c r="AD21" i="1103" s="1"/>
  <c r="O21" i="1103"/>
  <c r="M21" i="1103"/>
  <c r="K21" i="1103"/>
  <c r="AF20" i="1103"/>
  <c r="AB20" i="1103"/>
  <c r="Q20" i="1103"/>
  <c r="M20" i="1103"/>
  <c r="P20" i="1103"/>
  <c r="AC20" i="1103" s="1"/>
  <c r="AF19" i="1103"/>
  <c r="AB19" i="1103"/>
  <c r="Q19" i="1103"/>
  <c r="P19" i="1103"/>
  <c r="AC19" i="1103" s="1"/>
  <c r="O19" i="1103"/>
  <c r="M19" i="1103"/>
  <c r="AF18" i="1103"/>
  <c r="AB18" i="1103"/>
  <c r="Q18" i="1103"/>
  <c r="P18" i="1103" s="1"/>
  <c r="AC18" i="1103" s="1"/>
  <c r="O18" i="1103"/>
  <c r="M18" i="1103"/>
  <c r="AF16" i="1103"/>
  <c r="AB16" i="1103"/>
  <c r="Q16" i="1103"/>
  <c r="P16" i="1103" s="1"/>
  <c r="AC16" i="1103" s="1"/>
  <c r="AF15" i="1103"/>
  <c r="AB15" i="1103"/>
  <c r="Q15" i="1103"/>
  <c r="P15" i="1103"/>
  <c r="AC15" i="1103" s="1"/>
  <c r="O15" i="1103"/>
  <c r="M15" i="1103"/>
  <c r="K15" i="1103"/>
  <c r="AF14" i="1103"/>
  <c r="AB14" i="1103"/>
  <c r="Q14" i="1103"/>
  <c r="P14" i="1103"/>
  <c r="AC14" i="1103" s="1"/>
  <c r="O14" i="1103"/>
  <c r="M14" i="1103"/>
  <c r="K14" i="1103"/>
  <c r="AF13" i="1103"/>
  <c r="Q13" i="1103"/>
  <c r="P13" i="1103" s="1"/>
  <c r="AC13" i="1103" s="1"/>
  <c r="AF12" i="1103"/>
  <c r="AB12" i="1103"/>
  <c r="Q12" i="1103"/>
  <c r="P12" i="1103" s="1"/>
  <c r="AC12" i="1103" s="1"/>
  <c r="O12" i="1103"/>
  <c r="M12" i="1103"/>
  <c r="AF11" i="1103"/>
  <c r="AB11" i="1103"/>
  <c r="Q11" i="1103"/>
  <c r="P11" i="1103" s="1"/>
  <c r="AC11" i="1103" s="1"/>
  <c r="AF10" i="1103"/>
  <c r="AB10" i="1103"/>
  <c r="Q10" i="1103"/>
  <c r="P10" i="1103"/>
  <c r="AC10" i="1103" s="1"/>
  <c r="O10" i="1103"/>
  <c r="M10" i="1103"/>
  <c r="K10" i="1103"/>
  <c r="AF9" i="1103"/>
  <c r="AB9" i="1103"/>
  <c r="Q9" i="1103"/>
  <c r="P9" i="1103"/>
  <c r="AC9" i="1103" s="1"/>
  <c r="O9" i="1103"/>
  <c r="M9" i="1103"/>
  <c r="AF8" i="1103"/>
  <c r="AB8" i="1103"/>
  <c r="Q8" i="1103"/>
  <c r="M8" i="1103"/>
  <c r="P8" i="1103"/>
  <c r="AC8" i="1103" s="1"/>
  <c r="AF7" i="1103"/>
  <c r="Q7" i="1103"/>
  <c r="P7" i="1103"/>
  <c r="AC7" i="1103" s="1"/>
  <c r="AF6" i="1103"/>
  <c r="AB6" i="1103"/>
  <c r="Q6" i="1103"/>
  <c r="P6" i="1103"/>
  <c r="AC6" i="1103" s="1"/>
  <c r="O6" i="1103"/>
  <c r="M6" i="1103"/>
  <c r="K6" i="1103"/>
  <c r="AE18" i="1107" l="1"/>
  <c r="AE20" i="1107"/>
  <c r="AE11" i="1107"/>
  <c r="AE10" i="1107"/>
  <c r="AE6" i="1107"/>
  <c r="AE19" i="1107"/>
  <c r="AE9" i="1107"/>
  <c r="AE8" i="1107"/>
  <c r="AE14" i="1107"/>
  <c r="AE16" i="1107"/>
  <c r="AE13" i="1107"/>
  <c r="AE12" i="1107"/>
  <c r="AE17" i="1107"/>
  <c r="AE7" i="1107"/>
  <c r="AE11" i="1106"/>
  <c r="AE17" i="1106"/>
  <c r="AE9" i="1106"/>
  <c r="AE8" i="1106"/>
  <c r="AE20" i="1106"/>
  <c r="AE14" i="1106"/>
  <c r="AE13" i="1106"/>
  <c r="AE12" i="1106"/>
  <c r="AE10" i="1106"/>
  <c r="AE7" i="1106"/>
  <c r="AE15" i="1106"/>
  <c r="AE18" i="1106"/>
  <c r="AE16" i="1106"/>
  <c r="AE6" i="1106"/>
  <c r="AD21" i="1105"/>
  <c r="AD19" i="1104"/>
  <c r="AD12" i="1104"/>
  <c r="AB22" i="1104"/>
  <c r="AD7" i="1104"/>
  <c r="AD20" i="1104"/>
  <c r="M22" i="1104"/>
  <c r="AD9" i="1104"/>
  <c r="P22" i="1104"/>
  <c r="AC22" i="1104"/>
  <c r="AD6" i="1104"/>
  <c r="AD10" i="1103"/>
  <c r="AB17" i="1103"/>
  <c r="AD19" i="1103"/>
  <c r="P17" i="1103"/>
  <c r="AC17" i="1103" s="1"/>
  <c r="AD14" i="1103"/>
  <c r="O17" i="1103"/>
  <c r="AD12" i="1103"/>
  <c r="K16" i="1103"/>
  <c r="M11" i="1103"/>
  <c r="AD11" i="1103"/>
  <c r="Q22" i="1103"/>
  <c r="AD9" i="1103"/>
  <c r="AD18" i="1103"/>
  <c r="AD15" i="1103"/>
  <c r="AC22" i="1103"/>
  <c r="AD6" i="1103"/>
  <c r="D3" i="16" s="1"/>
  <c r="M7" i="1103"/>
  <c r="AB7" i="1103"/>
  <c r="O8" i="1103"/>
  <c r="AD8" i="1103" s="1"/>
  <c r="D5" i="16" s="1"/>
  <c r="M13" i="1103"/>
  <c r="AB13" i="1103"/>
  <c r="O16" i="1103"/>
  <c r="AD16" i="1103" s="1"/>
  <c r="O20" i="1103"/>
  <c r="AD20" i="1103" s="1"/>
  <c r="O7" i="1103"/>
  <c r="O13" i="1103"/>
  <c r="L22" i="1103"/>
  <c r="O22" i="1103" s="1"/>
  <c r="P22" i="1103"/>
  <c r="K22" i="1103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1102"/>
  <c r="K20" i="1102" s="1"/>
  <c r="L18" i="1102"/>
  <c r="L17" i="1102"/>
  <c r="K15" i="1102"/>
  <c r="L14" i="1102"/>
  <c r="K14" i="1102" s="1"/>
  <c r="L13" i="1102"/>
  <c r="L12" i="1102"/>
  <c r="L10" i="1102"/>
  <c r="K10" i="1102" s="1"/>
  <c r="AF10" i="1102"/>
  <c r="Q10" i="1102"/>
  <c r="M10" i="1102"/>
  <c r="L9" i="1102"/>
  <c r="K9" i="1102" s="1"/>
  <c r="L8" i="1102"/>
  <c r="K8" i="1102" s="1"/>
  <c r="L7" i="1102"/>
  <c r="AE19" i="1105" l="1"/>
  <c r="AE16" i="1105"/>
  <c r="AE13" i="1105"/>
  <c r="AE10" i="1105"/>
  <c r="AE7" i="1105"/>
  <c r="AE14" i="1105"/>
  <c r="AE17" i="1105"/>
  <c r="AE20" i="1105"/>
  <c r="AE12" i="1105"/>
  <c r="AE8" i="1105"/>
  <c r="AE6" i="1105"/>
  <c r="AE11" i="1105"/>
  <c r="AE18" i="1105"/>
  <c r="AE15" i="1105"/>
  <c r="AE9" i="1105"/>
  <c r="AD22" i="1104"/>
  <c r="AD17" i="1103"/>
  <c r="AB22" i="1103"/>
  <c r="M22" i="1103"/>
  <c r="AD13" i="1103"/>
  <c r="AD7" i="1103"/>
  <c r="D4" i="16" s="1"/>
  <c r="P10" i="1102"/>
  <c r="AC10" i="1102" s="1"/>
  <c r="AB10" i="1102"/>
  <c r="O10" i="1102"/>
  <c r="K18" i="1102"/>
  <c r="K17" i="1102"/>
  <c r="K13" i="1102"/>
  <c r="K12" i="1102"/>
  <c r="K11" i="1102"/>
  <c r="K7" i="1102"/>
  <c r="K6" i="1102"/>
  <c r="K19" i="1102"/>
  <c r="A76" i="1102"/>
  <c r="A77" i="1102" s="1"/>
  <c r="A78" i="1102" s="1"/>
  <c r="A79" i="1102" s="1"/>
  <c r="A80" i="1102" s="1"/>
  <c r="A81" i="1102" s="1"/>
  <c r="A82" i="1102" s="1"/>
  <c r="A75" i="1102"/>
  <c r="AF61" i="1102"/>
  <c r="AF60" i="1102"/>
  <c r="AF63" i="1102" s="1"/>
  <c r="AA22" i="1102"/>
  <c r="Z22" i="1102"/>
  <c r="Y22" i="1102"/>
  <c r="X22" i="1102"/>
  <c r="W22" i="1102"/>
  <c r="V22" i="1102"/>
  <c r="U22" i="1102"/>
  <c r="T22" i="1102"/>
  <c r="S22" i="1102"/>
  <c r="R22" i="1102"/>
  <c r="N22" i="1102"/>
  <c r="J22" i="1102"/>
  <c r="I22" i="1102"/>
  <c r="AF21" i="1102"/>
  <c r="AB21" i="1102"/>
  <c r="Q21" i="1102"/>
  <c r="P21" i="1102"/>
  <c r="AC21" i="1102" s="1"/>
  <c r="O21" i="1102"/>
  <c r="M21" i="1102"/>
  <c r="K21" i="1102"/>
  <c r="AF20" i="1102"/>
  <c r="Q20" i="1102"/>
  <c r="P20" i="1102" s="1"/>
  <c r="AC20" i="1102" s="1"/>
  <c r="O20" i="1102"/>
  <c r="AB20" i="1102"/>
  <c r="AF19" i="1102"/>
  <c r="AB19" i="1102"/>
  <c r="Q19" i="1102"/>
  <c r="O19" i="1102"/>
  <c r="M19" i="1102"/>
  <c r="P19" i="1102"/>
  <c r="AC19" i="1102" s="1"/>
  <c r="AF18" i="1102"/>
  <c r="AB18" i="1102"/>
  <c r="Q18" i="1102"/>
  <c r="O18" i="1102"/>
  <c r="AF17" i="1102"/>
  <c r="Q17" i="1102"/>
  <c r="AB17" i="1102"/>
  <c r="AF16" i="1102"/>
  <c r="AB16" i="1102"/>
  <c r="Q16" i="1102"/>
  <c r="P16" i="1102"/>
  <c r="AC16" i="1102" s="1"/>
  <c r="O16" i="1102"/>
  <c r="M16" i="1102"/>
  <c r="K16" i="1102"/>
  <c r="AF15" i="1102"/>
  <c r="AB15" i="1102"/>
  <c r="Q15" i="1102"/>
  <c r="P15" i="1102"/>
  <c r="AC15" i="1102" s="1"/>
  <c r="O15" i="1102"/>
  <c r="M15" i="1102"/>
  <c r="AF14" i="1102"/>
  <c r="AB14" i="1102"/>
  <c r="Q14" i="1102"/>
  <c r="P14" i="1102" s="1"/>
  <c r="AC14" i="1102" s="1"/>
  <c r="O14" i="1102"/>
  <c r="M14" i="1102"/>
  <c r="AF13" i="1102"/>
  <c r="AB13" i="1102"/>
  <c r="Q13" i="1102"/>
  <c r="P13" i="1102" s="1"/>
  <c r="AC13" i="1102" s="1"/>
  <c r="O13" i="1102"/>
  <c r="M13" i="1102"/>
  <c r="AF12" i="1102"/>
  <c r="Q12" i="1102"/>
  <c r="P12" i="1102" s="1"/>
  <c r="AC12" i="1102" s="1"/>
  <c r="O12" i="1102"/>
  <c r="M12" i="1102"/>
  <c r="AB12" i="1102"/>
  <c r="AF11" i="1102"/>
  <c r="AB11" i="1102"/>
  <c r="Q11" i="1102"/>
  <c r="P11" i="1102" s="1"/>
  <c r="AC11" i="1102" s="1"/>
  <c r="O11" i="1102"/>
  <c r="M11" i="1102"/>
  <c r="AF9" i="1102"/>
  <c r="Q9" i="1102"/>
  <c r="O9" i="1102"/>
  <c r="AF8" i="1102"/>
  <c r="Q8" i="1102"/>
  <c r="P8" i="1102" s="1"/>
  <c r="AC8" i="1102" s="1"/>
  <c r="AB8" i="1102"/>
  <c r="AF7" i="1102"/>
  <c r="Q7" i="1102"/>
  <c r="P7" i="1102" s="1"/>
  <c r="AC7" i="1102" s="1"/>
  <c r="O7" i="1102"/>
  <c r="M7" i="1102"/>
  <c r="L22" i="1102"/>
  <c r="O22" i="1102" s="1"/>
  <c r="AF6" i="1102"/>
  <c r="AB6" i="1102"/>
  <c r="Q6" i="1102"/>
  <c r="P6" i="1102"/>
  <c r="AC6" i="1102" s="1"/>
  <c r="O6" i="1102"/>
  <c r="M6" i="1102"/>
  <c r="AE20" i="1104" l="1"/>
  <c r="AE19" i="1104"/>
  <c r="AE18" i="1104"/>
  <c r="AE17" i="1104"/>
  <c r="AE8" i="1104"/>
  <c r="AE13" i="1104"/>
  <c r="AE12" i="1104"/>
  <c r="AE16" i="1104"/>
  <c r="AE21" i="1104"/>
  <c r="AE15" i="1104"/>
  <c r="AE6" i="1104"/>
  <c r="AE9" i="1104"/>
  <c r="AE11" i="1104"/>
  <c r="AE10" i="1104"/>
  <c r="AE7" i="1104"/>
  <c r="AE14" i="1104"/>
  <c r="AD22" i="1103"/>
  <c r="AD19" i="1102"/>
  <c r="AD10" i="1102"/>
  <c r="AD14" i="1102"/>
  <c r="AD16" i="1102"/>
  <c r="AD15" i="1102"/>
  <c r="Q22" i="1102"/>
  <c r="AD21" i="1102"/>
  <c r="AD11" i="1102"/>
  <c r="AD13" i="1102"/>
  <c r="AD12" i="1102"/>
  <c r="AD20" i="1102"/>
  <c r="AB9" i="1102"/>
  <c r="AB7" i="1102"/>
  <c r="AD7" i="1102" s="1"/>
  <c r="O8" i="1102"/>
  <c r="AD8" i="1102" s="1"/>
  <c r="P9" i="1102"/>
  <c r="AC9" i="1102" s="1"/>
  <c r="O17" i="1102"/>
  <c r="P18" i="1102"/>
  <c r="AC18" i="1102" s="1"/>
  <c r="AD18" i="1102" s="1"/>
  <c r="M20" i="1102"/>
  <c r="P17" i="1102"/>
  <c r="AC17" i="1102" s="1"/>
  <c r="M9" i="1102"/>
  <c r="M18" i="1102"/>
  <c r="AD6" i="1102"/>
  <c r="M8" i="1102"/>
  <c r="M17" i="1102"/>
  <c r="K22" i="1102"/>
  <c r="AE20" i="1103" l="1"/>
  <c r="AE17" i="1103"/>
  <c r="AE15" i="1103"/>
  <c r="AE9" i="1103"/>
  <c r="AE8" i="1103"/>
  <c r="AE19" i="1103"/>
  <c r="AE12" i="1103"/>
  <c r="AE11" i="1103"/>
  <c r="AE10" i="1103"/>
  <c r="AE7" i="1103"/>
  <c r="AE21" i="1103"/>
  <c r="AE14" i="1103"/>
  <c r="AE16" i="1103"/>
  <c r="AE6" i="1103"/>
  <c r="AE13" i="1103"/>
  <c r="AE18" i="1103"/>
  <c r="M22" i="1102"/>
  <c r="AB22" i="1102"/>
  <c r="AD17" i="1102"/>
  <c r="AD9" i="1102"/>
  <c r="P22" i="1102"/>
  <c r="AC22" i="1102"/>
  <c r="AD22" i="1102" l="1"/>
  <c r="AE10" i="1102" s="1"/>
  <c r="AE20" i="1102" l="1"/>
  <c r="AE9" i="1102"/>
  <c r="AE19" i="1102"/>
  <c r="AE15" i="1102"/>
  <c r="AE14" i="1102"/>
  <c r="AE13" i="1102"/>
  <c r="AE8" i="1102"/>
  <c r="AE18" i="1102"/>
  <c r="AE17" i="1102"/>
  <c r="AE16" i="1102"/>
  <c r="AE11" i="1102"/>
  <c r="AE12" i="1102"/>
  <c r="AE6" i="1102"/>
  <c r="AE21" i="1102"/>
  <c r="AE7" i="1102"/>
  <c r="AG13" i="16" l="1"/>
  <c r="AG3" i="16"/>
  <c r="AG18" i="16"/>
  <c r="AG17" i="16"/>
  <c r="AG16" i="16"/>
  <c r="AG15" i="16"/>
  <c r="AG14" i="16"/>
  <c r="AG12" i="16"/>
  <c r="AG11" i="16"/>
  <c r="AG10" i="16"/>
  <c r="AG9" i="16"/>
  <c r="AG8" i="16"/>
  <c r="AG7" i="16"/>
  <c r="AG6" i="16"/>
  <c r="AG5" i="16"/>
  <c r="AG4" i="16"/>
</calcChain>
</file>

<file path=xl/sharedStrings.xml><?xml version="1.0" encoding="utf-8"?>
<sst xmlns="http://schemas.openxmlformats.org/spreadsheetml/2006/main" count="4839" uniqueCount="1054">
  <si>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</si>
  <si>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</si>
  <si>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</si>
  <si>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</si>
  <si>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</si>
  <si>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</si>
  <si>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</si>
  <si>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</si>
  <si>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</si>
  <si>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</si>
  <si>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</si>
  <si>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</si>
  <si>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</si>
  <si>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</si>
  <si>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</si>
  <si>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</si>
  <si>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</si>
  <si>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</si>
  <si>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</si>
  <si>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</si>
  <si>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</si>
  <si>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</si>
  <si>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</si>
  <si>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</si>
  <si>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</si>
  <si>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</si>
  <si>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</si>
  <si>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</si>
  <si>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</si>
  <si>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</si>
  <si>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</si>
  <si>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</si>
  <si>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</si>
  <si>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</si>
  <si>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</si>
  <si>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</si>
  <si>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</si>
  <si>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</si>
  <si>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</si>
  <si>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</si>
  <si>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</si>
  <si>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</si>
  <si>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</si>
  <si>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</si>
  <si>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</si>
  <si>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</si>
  <si>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</si>
  <si>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</si>
  <si>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</si>
  <si>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</si>
  <si>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</si>
  <si>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</si>
  <si>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</si>
  <si>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</si>
  <si>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</si>
  <si>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</si>
  <si>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</si>
  <si>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</si>
  <si>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</si>
  <si>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</si>
  <si>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</si>
  <si>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</si>
  <si>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</si>
  <si>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</si>
  <si>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</si>
  <si>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</si>
  <si>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</si>
  <si>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</si>
  <si>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</si>
  <si>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</si>
  <si>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</si>
  <si>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</si>
  <si>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</si>
  <si>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</si>
  <si>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</si>
  <si>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</si>
  <si>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</si>
  <si>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</si>
  <si>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</si>
  <si>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</si>
  <si>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</si>
  <si>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</si>
  <si>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</si>
  <si>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</si>
  <si>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</si>
  <si>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</si>
  <si>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</si>
  <si>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</si>
  <si>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</si>
  <si>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</si>
  <si>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</si>
  <si>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</si>
  <si>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</si>
  <si>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</si>
  <si>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</si>
  <si>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</si>
  <si>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</si>
  <si>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</si>
  <si>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</si>
  <si>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</si>
  <si>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</si>
  <si>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</si>
  <si>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</si>
  <si>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</si>
  <si>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</si>
  <si>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</si>
  <si>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</si>
  <si>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</si>
  <si>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</si>
  <si>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</si>
  <si>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</si>
  <si>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</si>
  <si>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</si>
  <si>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</si>
  <si>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</si>
  <si>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 xml:space="preserve"> 코아파손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</si>
  <si>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</si>
  <si>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</si>
  <si>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</si>
  <si>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</si>
  <si>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</si>
  <si>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SLIDER</t>
    <phoneticPr fontId="2" type="noConversion"/>
  </si>
  <si>
    <t>HICON</t>
    <phoneticPr fontId="2" type="noConversion"/>
  </si>
  <si>
    <t>SST</t>
    <phoneticPr fontId="2" type="noConversion"/>
  </si>
  <si>
    <t>SGF2041 N/P</t>
    <phoneticPr fontId="2" type="noConversion"/>
  </si>
  <si>
    <t>LEAD GUIDE</t>
    <phoneticPr fontId="2" type="noConversion"/>
  </si>
  <si>
    <t>7301</t>
    <phoneticPr fontId="2" type="noConversion"/>
  </si>
  <si>
    <t>HSB05-M005B1</t>
    <phoneticPr fontId="2" type="noConversion"/>
  </si>
  <si>
    <t>SGF2030</t>
    <phoneticPr fontId="2" type="noConversion"/>
  </si>
  <si>
    <t>HSB05-M004B1</t>
    <phoneticPr fontId="2" type="noConversion"/>
  </si>
  <si>
    <t>AMB1901D-JAA-R2</t>
    <phoneticPr fontId="2" type="noConversion"/>
  </si>
  <si>
    <t>ODT</t>
    <phoneticPr fontId="2" type="noConversion"/>
  </si>
  <si>
    <t>DI</t>
    <phoneticPr fontId="2" type="noConversion"/>
  </si>
  <si>
    <t>PA46</t>
    <phoneticPr fontId="2" type="noConversion"/>
  </si>
  <si>
    <t>8</t>
    <phoneticPr fontId="2" type="noConversion"/>
  </si>
  <si>
    <t>COVER</t>
    <phoneticPr fontId="2" type="noConversion"/>
  </si>
  <si>
    <t>HSB05-M002B1-15BI</t>
    <phoneticPr fontId="2" type="noConversion"/>
  </si>
  <si>
    <t>INNER</t>
    <phoneticPr fontId="2" type="noConversion"/>
  </si>
  <si>
    <t>SW-003353</t>
    <phoneticPr fontId="2" type="noConversion"/>
  </si>
  <si>
    <t>PC투명</t>
    <phoneticPr fontId="2" type="noConversion"/>
  </si>
  <si>
    <t>ACTUATOR</t>
    <phoneticPr fontId="2" type="noConversion"/>
  </si>
  <si>
    <t>72P</t>
    <phoneticPr fontId="2" type="noConversion"/>
  </si>
  <si>
    <t>발주분양산</t>
    <phoneticPr fontId="2" type="noConversion"/>
  </si>
  <si>
    <t>SST</t>
    <phoneticPr fontId="2" type="noConversion"/>
  </si>
  <si>
    <t>BODY</t>
    <phoneticPr fontId="2" type="noConversion"/>
  </si>
  <si>
    <t>AM0148E-K-R2</t>
    <phoneticPr fontId="2" type="noConversion"/>
  </si>
  <si>
    <t>7301</t>
    <phoneticPr fontId="2" type="noConversion"/>
  </si>
  <si>
    <t>F/ADAPTER</t>
    <phoneticPr fontId="2" type="noConversion"/>
  </si>
  <si>
    <t>AMB2071A-KAA-R2</t>
    <phoneticPr fontId="2" type="noConversion"/>
  </si>
  <si>
    <t>8301</t>
    <phoneticPr fontId="2" type="noConversion"/>
  </si>
  <si>
    <t>LEAD GUIDE</t>
    <phoneticPr fontId="2" type="noConversion"/>
  </si>
  <si>
    <t>K-JR01920-F414AWA</t>
    <phoneticPr fontId="2" type="noConversion"/>
  </si>
  <si>
    <t>SGF2030</t>
    <phoneticPr fontId="2" type="noConversion"/>
  </si>
  <si>
    <t>LEAD IN</t>
    <phoneticPr fontId="2" type="noConversion"/>
  </si>
  <si>
    <t>K-JR01920-M01ABA</t>
    <phoneticPr fontId="2" type="noConversion"/>
  </si>
  <si>
    <t>SGF2030 N/P</t>
    <phoneticPr fontId="2" type="noConversion"/>
  </si>
  <si>
    <t>HICON</t>
    <phoneticPr fontId="2" type="noConversion"/>
  </si>
  <si>
    <t>발주분양산</t>
    <phoneticPr fontId="2" type="noConversion"/>
  </si>
  <si>
    <t>BASE</t>
    <phoneticPr fontId="2" type="noConversion"/>
  </si>
  <si>
    <t>K-JR01920-B414AZB</t>
    <phoneticPr fontId="2" type="noConversion"/>
  </si>
  <si>
    <t>HICON</t>
    <phoneticPr fontId="2" type="noConversion"/>
  </si>
  <si>
    <r>
      <t>2018년 01월 02일 일일생산현황</t>
    </r>
    <r>
      <rPr>
        <b/>
        <sz val="14"/>
        <color indexed="8"/>
        <rFont val="굴림체"/>
        <family val="3"/>
        <charset val="129"/>
      </rPr>
      <t>(03일(수) 09시 현재)</t>
    </r>
    <phoneticPr fontId="2" type="noConversion"/>
  </si>
  <si>
    <t>01월 호기별 가동현황</t>
    <phoneticPr fontId="2" type="noConversion"/>
  </si>
  <si>
    <t>SST</t>
    <phoneticPr fontId="2" type="noConversion"/>
  </si>
  <si>
    <t>K-JR01920-C01AWA</t>
    <phoneticPr fontId="2" type="noConversion"/>
  </si>
  <si>
    <t>SGF2030</t>
    <phoneticPr fontId="2" type="noConversion"/>
  </si>
  <si>
    <t>HICON</t>
    <phoneticPr fontId="2" type="noConversion"/>
  </si>
  <si>
    <t>LATCH</t>
    <phoneticPr fontId="2" type="noConversion"/>
  </si>
  <si>
    <t>HT00-M64AR-1</t>
    <phoneticPr fontId="2" type="noConversion"/>
  </si>
  <si>
    <t>JD4901</t>
    <phoneticPr fontId="2" type="noConversion"/>
  </si>
  <si>
    <t>SST</t>
    <phoneticPr fontId="2" type="noConversion"/>
  </si>
  <si>
    <t>4LEAD</t>
    <phoneticPr fontId="2" type="noConversion"/>
  </si>
  <si>
    <t>009-019-004</t>
    <phoneticPr fontId="2" type="noConversion"/>
  </si>
  <si>
    <t>7301</t>
    <phoneticPr fontId="2" type="noConversion"/>
  </si>
  <si>
    <t>발주</t>
    <phoneticPr fontId="2" type="noConversion"/>
  </si>
  <si>
    <t>CONTACTOR</t>
    <phoneticPr fontId="2" type="noConversion"/>
  </si>
  <si>
    <t>2829H-05-007</t>
    <phoneticPr fontId="2" type="noConversion"/>
  </si>
  <si>
    <t>SGF2030</t>
    <phoneticPr fontId="2" type="noConversion"/>
  </si>
  <si>
    <t>MCS</t>
    <phoneticPr fontId="2" type="noConversion"/>
  </si>
  <si>
    <t>BASE</t>
    <phoneticPr fontId="2" type="noConversion"/>
  </si>
  <si>
    <t>AMM0821A-KAA-R3</t>
    <phoneticPr fontId="2" type="noConversion"/>
  </si>
  <si>
    <t>2829H-05-003</t>
    <phoneticPr fontId="2" type="noConversion"/>
  </si>
  <si>
    <t>전일 ISSUE 사항(02일)</t>
    <phoneticPr fontId="2" type="noConversion"/>
  </si>
  <si>
    <t>3</t>
    <phoneticPr fontId="2" type="noConversion"/>
  </si>
  <si>
    <t>발주분양산</t>
    <phoneticPr fontId="2" type="noConversion"/>
  </si>
  <si>
    <t>11</t>
    <phoneticPr fontId="2" type="noConversion"/>
  </si>
  <si>
    <t>STOPPER</t>
    <phoneticPr fontId="2" type="noConversion"/>
  </si>
  <si>
    <t>HSB05-M004B1</t>
    <phoneticPr fontId="2" type="noConversion"/>
  </si>
  <si>
    <t>세척후양산-&gt;코아파손정지</t>
    <phoneticPr fontId="2" type="noConversion"/>
  </si>
  <si>
    <t>HICON</t>
    <phoneticPr fontId="2" type="noConversion"/>
  </si>
  <si>
    <t>CONTECTOR</t>
    <phoneticPr fontId="2" type="noConversion"/>
  </si>
  <si>
    <t>2829H-05-007</t>
    <phoneticPr fontId="2" type="noConversion"/>
  </si>
  <si>
    <t>발주분양산</t>
    <phoneticPr fontId="2" type="noConversion"/>
  </si>
  <si>
    <t>14</t>
    <phoneticPr fontId="2" type="noConversion"/>
  </si>
  <si>
    <t>2829H-05-003</t>
    <phoneticPr fontId="2" type="noConversion"/>
  </si>
  <si>
    <t>4</t>
    <phoneticPr fontId="2" type="noConversion"/>
  </si>
  <si>
    <t>LATCH</t>
    <phoneticPr fontId="2" type="noConversion"/>
  </si>
  <si>
    <t>HT00-M64AR-1</t>
    <phoneticPr fontId="2" type="noConversion"/>
  </si>
  <si>
    <t>4LEAD</t>
    <phoneticPr fontId="2" type="noConversion"/>
  </si>
  <si>
    <t>009-019-004</t>
    <phoneticPr fontId="2" type="noConversion"/>
  </si>
  <si>
    <t>13</t>
    <phoneticPr fontId="2" type="noConversion"/>
  </si>
  <si>
    <t>BASE</t>
    <phoneticPr fontId="2" type="noConversion"/>
  </si>
  <si>
    <t>K-JR01920-B414AZB</t>
    <phoneticPr fontId="2" type="noConversion"/>
  </si>
  <si>
    <t>MCS</t>
    <phoneticPr fontId="2" type="noConversion"/>
  </si>
  <si>
    <t>9</t>
    <phoneticPr fontId="2" type="noConversion"/>
  </si>
  <si>
    <t>AMM0821A-KAA-R3</t>
    <phoneticPr fontId="2" type="noConversion"/>
  </si>
  <si>
    <t>발주분양산-&gt;코아파손정지</t>
    <phoneticPr fontId="2" type="noConversion"/>
  </si>
  <si>
    <t>당일 진행 사항(03일)</t>
    <phoneticPr fontId="2" type="noConversion"/>
  </si>
  <si>
    <t>13</t>
    <phoneticPr fontId="2" type="noConversion"/>
  </si>
  <si>
    <t>수리후양산</t>
    <phoneticPr fontId="2" type="noConversion"/>
  </si>
  <si>
    <t>BASE</t>
    <phoneticPr fontId="2" type="noConversion"/>
  </si>
  <si>
    <t>수리후양산</t>
    <phoneticPr fontId="2" type="noConversion"/>
  </si>
  <si>
    <t>12</t>
    <phoneticPr fontId="2" type="noConversion"/>
  </si>
  <si>
    <t>ADAPTER</t>
    <phoneticPr fontId="2" type="noConversion"/>
  </si>
  <si>
    <t>2829H-05-006-1</t>
    <phoneticPr fontId="2" type="noConversion"/>
  </si>
  <si>
    <t>HSF05-M03B1</t>
    <phoneticPr fontId="2" type="noConversion"/>
  </si>
  <si>
    <t>COVER</t>
    <phoneticPr fontId="2" type="noConversion"/>
  </si>
  <si>
    <t>HSF05-M05B1</t>
    <phoneticPr fontId="2" type="noConversion"/>
  </si>
  <si>
    <t>7</t>
    <phoneticPr fontId="2" type="noConversion"/>
  </si>
  <si>
    <t>LEAD GUIDE</t>
    <phoneticPr fontId="2" type="noConversion"/>
  </si>
  <si>
    <t>SAMPLE 진행 사항(02일)</t>
    <phoneticPr fontId="2" type="noConversion"/>
  </si>
  <si>
    <t>MCS</t>
    <phoneticPr fontId="2" type="noConversion"/>
  </si>
  <si>
    <t>IC GUIDE</t>
    <phoneticPr fontId="2" type="noConversion"/>
  </si>
  <si>
    <t>AMB07A2B-KAA-R1</t>
    <phoneticPr fontId="2" type="noConversion"/>
  </si>
  <si>
    <t>옵션</t>
    <phoneticPr fontId="2" type="noConversion"/>
  </si>
  <si>
    <t>HICON</t>
    <phoneticPr fontId="2" type="noConversion"/>
  </si>
  <si>
    <t>SLIDER</t>
    <phoneticPr fontId="2" type="noConversion"/>
  </si>
  <si>
    <t>STOPPER</t>
    <phoneticPr fontId="2" type="noConversion"/>
  </si>
  <si>
    <t>HDB08N-B1</t>
    <phoneticPr fontId="2" type="noConversion"/>
  </si>
  <si>
    <t>HDB08N-S2</t>
    <phoneticPr fontId="2" type="noConversion"/>
  </si>
  <si>
    <t>HDB08N-T4</t>
    <phoneticPr fontId="2" type="noConversion"/>
  </si>
  <si>
    <t>SGF2041</t>
    <phoneticPr fontId="2" type="noConversion"/>
  </si>
  <si>
    <t>SGF2030 N/P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</si>
  <si>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</si>
  <si>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</si>
  <si>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2018년 01월 03일 일일생산현황</t>
    </r>
    <r>
      <rPr>
        <b/>
        <sz val="14"/>
        <color indexed="8"/>
        <rFont val="굴림체"/>
        <family val="3"/>
        <charset val="129"/>
      </rPr>
      <t>(04일(목) 09시 현재)</t>
    </r>
    <phoneticPr fontId="2" type="noConversion"/>
  </si>
  <si>
    <t>HSF05-M05B1</t>
    <phoneticPr fontId="2" type="noConversion"/>
  </si>
  <si>
    <t xml:space="preserve">SGF2041 </t>
    <phoneticPr fontId="2" type="noConversion"/>
  </si>
  <si>
    <t>COVER</t>
    <phoneticPr fontId="2" type="noConversion"/>
  </si>
  <si>
    <t>HSF05-M03B1</t>
    <phoneticPr fontId="2" type="noConversion"/>
  </si>
  <si>
    <t>ADAPTER</t>
    <phoneticPr fontId="2" type="noConversion"/>
  </si>
  <si>
    <t>2829H-05-006-1</t>
    <phoneticPr fontId="2" type="noConversion"/>
  </si>
  <si>
    <t>BLUE</t>
    <phoneticPr fontId="2" type="noConversion"/>
  </si>
  <si>
    <t>BASE</t>
    <phoneticPr fontId="2" type="noConversion"/>
  </si>
  <si>
    <t>K-JR01920-B414AZB</t>
    <phoneticPr fontId="2" type="noConversion"/>
  </si>
  <si>
    <t>SGP2020R</t>
    <phoneticPr fontId="2" type="noConversion"/>
  </si>
  <si>
    <t>LATCH PLATE</t>
    <phoneticPr fontId="2" type="noConversion"/>
  </si>
  <si>
    <t>K-JR01920-L01AWA</t>
    <phoneticPr fontId="2" type="noConversion"/>
  </si>
  <si>
    <t>SGF2030</t>
    <phoneticPr fontId="2" type="noConversion"/>
  </si>
  <si>
    <t>전일 ISSUE 사항(03일)</t>
    <phoneticPr fontId="2" type="noConversion"/>
  </si>
  <si>
    <t>HICON</t>
    <phoneticPr fontId="2" type="noConversion"/>
  </si>
  <si>
    <t>7</t>
    <phoneticPr fontId="2" type="noConversion"/>
  </si>
  <si>
    <t>HSF05-M05B1</t>
    <phoneticPr fontId="2" type="noConversion"/>
  </si>
  <si>
    <t>수리후양산</t>
    <phoneticPr fontId="2" type="noConversion"/>
  </si>
  <si>
    <t>12</t>
    <phoneticPr fontId="2" type="noConversion"/>
  </si>
  <si>
    <t>2829H-05-006-1</t>
    <phoneticPr fontId="2" type="noConversion"/>
  </si>
  <si>
    <t>12</t>
    <phoneticPr fontId="2" type="noConversion"/>
  </si>
  <si>
    <t>14</t>
    <phoneticPr fontId="2" type="noConversion"/>
  </si>
  <si>
    <t>LATCH PLATE</t>
    <phoneticPr fontId="2" type="noConversion"/>
  </si>
  <si>
    <t>K-JR01920-L01AWA</t>
    <phoneticPr fontId="2" type="noConversion"/>
  </si>
  <si>
    <t>수리후양산-&gt;BURR정지</t>
    <phoneticPr fontId="2" type="noConversion"/>
  </si>
  <si>
    <t>당일 진행 사항(04일)</t>
    <phoneticPr fontId="2" type="noConversion"/>
  </si>
  <si>
    <t>HSB05-M002B1-15BI</t>
    <phoneticPr fontId="2" type="noConversion"/>
  </si>
  <si>
    <t>6</t>
    <phoneticPr fontId="2" type="noConversion"/>
  </si>
  <si>
    <t>세척후양산</t>
    <phoneticPr fontId="2" type="noConversion"/>
  </si>
  <si>
    <t>K-JR01920-L01AWA</t>
    <phoneticPr fontId="2" type="noConversion"/>
  </si>
  <si>
    <t>SST</t>
    <phoneticPr fontId="2" type="noConversion"/>
  </si>
  <si>
    <t>14</t>
    <phoneticPr fontId="2" type="noConversion"/>
  </si>
  <si>
    <t>SAMPLE 진행 사항(03일)</t>
    <phoneticPr fontId="2" type="noConversion"/>
  </si>
  <si>
    <t>ACTUATOR</t>
    <phoneticPr fontId="2" type="noConversion"/>
  </si>
  <si>
    <t>AMB1919B-KAA-R1</t>
    <phoneticPr fontId="2" type="noConversion"/>
  </si>
  <si>
    <t>JD4901 N/P</t>
    <phoneticPr fontId="2" type="noConversion"/>
  </si>
  <si>
    <t>수정</t>
    <phoneticPr fontId="2" type="noConversion"/>
  </si>
  <si>
    <t>LEAD GUIDE</t>
    <phoneticPr fontId="2" type="noConversion"/>
  </si>
  <si>
    <t>HSB05-M005B1</t>
    <phoneticPr fontId="2" type="noConversion"/>
  </si>
  <si>
    <t>증작</t>
    <phoneticPr fontId="2" type="noConversion"/>
  </si>
  <si>
    <t>FEMAIL</t>
    <phoneticPr fontId="2" type="noConversion"/>
  </si>
  <si>
    <t>BR88-127A1</t>
    <phoneticPr fontId="2" type="noConversion"/>
  </si>
  <si>
    <t>PA46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</si>
  <si>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</si>
  <si>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</si>
  <si>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2018년 01월 04일 일일생산현황</t>
    </r>
    <r>
      <rPr>
        <b/>
        <sz val="14"/>
        <color indexed="8"/>
        <rFont val="굴림체"/>
        <family val="3"/>
        <charset val="129"/>
      </rPr>
      <t>(05일(금) 09시 현재)</t>
    </r>
    <phoneticPr fontId="2" type="noConversion"/>
  </si>
  <si>
    <t>메카텍</t>
    <phoneticPr fontId="2" type="noConversion"/>
  </si>
  <si>
    <t>LEVER BRACKET</t>
    <phoneticPr fontId="2" type="noConversion"/>
  </si>
  <si>
    <t>KR6197AC841TA</t>
    <phoneticPr fontId="2" type="noConversion"/>
  </si>
  <si>
    <t>JD4901</t>
    <phoneticPr fontId="2" type="noConversion"/>
  </si>
  <si>
    <t>ODT</t>
    <phoneticPr fontId="2" type="noConversion"/>
  </si>
  <si>
    <t>LED 6V</t>
    <phoneticPr fontId="2" type="noConversion"/>
  </si>
  <si>
    <t>SW-003074</t>
    <phoneticPr fontId="2" type="noConversion"/>
  </si>
  <si>
    <t>LEN2211</t>
    <phoneticPr fontId="2" type="noConversion"/>
  </si>
  <si>
    <t>HICON</t>
    <phoneticPr fontId="2" type="noConversion"/>
  </si>
  <si>
    <t>BG255-001A1</t>
    <phoneticPr fontId="2" type="noConversion"/>
  </si>
  <si>
    <t>SGF2033</t>
    <phoneticPr fontId="2" type="noConversion"/>
  </si>
  <si>
    <t>전일 ISSUE 사항(04일)</t>
    <phoneticPr fontId="2" type="noConversion"/>
  </si>
  <si>
    <t>메카텍</t>
    <phoneticPr fontId="2" type="noConversion"/>
  </si>
  <si>
    <t>1</t>
    <phoneticPr fontId="2" type="noConversion"/>
  </si>
  <si>
    <t>6</t>
    <phoneticPr fontId="2" type="noConversion"/>
  </si>
  <si>
    <t>SLIDER</t>
    <phoneticPr fontId="2" type="noConversion"/>
  </si>
  <si>
    <t>HSB05-M002B1-15BI</t>
    <phoneticPr fontId="2" type="noConversion"/>
  </si>
  <si>
    <t>세척후양산</t>
    <phoneticPr fontId="2" type="noConversion"/>
  </si>
  <si>
    <t>SST</t>
    <phoneticPr fontId="2" type="noConversion"/>
  </si>
  <si>
    <t>13</t>
    <phoneticPr fontId="2" type="noConversion"/>
  </si>
  <si>
    <t>수리후양산</t>
    <phoneticPr fontId="2" type="noConversion"/>
  </si>
  <si>
    <t>ODT</t>
    <phoneticPr fontId="2" type="noConversion"/>
  </si>
  <si>
    <t>5</t>
    <phoneticPr fontId="2" type="noConversion"/>
  </si>
  <si>
    <t>LED 6V</t>
    <phoneticPr fontId="2" type="noConversion"/>
  </si>
  <si>
    <t>SW-003074</t>
    <phoneticPr fontId="2" type="noConversion"/>
  </si>
  <si>
    <t>MCS</t>
    <phoneticPr fontId="2" type="noConversion"/>
  </si>
  <si>
    <t>BASE</t>
    <phoneticPr fontId="2" type="noConversion"/>
  </si>
  <si>
    <t>AMM0821A-KAA-R3</t>
    <phoneticPr fontId="2" type="noConversion"/>
  </si>
  <si>
    <t>당일 진행 사항(05일)</t>
    <phoneticPr fontId="2" type="noConversion"/>
  </si>
  <si>
    <t>LED A</t>
    <phoneticPr fontId="2" type="noConversion"/>
  </si>
  <si>
    <t>발주분양산</t>
    <phoneticPr fontId="2" type="noConversion"/>
  </si>
  <si>
    <t>SW-003071</t>
    <phoneticPr fontId="2" type="noConversion"/>
  </si>
  <si>
    <t>204F51M-A047A-1</t>
    <phoneticPr fontId="2" type="noConversion"/>
  </si>
  <si>
    <t>OKINS</t>
    <phoneticPr fontId="2" type="noConversion"/>
  </si>
  <si>
    <t>ADAPTER</t>
    <phoneticPr fontId="2" type="noConversion"/>
  </si>
  <si>
    <t>HSB05-M004B1</t>
    <phoneticPr fontId="2" type="noConversion"/>
  </si>
  <si>
    <t>HICON</t>
    <phoneticPr fontId="2" type="noConversion"/>
  </si>
  <si>
    <t>STOPPER</t>
    <phoneticPr fontId="2" type="noConversion"/>
  </si>
  <si>
    <t>SAMPLE 진행 사항(04일)</t>
    <phoneticPr fontId="2" type="noConversion"/>
  </si>
  <si>
    <t>38P</t>
    <phoneticPr fontId="2" type="noConversion"/>
  </si>
  <si>
    <t>AM0614A-A</t>
    <phoneticPr fontId="2" type="noConversion"/>
  </si>
  <si>
    <t>E PR</t>
    <phoneticPr fontId="2" type="noConversion"/>
  </si>
  <si>
    <t>STOPPER</t>
    <phoneticPr fontId="2" type="noConversion"/>
  </si>
  <si>
    <t>AM0241A-K-R2</t>
    <phoneticPr fontId="2" type="noConversion"/>
  </si>
  <si>
    <t>수정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</si>
  <si>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</si>
  <si>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</si>
  <si>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2018년 01월 05일 일일생산현황</t>
    </r>
    <r>
      <rPr>
        <b/>
        <sz val="14"/>
        <color indexed="8"/>
        <rFont val="굴림체"/>
        <family val="3"/>
        <charset val="129"/>
      </rPr>
      <t>(06일(토) 09시 현재)</t>
    </r>
    <phoneticPr fontId="2" type="noConversion"/>
  </si>
  <si>
    <t>LED A</t>
    <phoneticPr fontId="2" type="noConversion"/>
  </si>
  <si>
    <t>SW-003071</t>
    <phoneticPr fontId="2" type="noConversion"/>
  </si>
  <si>
    <t>OKINS</t>
    <phoneticPr fontId="2" type="noConversion"/>
  </si>
  <si>
    <t>ADAPTER</t>
    <phoneticPr fontId="2" type="noConversion"/>
  </si>
  <si>
    <t>204F51M-A047A-1</t>
    <phoneticPr fontId="2" type="noConversion"/>
  </si>
  <si>
    <t>PA9T</t>
    <phoneticPr fontId="2" type="noConversion"/>
  </si>
  <si>
    <t>전일 ISSUE 사항(05일)</t>
    <phoneticPr fontId="2" type="noConversion"/>
  </si>
  <si>
    <t>LED A</t>
    <phoneticPr fontId="2" type="noConversion"/>
  </si>
  <si>
    <t>발주분양산-&gt;BURR수리후양산</t>
    <phoneticPr fontId="2" type="noConversion"/>
  </si>
  <si>
    <t>발주분양산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</si>
  <si>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</si>
  <si>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</si>
  <si>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</si>
  <si>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HSB05-M004B1</t>
    <phoneticPr fontId="2" type="noConversion"/>
  </si>
  <si>
    <t>세척후양산</t>
    <phoneticPr fontId="2" type="noConversion"/>
  </si>
  <si>
    <t>당일 진행 사항(08일)</t>
    <phoneticPr fontId="2" type="noConversion"/>
  </si>
  <si>
    <t>LED 24V</t>
    <phoneticPr fontId="2" type="noConversion"/>
  </si>
  <si>
    <t>SW-003073</t>
    <phoneticPr fontId="2" type="noConversion"/>
  </si>
  <si>
    <t>BASE</t>
    <phoneticPr fontId="2" type="noConversion"/>
  </si>
  <si>
    <t>204F51M-B047D</t>
    <phoneticPr fontId="2" type="noConversion"/>
  </si>
  <si>
    <t>KR6180-E02TA</t>
    <phoneticPr fontId="2" type="noConversion"/>
  </si>
  <si>
    <t>SST</t>
    <phoneticPr fontId="2" type="noConversion"/>
  </si>
  <si>
    <t>3</t>
    <phoneticPr fontId="2" type="noConversion"/>
  </si>
  <si>
    <t>LATCH</t>
    <phoneticPr fontId="2" type="noConversion"/>
  </si>
  <si>
    <t>AMB0114B-JAA-R6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</si>
  <si>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</si>
  <si>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</si>
  <si>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</si>
  <si>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AMB0201A-JAA-R3</t>
    <phoneticPr fontId="2" type="noConversion"/>
  </si>
  <si>
    <t>14</t>
    <phoneticPr fontId="2" type="noConversion"/>
  </si>
  <si>
    <t>SAMPLE 진행 사항(05일)</t>
    <phoneticPr fontId="2" type="noConversion"/>
  </si>
  <si>
    <t>TMSP</t>
    <phoneticPr fontId="2" type="noConversion"/>
  </si>
  <si>
    <t>DETECTOR(홀더)</t>
    <phoneticPr fontId="2" type="noConversion"/>
  </si>
  <si>
    <t>원재료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</si>
  <si>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</si>
  <si>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</si>
  <si>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2018년 01월 08일 일일생산현황</t>
    </r>
    <r>
      <rPr>
        <b/>
        <sz val="14"/>
        <color indexed="8"/>
        <rFont val="굴림체"/>
        <family val="3"/>
        <charset val="129"/>
      </rPr>
      <t>(09일(화) 09시 현재)</t>
    </r>
    <phoneticPr fontId="2" type="noConversion"/>
  </si>
  <si>
    <t>KR6180-E02TA</t>
    <phoneticPr fontId="2" type="noConversion"/>
  </si>
  <si>
    <t>SW-003073</t>
    <phoneticPr fontId="2" type="noConversion"/>
  </si>
  <si>
    <t>LED 24V</t>
    <phoneticPr fontId="2" type="noConversion"/>
  </si>
  <si>
    <t>AMB0114B-JAA-R6</t>
    <phoneticPr fontId="2" type="noConversion"/>
  </si>
  <si>
    <t>SF2255</t>
    <phoneticPr fontId="2" type="noConversion"/>
  </si>
  <si>
    <t>BASE</t>
    <phoneticPr fontId="2" type="noConversion"/>
  </si>
  <si>
    <t>204F51M-B047D</t>
    <phoneticPr fontId="2" type="noConversion"/>
  </si>
  <si>
    <t>HSF05-M04B1</t>
    <phoneticPr fontId="2" type="noConversion"/>
  </si>
  <si>
    <t>SGF2041</t>
    <phoneticPr fontId="2" type="noConversion"/>
  </si>
  <si>
    <t>전일 ISSUE 사항(08일)</t>
    <phoneticPr fontId="2" type="noConversion"/>
  </si>
  <si>
    <t>SST</t>
    <phoneticPr fontId="2" type="noConversion"/>
  </si>
  <si>
    <t>발주분양산</t>
    <phoneticPr fontId="2" type="noConversion"/>
  </si>
  <si>
    <t>ODT</t>
    <phoneticPr fontId="2" type="noConversion"/>
  </si>
  <si>
    <t>5</t>
    <phoneticPr fontId="2" type="noConversion"/>
  </si>
  <si>
    <t>24V</t>
    <phoneticPr fontId="2" type="noConversion"/>
  </si>
  <si>
    <t>MCS</t>
    <phoneticPr fontId="2" type="noConversion"/>
  </si>
  <si>
    <t>BODY</t>
    <phoneticPr fontId="2" type="noConversion"/>
  </si>
  <si>
    <t>204F51M-B047D</t>
    <phoneticPr fontId="2" type="noConversion"/>
  </si>
  <si>
    <t>OKINS</t>
    <phoneticPr fontId="2" type="noConversion"/>
  </si>
  <si>
    <t>HSF05-M04B1</t>
    <phoneticPr fontId="2" type="noConversion"/>
  </si>
  <si>
    <t>HICON</t>
    <phoneticPr fontId="2" type="noConversion"/>
  </si>
  <si>
    <t>14</t>
    <phoneticPr fontId="2" type="noConversion"/>
  </si>
  <si>
    <t>STOPPER</t>
    <phoneticPr fontId="2" type="noConversion"/>
  </si>
  <si>
    <t>당일 진행 사항(09일)</t>
    <phoneticPr fontId="2" type="noConversion"/>
  </si>
  <si>
    <t>AMB0221A-KAA-R1</t>
    <phoneticPr fontId="2" type="noConversion"/>
  </si>
  <si>
    <t>MCS</t>
    <phoneticPr fontId="2" type="noConversion"/>
  </si>
  <si>
    <t>STOPPER</t>
    <phoneticPr fontId="2" type="noConversion"/>
  </si>
  <si>
    <t>AMB0201A-JAA-R3</t>
    <phoneticPr fontId="2" type="noConversion"/>
  </si>
  <si>
    <t>STOPPER</t>
    <phoneticPr fontId="2" type="noConversion"/>
  </si>
  <si>
    <t>AMB0125A-KAA-R1</t>
    <phoneticPr fontId="2" type="noConversion"/>
  </si>
  <si>
    <t>AMB07P7A-KAA-R1</t>
    <phoneticPr fontId="2" type="noConversion"/>
  </si>
  <si>
    <t>SAMPLE 진행 사항(08일)</t>
    <phoneticPr fontId="2" type="noConversion"/>
  </si>
  <si>
    <t>001-744-20</t>
    <phoneticPr fontId="2" type="noConversion"/>
  </si>
  <si>
    <t>KR6422-A556YA</t>
    <phoneticPr fontId="2" type="noConversion"/>
  </si>
  <si>
    <t>SLIDER</t>
    <phoneticPr fontId="2" type="noConversion"/>
  </si>
  <si>
    <t>SGF2050</t>
    <phoneticPr fontId="2" type="noConversion"/>
  </si>
  <si>
    <t>수정</t>
    <phoneticPr fontId="2" type="noConversion"/>
  </si>
  <si>
    <t>KR6422-B589CA</t>
    <phoneticPr fontId="2" type="noConversion"/>
  </si>
  <si>
    <t>SGF2033</t>
    <phoneticPr fontId="2" type="noConversion"/>
  </si>
  <si>
    <t>테스트같이진행(빨림많음)</t>
    <phoneticPr fontId="2" type="noConversion"/>
  </si>
  <si>
    <t>PA46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</si>
  <si>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</si>
  <si>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</si>
  <si>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2018년 01월 09일 일일생산현황</t>
    </r>
    <r>
      <rPr>
        <b/>
        <sz val="14"/>
        <color indexed="8"/>
        <rFont val="굴림체"/>
        <family val="3"/>
        <charset val="129"/>
      </rPr>
      <t>(10일(수) 09시 현재)</t>
    </r>
    <phoneticPr fontId="2" type="noConversion"/>
  </si>
  <si>
    <t>BODY</t>
    <phoneticPr fontId="2" type="noConversion"/>
  </si>
  <si>
    <t>AMB0125A-KAA-R1</t>
    <phoneticPr fontId="2" type="noConversion"/>
  </si>
  <si>
    <t>ADAPTER</t>
    <phoneticPr fontId="2" type="noConversion"/>
  </si>
  <si>
    <t>AMB07P7A-KAA-R1</t>
    <phoneticPr fontId="2" type="noConversion"/>
  </si>
  <si>
    <t>SF2255 I/V</t>
    <phoneticPr fontId="2" type="noConversion"/>
  </si>
  <si>
    <t>AMB0201A-JAA-R3</t>
    <phoneticPr fontId="2" type="noConversion"/>
  </si>
  <si>
    <t>AMB0221A-KAA-R1</t>
    <phoneticPr fontId="2" type="noConversion"/>
  </si>
  <si>
    <t>7301</t>
    <phoneticPr fontId="2" type="noConversion"/>
  </si>
  <si>
    <t>전일 ISSUE 사항(09일)</t>
    <phoneticPr fontId="2" type="noConversion"/>
  </si>
  <si>
    <t>ADAPTER</t>
    <phoneticPr fontId="2" type="noConversion"/>
  </si>
  <si>
    <t>발주분양산-&gt;밀핀파손정지</t>
    <phoneticPr fontId="2" type="noConversion"/>
  </si>
  <si>
    <t>HICON</t>
    <phoneticPr fontId="2" type="noConversion"/>
  </si>
  <si>
    <t>11</t>
    <phoneticPr fontId="2" type="noConversion"/>
  </si>
  <si>
    <t>HSB05-M004B1</t>
    <phoneticPr fontId="2" type="noConversion"/>
  </si>
  <si>
    <t>코아파손수리후양산</t>
    <phoneticPr fontId="2" type="noConversion"/>
  </si>
  <si>
    <t>당일 진행 사항(10일)</t>
    <phoneticPr fontId="2" type="noConversion"/>
  </si>
  <si>
    <t>AMB0343A-KAA-R1</t>
    <phoneticPr fontId="2" type="noConversion"/>
  </si>
  <si>
    <t>COVER</t>
    <phoneticPr fontId="2" type="noConversion"/>
  </si>
  <si>
    <t>AMB0159A-KAA-R1</t>
    <phoneticPr fontId="2" type="noConversion"/>
  </si>
  <si>
    <t>BODY</t>
    <phoneticPr fontId="2" type="noConversion"/>
  </si>
  <si>
    <t>AMB1921B-KAA-R1</t>
    <phoneticPr fontId="2" type="noConversion"/>
  </si>
  <si>
    <t>ACTUATOR</t>
    <phoneticPr fontId="2" type="noConversion"/>
  </si>
  <si>
    <t>수리후양산</t>
    <phoneticPr fontId="2" type="noConversion"/>
  </si>
  <si>
    <t>AMB0229A-KAA-R1</t>
    <phoneticPr fontId="2" type="noConversion"/>
  </si>
  <si>
    <t>13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</si>
  <si>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</si>
  <si>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</si>
  <si>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</si>
  <si>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2018년 01월 10일 일일생산현황</t>
    </r>
    <r>
      <rPr>
        <b/>
        <sz val="14"/>
        <color indexed="8"/>
        <rFont val="굴림체"/>
        <family val="3"/>
        <charset val="129"/>
      </rPr>
      <t>(11일(목) 09시 현재)</t>
    </r>
    <phoneticPr fontId="2" type="noConversion"/>
  </si>
  <si>
    <t>AMB0343A-KAA-R1</t>
    <phoneticPr fontId="2" type="noConversion"/>
  </si>
  <si>
    <t>AMB0159A-KAA-R1</t>
    <phoneticPr fontId="2" type="noConversion"/>
  </si>
  <si>
    <t>AMB1921B-KAA-R1</t>
    <phoneticPr fontId="2" type="noConversion"/>
  </si>
  <si>
    <t>SGF2050 I/V</t>
    <phoneticPr fontId="2" type="noConversion"/>
  </si>
  <si>
    <t>AMB0229A-KAA-R1</t>
    <phoneticPr fontId="2" type="noConversion"/>
  </si>
  <si>
    <t>전일 ISSUE 사항(10일)</t>
    <phoneticPr fontId="2" type="noConversion"/>
  </si>
  <si>
    <t>미성형정지</t>
    <phoneticPr fontId="2" type="noConversion"/>
  </si>
  <si>
    <t>COVER</t>
    <phoneticPr fontId="2" type="noConversion"/>
  </si>
  <si>
    <t>당일 진행 사항(11일)</t>
    <phoneticPr fontId="2" type="noConversion"/>
  </si>
  <si>
    <t>ADAPTER</t>
    <phoneticPr fontId="2" type="noConversion"/>
  </si>
  <si>
    <t>수리후양산</t>
    <phoneticPr fontId="2" type="noConversion"/>
  </si>
  <si>
    <t>AMB1904D-KAA-R2</t>
    <phoneticPr fontId="2" type="noConversion"/>
  </si>
  <si>
    <t>ACTUATOR</t>
    <phoneticPr fontId="2" type="noConversion"/>
  </si>
  <si>
    <t>AMM0821A-KAA-R3</t>
    <phoneticPr fontId="2" type="noConversion"/>
  </si>
  <si>
    <t>HF00-M01A1</t>
    <phoneticPr fontId="2" type="noConversion"/>
  </si>
  <si>
    <t>12</t>
    <phoneticPr fontId="2" type="noConversion"/>
  </si>
  <si>
    <t>SAMPLE 진행 사항(10일)</t>
    <phoneticPr fontId="2" type="noConversion"/>
  </si>
  <si>
    <t>AMB0114H-JAA-R1</t>
    <phoneticPr fontId="2" type="noConversion"/>
  </si>
  <si>
    <t>13호기 작업안됨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</si>
  <si>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</si>
  <si>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</si>
  <si>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2018년 01월 11일 일일생산현황</t>
    </r>
    <r>
      <rPr>
        <b/>
        <sz val="14"/>
        <color indexed="8"/>
        <rFont val="굴림체"/>
        <family val="3"/>
        <charset val="129"/>
      </rPr>
      <t>(12일(금) 09시 현재)</t>
    </r>
    <phoneticPr fontId="2" type="noConversion"/>
  </si>
  <si>
    <t>AMB1904D-KAA-R2</t>
    <phoneticPr fontId="2" type="noConversion"/>
  </si>
  <si>
    <t>GUIDE</t>
    <phoneticPr fontId="2" type="noConversion"/>
  </si>
  <si>
    <t>HF00-M01A1</t>
    <phoneticPr fontId="2" type="noConversion"/>
  </si>
  <si>
    <t>전일 ISSUE 사항(11일)</t>
    <phoneticPr fontId="2" type="noConversion"/>
  </si>
  <si>
    <t>수리후양산</t>
    <phoneticPr fontId="2" type="noConversion"/>
  </si>
  <si>
    <t>AMB1904D-KAA-R2</t>
    <phoneticPr fontId="2" type="noConversion"/>
  </si>
  <si>
    <t>HICON</t>
    <phoneticPr fontId="2" type="noConversion"/>
  </si>
  <si>
    <t>12</t>
    <phoneticPr fontId="2" type="noConversion"/>
  </si>
  <si>
    <t>GUIDE</t>
    <phoneticPr fontId="2" type="noConversion"/>
  </si>
  <si>
    <t>당일 진행 사항(12일)</t>
    <phoneticPr fontId="2" type="noConversion"/>
  </si>
  <si>
    <t>AMB2048A-KAA-R3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</si>
  <si>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</si>
  <si>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</si>
  <si>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</si>
  <si>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2018년 01월 12일(주간) 일일생산현황</t>
    </r>
    <r>
      <rPr>
        <b/>
        <sz val="14"/>
        <color indexed="8"/>
        <rFont val="굴림체"/>
        <family val="3"/>
        <charset val="129"/>
      </rPr>
      <t>(13일(토) 09시 현재)</t>
    </r>
    <phoneticPr fontId="2" type="noConversion"/>
  </si>
  <si>
    <t>AMB2048A-KAA-R3</t>
    <phoneticPr fontId="2" type="noConversion"/>
  </si>
  <si>
    <t>전일 ISSUE 사항(12일)</t>
    <phoneticPr fontId="2" type="noConversion"/>
  </si>
  <si>
    <t>AMB2048A-KAA-R3</t>
    <phoneticPr fontId="2" type="noConversion"/>
  </si>
  <si>
    <t>MCS</t>
    <phoneticPr fontId="2" type="noConversion"/>
  </si>
  <si>
    <t>F/ADAPTER</t>
    <phoneticPr fontId="2" type="noConversion"/>
  </si>
  <si>
    <t>발주분양산</t>
    <phoneticPr fontId="2" type="noConversion"/>
  </si>
  <si>
    <t>당일 진행 사항(15일)</t>
    <phoneticPr fontId="2" type="noConversion"/>
  </si>
  <si>
    <t>BODY</t>
    <phoneticPr fontId="2" type="noConversion"/>
  </si>
  <si>
    <t>AMB0102B-KAA-R1</t>
    <phoneticPr fontId="2" type="noConversion"/>
  </si>
  <si>
    <t>SAMPLE 진행 사항(12일)</t>
    <phoneticPr fontId="2" type="noConversion"/>
  </si>
  <si>
    <t>SST</t>
    <phoneticPr fontId="2" type="noConversion"/>
  </si>
  <si>
    <t>SST</t>
    <phoneticPr fontId="2" type="noConversion"/>
  </si>
  <si>
    <t>KR6422-A556YA</t>
    <phoneticPr fontId="2" type="noConversion"/>
  </si>
  <si>
    <t>SGF2050</t>
    <phoneticPr fontId="2" type="noConversion"/>
  </si>
  <si>
    <t>요청</t>
    <phoneticPr fontId="2" type="noConversion"/>
  </si>
  <si>
    <t>BASE</t>
    <phoneticPr fontId="2" type="noConversion"/>
  </si>
  <si>
    <t>KR6422-GA556QA</t>
    <phoneticPr fontId="2" type="noConversion"/>
  </si>
  <si>
    <t>SF2255 I/V</t>
    <phoneticPr fontId="2" type="noConversion"/>
  </si>
  <si>
    <t>AMB0150A-KAA-R1</t>
    <phoneticPr fontId="2" type="noConversion"/>
  </si>
  <si>
    <t>SGF2050</t>
    <phoneticPr fontId="2" type="noConversion"/>
  </si>
  <si>
    <t>수정</t>
    <phoneticPr fontId="2" type="noConversion"/>
  </si>
  <si>
    <t>016-125-313</t>
    <phoneticPr fontId="2" type="noConversion"/>
  </si>
  <si>
    <t>SGF2030</t>
    <phoneticPr fontId="2" type="noConversion"/>
  </si>
  <si>
    <t>790 FLAPPER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</si>
  <si>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</si>
  <si>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</si>
  <si>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2018년 01월 15일(주간) 일일생산현황</t>
    </r>
    <r>
      <rPr>
        <b/>
        <sz val="14"/>
        <color indexed="8"/>
        <rFont val="굴림체"/>
        <family val="3"/>
        <charset val="129"/>
      </rPr>
      <t>(16일(화) 09시 현재)</t>
    </r>
    <phoneticPr fontId="2" type="noConversion"/>
  </si>
  <si>
    <t>BODY</t>
    <phoneticPr fontId="2" type="noConversion"/>
  </si>
  <si>
    <t>AMB0102B-JAA-R1</t>
    <phoneticPr fontId="2" type="noConversion"/>
  </si>
  <si>
    <t>BR88-127A1</t>
    <phoneticPr fontId="2" type="noConversion"/>
  </si>
  <si>
    <t>PA46</t>
    <phoneticPr fontId="2" type="noConversion"/>
  </si>
  <si>
    <t>전일 ISSUE 사항(15일)</t>
    <phoneticPr fontId="2" type="noConversion"/>
  </si>
  <si>
    <t>7</t>
    <phoneticPr fontId="2" type="noConversion"/>
  </si>
  <si>
    <t>발주분양산-&gt;BURR정지</t>
    <phoneticPr fontId="2" type="noConversion"/>
  </si>
  <si>
    <t>HICON</t>
    <phoneticPr fontId="2" type="noConversion"/>
  </si>
  <si>
    <t>Receptacle</t>
    <phoneticPr fontId="2" type="noConversion"/>
  </si>
  <si>
    <t>BR88-127A1</t>
    <phoneticPr fontId="2" type="noConversion"/>
  </si>
  <si>
    <t>발주분양산</t>
    <phoneticPr fontId="2" type="noConversion"/>
  </si>
  <si>
    <t>당일 진행 사항(16일)</t>
    <phoneticPr fontId="2" type="noConversion"/>
  </si>
  <si>
    <t>수리후양산</t>
    <phoneticPr fontId="2" type="noConversion"/>
  </si>
  <si>
    <t>ODT</t>
    <phoneticPr fontId="2" type="noConversion"/>
  </si>
  <si>
    <t>2</t>
    <phoneticPr fontId="2" type="noConversion"/>
  </si>
  <si>
    <t>REAR</t>
    <phoneticPr fontId="2" type="noConversion"/>
  </si>
  <si>
    <t>SW-003354</t>
    <phoneticPr fontId="2" type="noConversion"/>
  </si>
  <si>
    <t>발주분양산</t>
    <phoneticPr fontId="2" type="noConversion"/>
  </si>
  <si>
    <t>HSA65-M002B1-13A</t>
    <phoneticPr fontId="2" type="noConversion"/>
  </si>
  <si>
    <t>6</t>
    <phoneticPr fontId="2" type="noConversion"/>
  </si>
  <si>
    <t>SLIDER</t>
    <phoneticPr fontId="2" type="noConversion"/>
  </si>
  <si>
    <t>016-125-313</t>
    <phoneticPr fontId="2" type="noConversion"/>
  </si>
  <si>
    <t>SST</t>
    <phoneticPr fontId="2" type="noConversion"/>
  </si>
  <si>
    <t>13</t>
    <phoneticPr fontId="2" type="noConversion"/>
  </si>
  <si>
    <t>790 FLAPPER</t>
    <phoneticPr fontId="2" type="noConversion"/>
  </si>
  <si>
    <t>SAMPLE 진행 사항(15일)</t>
    <phoneticPr fontId="2" type="noConversion"/>
  </si>
  <si>
    <t>TMSP</t>
    <phoneticPr fontId="2" type="noConversion"/>
  </si>
  <si>
    <t>DETECTOR</t>
    <phoneticPr fontId="2" type="noConversion"/>
  </si>
  <si>
    <t>TMSP-06</t>
    <phoneticPr fontId="2" type="noConversion"/>
  </si>
  <si>
    <t>PA46</t>
    <phoneticPr fontId="2" type="noConversion"/>
  </si>
  <si>
    <t>원재료</t>
    <phoneticPr fontId="2" type="noConversion"/>
  </si>
  <si>
    <t>LEAD GUIDE</t>
    <phoneticPr fontId="2" type="noConversion"/>
  </si>
  <si>
    <t>HSB05-M005B1</t>
    <phoneticPr fontId="2" type="noConversion"/>
  </si>
  <si>
    <t>신작</t>
    <phoneticPr fontId="2" type="noConversion"/>
  </si>
  <si>
    <t>증작금형</t>
    <phoneticPr fontId="2" type="noConversion"/>
  </si>
  <si>
    <t>BASE</t>
    <phoneticPr fontId="2" type="noConversion"/>
  </si>
  <si>
    <t>KR6197AB841CA</t>
    <phoneticPr fontId="2" type="noConversion"/>
  </si>
  <si>
    <t>SGF2033</t>
    <phoneticPr fontId="2" type="noConversion"/>
  </si>
  <si>
    <t>수정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</si>
  <si>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</si>
  <si>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</si>
  <si>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t>ODT</t>
    <phoneticPr fontId="2" type="noConversion"/>
  </si>
  <si>
    <t>REAR COVER</t>
    <phoneticPr fontId="2" type="noConversion"/>
  </si>
  <si>
    <t>SW-003354</t>
    <phoneticPr fontId="2" type="noConversion"/>
  </si>
  <si>
    <t>PC B/K</t>
    <phoneticPr fontId="2" type="noConversion"/>
  </si>
  <si>
    <t>전일 ISSUE 사항(16일)</t>
    <phoneticPr fontId="2" type="noConversion"/>
  </si>
  <si>
    <t>수리후양산</t>
    <phoneticPr fontId="2" type="noConversion"/>
  </si>
  <si>
    <t>ODT</t>
    <phoneticPr fontId="2" type="noConversion"/>
  </si>
  <si>
    <t>2</t>
    <phoneticPr fontId="2" type="noConversion"/>
  </si>
  <si>
    <t>REAR COVER</t>
    <phoneticPr fontId="2" type="noConversion"/>
  </si>
  <si>
    <t>당일 진행 사항(17일)</t>
    <phoneticPr fontId="2" type="noConversion"/>
  </si>
  <si>
    <t>1</t>
    <phoneticPr fontId="2" type="noConversion"/>
  </si>
  <si>
    <t>HSA65-M005B1</t>
    <phoneticPr fontId="2" type="noConversion"/>
  </si>
  <si>
    <t>발주분양산</t>
    <phoneticPr fontId="2" type="noConversion"/>
  </si>
  <si>
    <t>BODY</t>
    <phoneticPr fontId="2" type="noConversion"/>
  </si>
  <si>
    <t>HL072-10M1/2</t>
    <phoneticPr fontId="2" type="noConversion"/>
  </si>
  <si>
    <t>3</t>
    <phoneticPr fontId="2" type="noConversion"/>
  </si>
  <si>
    <t>MCS</t>
    <phoneticPr fontId="2" type="noConversion"/>
  </si>
  <si>
    <t>7</t>
    <phoneticPr fontId="2" type="noConversion"/>
  </si>
  <si>
    <t>SLIDER</t>
    <phoneticPr fontId="2" type="noConversion"/>
  </si>
  <si>
    <t>AM0607N-J</t>
    <phoneticPr fontId="2" type="noConversion"/>
  </si>
  <si>
    <t>9</t>
    <phoneticPr fontId="2" type="noConversion"/>
  </si>
  <si>
    <t>BASE</t>
    <phoneticPr fontId="2" type="noConversion"/>
  </si>
  <si>
    <t>AMM0821A-KAA-R3</t>
    <phoneticPr fontId="2" type="noConversion"/>
  </si>
  <si>
    <t>수리후양산</t>
    <phoneticPr fontId="2" type="noConversion"/>
  </si>
  <si>
    <t>11</t>
    <phoneticPr fontId="2" type="noConversion"/>
  </si>
  <si>
    <t>STOPPER</t>
    <phoneticPr fontId="2" type="noConversion"/>
  </si>
  <si>
    <t>HSA65-M004B1</t>
    <phoneticPr fontId="2" type="noConversion"/>
  </si>
  <si>
    <t>BODY</t>
    <phoneticPr fontId="2" type="noConversion"/>
  </si>
  <si>
    <t>HL072-10M3/4</t>
    <phoneticPr fontId="2" type="noConversion"/>
  </si>
  <si>
    <t>13</t>
    <phoneticPr fontId="2" type="noConversion"/>
  </si>
  <si>
    <t>13</t>
    <phoneticPr fontId="2" type="noConversion"/>
  </si>
  <si>
    <t>LID</t>
    <phoneticPr fontId="2" type="noConversion"/>
  </si>
  <si>
    <t>HL072-10M5</t>
    <phoneticPr fontId="2" type="noConversion"/>
  </si>
  <si>
    <t>TMSP</t>
    <phoneticPr fontId="2" type="noConversion"/>
  </si>
  <si>
    <t>15</t>
    <phoneticPr fontId="2" type="noConversion"/>
  </si>
  <si>
    <t>DETECOR</t>
    <phoneticPr fontId="2" type="noConversion"/>
  </si>
  <si>
    <t>14</t>
    <phoneticPr fontId="2" type="noConversion"/>
  </si>
  <si>
    <t>BASE</t>
    <phoneticPr fontId="2" type="noConversion"/>
  </si>
  <si>
    <t>HSA65-M001B1</t>
    <phoneticPr fontId="2" type="noConversion"/>
  </si>
  <si>
    <t>발주분양산</t>
    <phoneticPr fontId="2" type="noConversion"/>
  </si>
  <si>
    <t>SAMPLE 진행 사항(16일)</t>
    <phoneticPr fontId="2" type="noConversion"/>
  </si>
  <si>
    <t>요청</t>
    <phoneticPr fontId="2" type="noConversion"/>
  </si>
  <si>
    <t>AM0148F-K-R3</t>
    <phoneticPr fontId="2" type="noConversion"/>
  </si>
  <si>
    <t>옵션</t>
    <phoneticPr fontId="2" type="noConversion"/>
  </si>
  <si>
    <t>STOPPER</t>
    <phoneticPr fontId="2" type="noConversion"/>
  </si>
  <si>
    <t>HSB05-M004B1</t>
    <phoneticPr fontId="2" type="noConversion"/>
  </si>
  <si>
    <t>K-JR01928-B01AZA</t>
    <phoneticPr fontId="2" type="noConversion"/>
  </si>
  <si>
    <t>SGP2020R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</si>
  <si>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</si>
  <si>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</si>
  <si>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t>HICON</t>
    <phoneticPr fontId="2" type="noConversion"/>
  </si>
  <si>
    <t>LEAD GUIDE</t>
    <phoneticPr fontId="2" type="noConversion"/>
  </si>
  <si>
    <t>HSA65-M005B1(CD)</t>
    <phoneticPr fontId="2" type="noConversion"/>
  </si>
  <si>
    <t>SGF2033</t>
    <phoneticPr fontId="2" type="noConversion"/>
  </si>
  <si>
    <t>BASE</t>
    <phoneticPr fontId="2" type="noConversion"/>
  </si>
  <si>
    <t>HL072-10M1/2</t>
    <phoneticPr fontId="2" type="noConversion"/>
  </si>
  <si>
    <t>SGF2041</t>
    <phoneticPr fontId="2" type="noConversion"/>
  </si>
  <si>
    <t>2*1</t>
    <phoneticPr fontId="2" type="noConversion"/>
  </si>
  <si>
    <t>ACTUATOR</t>
    <phoneticPr fontId="2" type="noConversion"/>
  </si>
  <si>
    <t>AMB1921B-KAA-R1</t>
    <phoneticPr fontId="2" type="noConversion"/>
  </si>
  <si>
    <t>SGF2050 I/V</t>
    <phoneticPr fontId="2" type="noConversion"/>
  </si>
  <si>
    <t>SLIDER</t>
    <phoneticPr fontId="2" type="noConversion"/>
  </si>
  <si>
    <t>HSA65-M002B1-13A</t>
    <phoneticPr fontId="2" type="noConversion"/>
  </si>
  <si>
    <t>SGF2030 N/P</t>
    <phoneticPr fontId="2" type="noConversion"/>
  </si>
  <si>
    <t>SLIDER</t>
    <phoneticPr fontId="2" type="noConversion"/>
  </si>
  <si>
    <t>AM0607N-J</t>
    <phoneticPr fontId="2" type="noConversion"/>
  </si>
  <si>
    <t>STOPPER</t>
    <phoneticPr fontId="2" type="noConversion"/>
  </si>
  <si>
    <t>HSA65-M004B1(CD)</t>
    <phoneticPr fontId="2" type="noConversion"/>
  </si>
  <si>
    <t>SGF2033</t>
    <phoneticPr fontId="2" type="noConversion"/>
  </si>
  <si>
    <t>LID</t>
    <phoneticPr fontId="2" type="noConversion"/>
  </si>
  <si>
    <t>HL072-10M3/4</t>
    <phoneticPr fontId="2" type="noConversion"/>
  </si>
  <si>
    <t>SGF2041</t>
    <phoneticPr fontId="2" type="noConversion"/>
  </si>
  <si>
    <t>PUNCH</t>
    <phoneticPr fontId="2" type="noConversion"/>
  </si>
  <si>
    <t>HL072-10M5</t>
    <phoneticPr fontId="2" type="noConversion"/>
  </si>
  <si>
    <t>HSA65-M001B1(CD)</t>
    <phoneticPr fontId="2" type="noConversion"/>
  </si>
  <si>
    <t>TMSP</t>
    <phoneticPr fontId="2" type="noConversion"/>
  </si>
  <si>
    <t>DETECTOR</t>
    <phoneticPr fontId="2" type="noConversion"/>
  </si>
  <si>
    <t>전일 ISSUE 사항(17일)</t>
    <phoneticPr fontId="2" type="noConversion"/>
  </si>
  <si>
    <t>HICON</t>
    <phoneticPr fontId="2" type="noConversion"/>
  </si>
  <si>
    <t>1</t>
    <phoneticPr fontId="2" type="noConversion"/>
  </si>
  <si>
    <t>LEAD GUIDE</t>
    <phoneticPr fontId="2" type="noConversion"/>
  </si>
  <si>
    <t>발주분양산</t>
    <phoneticPr fontId="2" type="noConversion"/>
  </si>
  <si>
    <t>3</t>
    <phoneticPr fontId="2" type="noConversion"/>
  </si>
  <si>
    <t>BASE</t>
    <phoneticPr fontId="2" type="noConversion"/>
  </si>
  <si>
    <t>13</t>
    <phoneticPr fontId="2" type="noConversion"/>
  </si>
  <si>
    <t>PUN</t>
    <phoneticPr fontId="2" type="noConversion"/>
  </si>
  <si>
    <t>11</t>
    <phoneticPr fontId="2" type="noConversion"/>
  </si>
  <si>
    <t>STOPPER</t>
    <phoneticPr fontId="2" type="noConversion"/>
  </si>
  <si>
    <t>HSA65-M004B1(CD)</t>
    <phoneticPr fontId="2" type="noConversion"/>
  </si>
  <si>
    <t>HSA65-M001B1(CD)</t>
    <phoneticPr fontId="2" type="noConversion"/>
  </si>
  <si>
    <t>14</t>
    <phoneticPr fontId="2" type="noConversion"/>
  </si>
  <si>
    <t>BASE</t>
    <phoneticPr fontId="2" type="noConversion"/>
  </si>
  <si>
    <t>6</t>
    <phoneticPr fontId="2" type="noConversion"/>
  </si>
  <si>
    <t>HSA65-M002B1-13A</t>
    <phoneticPr fontId="2" type="noConversion"/>
  </si>
  <si>
    <t>MCS</t>
    <phoneticPr fontId="2" type="noConversion"/>
  </si>
  <si>
    <t>7</t>
    <phoneticPr fontId="2" type="noConversion"/>
  </si>
  <si>
    <t>MCS</t>
    <phoneticPr fontId="2" type="noConversion"/>
  </si>
  <si>
    <t>5</t>
    <phoneticPr fontId="2" type="noConversion"/>
  </si>
  <si>
    <t>ACTUATOR</t>
    <phoneticPr fontId="2" type="noConversion"/>
  </si>
  <si>
    <t>9</t>
    <phoneticPr fontId="2" type="noConversion"/>
  </si>
  <si>
    <t>AMM0821A-KAA-R3</t>
    <phoneticPr fontId="2" type="noConversion"/>
  </si>
  <si>
    <t>수리후양산</t>
    <phoneticPr fontId="2" type="noConversion"/>
  </si>
  <si>
    <t>당일 진행 사항(18일)</t>
    <phoneticPr fontId="2" type="noConversion"/>
  </si>
  <si>
    <t>COVER</t>
    <phoneticPr fontId="2" type="noConversion"/>
  </si>
  <si>
    <t>AMB0343A-KAA-R1</t>
    <phoneticPr fontId="2" type="noConversion"/>
  </si>
  <si>
    <t>SST</t>
    <phoneticPr fontId="2" type="noConversion"/>
  </si>
  <si>
    <t>4</t>
    <phoneticPr fontId="2" type="noConversion"/>
  </si>
  <si>
    <t>KR6156FA841YA</t>
    <phoneticPr fontId="2" type="noConversion"/>
  </si>
  <si>
    <t>ACTUATOR</t>
    <phoneticPr fontId="2" type="noConversion"/>
  </si>
  <si>
    <t>AMB1904D-KAA-R2</t>
    <phoneticPr fontId="2" type="noConversion"/>
  </si>
  <si>
    <t>AMB0159A-KAA-R1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</si>
  <si>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</si>
  <si>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</si>
  <si>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</si>
  <si>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2018년 01월 18일 일일생산현황</t>
    </r>
    <r>
      <rPr>
        <b/>
        <sz val="14"/>
        <color indexed="8"/>
        <rFont val="굴림체"/>
        <family val="3"/>
        <charset val="129"/>
      </rPr>
      <t>(19일(금) 09시 현재)</t>
    </r>
    <phoneticPr fontId="2" type="noConversion"/>
  </si>
  <si>
    <r>
      <t>2018년 01월 17일 일일생산현황</t>
    </r>
    <r>
      <rPr>
        <b/>
        <sz val="14"/>
        <color indexed="8"/>
        <rFont val="굴림체"/>
        <family val="3"/>
        <charset val="129"/>
      </rPr>
      <t>(18일(목) 09시 현재)</t>
    </r>
    <phoneticPr fontId="2" type="noConversion"/>
  </si>
  <si>
    <r>
      <t>2018년 01월 16일(주간) 일일생산현황</t>
    </r>
    <r>
      <rPr>
        <b/>
        <sz val="14"/>
        <color indexed="8"/>
        <rFont val="굴림체"/>
        <family val="3"/>
        <charset val="129"/>
      </rPr>
      <t>(17일(수) 09시 현재)</t>
    </r>
    <phoneticPr fontId="2" type="noConversion"/>
  </si>
  <si>
    <t>MCS</t>
    <phoneticPr fontId="2" type="noConversion"/>
  </si>
  <si>
    <t>COVER</t>
    <phoneticPr fontId="2" type="noConversion"/>
  </si>
  <si>
    <t>AMB0343A-KAA-R1</t>
    <phoneticPr fontId="2" type="noConversion"/>
  </si>
  <si>
    <t>JD4901</t>
    <phoneticPr fontId="2" type="noConversion"/>
  </si>
  <si>
    <t>SST</t>
    <phoneticPr fontId="2" type="noConversion"/>
  </si>
  <si>
    <t>SLIDER</t>
    <phoneticPr fontId="2" type="noConversion"/>
  </si>
  <si>
    <t>KR6156FA841YA</t>
    <phoneticPr fontId="2" type="noConversion"/>
  </si>
  <si>
    <t xml:space="preserve">SGF2050 </t>
    <phoneticPr fontId="2" type="noConversion"/>
  </si>
  <si>
    <t>AMB1904D-KAA-R2</t>
    <phoneticPr fontId="2" type="noConversion"/>
  </si>
  <si>
    <t>BASE</t>
    <phoneticPr fontId="2" type="noConversion"/>
  </si>
  <si>
    <t>AMB0159A-KAA-R1</t>
    <phoneticPr fontId="2" type="noConversion"/>
  </si>
  <si>
    <t>SF2255</t>
    <phoneticPr fontId="2" type="noConversion"/>
  </si>
  <si>
    <t>SST</t>
    <phoneticPr fontId="2" type="noConversion"/>
  </si>
  <si>
    <t>LEAD IN</t>
    <phoneticPr fontId="2" type="noConversion"/>
  </si>
  <si>
    <t>K-KR01920-M01ABA</t>
    <phoneticPr fontId="2" type="noConversion"/>
  </si>
  <si>
    <t>SGF2030 N/P</t>
    <phoneticPr fontId="2" type="noConversion"/>
  </si>
  <si>
    <t>전일 ISSUE 사항(18일)</t>
    <phoneticPr fontId="2" type="noConversion"/>
  </si>
  <si>
    <t>MCS</t>
    <phoneticPr fontId="2" type="noConversion"/>
  </si>
  <si>
    <t>3</t>
    <phoneticPr fontId="2" type="noConversion"/>
  </si>
  <si>
    <t>COVER</t>
    <phoneticPr fontId="2" type="noConversion"/>
  </si>
  <si>
    <t>발주분양산</t>
    <phoneticPr fontId="2" type="noConversion"/>
  </si>
  <si>
    <t>7</t>
    <phoneticPr fontId="2" type="noConversion"/>
  </si>
  <si>
    <t>BODY</t>
    <phoneticPr fontId="2" type="noConversion"/>
  </si>
  <si>
    <t>AMB0159A-KAA-R1</t>
    <phoneticPr fontId="2" type="noConversion"/>
  </si>
  <si>
    <t>HICON</t>
    <phoneticPr fontId="2" type="noConversion"/>
  </si>
  <si>
    <t>14</t>
    <phoneticPr fontId="2" type="noConversion"/>
  </si>
  <si>
    <t>BASE</t>
    <phoneticPr fontId="2" type="noConversion"/>
  </si>
  <si>
    <t>HSA65-M001B1</t>
    <phoneticPr fontId="2" type="noConversion"/>
  </si>
  <si>
    <t>코아파손수리후양산</t>
    <phoneticPr fontId="2" type="noConversion"/>
  </si>
  <si>
    <t>KR6156FA841YA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</si>
  <si>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</si>
  <si>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</si>
  <si>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</si>
  <si>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AMB1904D-KAA-R2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</si>
  <si>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</si>
  <si>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</si>
  <si>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</si>
  <si>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발주분양산-&gt;코아파손정지</t>
    <phoneticPr fontId="2" type="noConversion"/>
  </si>
  <si>
    <t>당일 진행 사항(19일)</t>
    <phoneticPr fontId="2" type="noConversion"/>
  </si>
  <si>
    <t>3</t>
    <phoneticPr fontId="2" type="noConversion"/>
  </si>
  <si>
    <t>COVER</t>
    <phoneticPr fontId="2" type="noConversion"/>
  </si>
  <si>
    <t>KR6156-C841TB</t>
    <phoneticPr fontId="2" type="noConversion"/>
  </si>
  <si>
    <t>발주분양산</t>
    <phoneticPr fontId="2" type="noConversion"/>
  </si>
  <si>
    <t>SST</t>
    <phoneticPr fontId="2" type="noConversion"/>
  </si>
  <si>
    <t>KR6156FA841YA</t>
    <phoneticPr fontId="2" type="noConversion"/>
  </si>
  <si>
    <t>BURR수리후양산</t>
    <phoneticPr fontId="2" type="noConversion"/>
  </si>
  <si>
    <t>KR6156DB841CA</t>
    <phoneticPr fontId="2" type="noConversion"/>
  </si>
  <si>
    <t>8</t>
    <phoneticPr fontId="2" type="noConversion"/>
  </si>
  <si>
    <t>BASE</t>
    <phoneticPr fontId="2" type="noConversion"/>
  </si>
  <si>
    <t>HSA65-M002B1-13A</t>
    <phoneticPr fontId="2" type="noConversion"/>
  </si>
  <si>
    <t>5</t>
    <phoneticPr fontId="2" type="noConversion"/>
  </si>
  <si>
    <t>SLIDER</t>
    <phoneticPr fontId="2" type="noConversion"/>
  </si>
  <si>
    <t>세척후양산</t>
    <phoneticPr fontId="2" type="noConversion"/>
  </si>
  <si>
    <t>SAMPLE 진행 사항(18일)</t>
    <phoneticPr fontId="2" type="noConversion"/>
  </si>
  <si>
    <t>FLOAT</t>
    <phoneticPr fontId="2" type="noConversion"/>
  </si>
  <si>
    <t>KR6421-A156XX</t>
    <phoneticPr fontId="2" type="noConversion"/>
  </si>
  <si>
    <t>SGF2030 N/P</t>
    <phoneticPr fontId="2" type="noConversion"/>
  </si>
  <si>
    <t>신작</t>
    <phoneticPr fontId="2" type="noConversion"/>
  </si>
  <si>
    <t>2회진행</t>
    <phoneticPr fontId="2" type="noConversion"/>
  </si>
  <si>
    <t>HOLDER</t>
    <phoneticPr fontId="2" type="noConversion"/>
  </si>
  <si>
    <t>KR6421-H156XX</t>
    <phoneticPr fontId="2" type="noConversion"/>
  </si>
  <si>
    <t>SGP2020R/SGF2033</t>
    <phoneticPr fontId="2" type="noConversion"/>
  </si>
  <si>
    <t>3회진행(SGP작업안됨)</t>
    <phoneticPr fontId="2" type="noConversion"/>
  </si>
  <si>
    <t>LEAD IN</t>
    <phoneticPr fontId="2" type="noConversion"/>
  </si>
  <si>
    <t>KR6421-M01AXX</t>
    <phoneticPr fontId="2" type="noConversion"/>
  </si>
  <si>
    <t>SGF2030</t>
    <phoneticPr fontId="2" type="noConversion"/>
  </si>
  <si>
    <t>STOPPER</t>
    <phoneticPr fontId="2" type="noConversion"/>
  </si>
  <si>
    <t>KR6421-D156XX</t>
    <phoneticPr fontId="2" type="noConversion"/>
  </si>
  <si>
    <t>SGF2033</t>
    <phoneticPr fontId="2" type="noConversion"/>
  </si>
  <si>
    <t>작업안됨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</si>
  <si>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</si>
  <si>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</si>
  <si>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2018년 01월 19일 일일생산현황</t>
    </r>
    <r>
      <rPr>
        <b/>
        <sz val="14"/>
        <color indexed="8"/>
        <rFont val="굴림체"/>
        <family val="3"/>
        <charset val="129"/>
      </rPr>
      <t>(20일(토) 09시 현재)</t>
    </r>
    <phoneticPr fontId="2" type="noConversion"/>
  </si>
  <si>
    <t>KR6156-C841TB</t>
    <phoneticPr fontId="2" type="noConversion"/>
  </si>
  <si>
    <t>AMB1921B-KAA-R1</t>
    <phoneticPr fontId="2" type="noConversion"/>
  </si>
  <si>
    <t>KR6156DB841CA</t>
    <phoneticPr fontId="2" type="noConversion"/>
  </si>
  <si>
    <t>SGF2033</t>
    <phoneticPr fontId="2" type="noConversion"/>
  </si>
  <si>
    <t>전일 ISSUE 사항(19일)</t>
    <phoneticPr fontId="2" type="noConversion"/>
  </si>
  <si>
    <t>SST</t>
    <phoneticPr fontId="2" type="noConversion"/>
  </si>
  <si>
    <t>수리후양산</t>
    <phoneticPr fontId="2" type="noConversion"/>
  </si>
  <si>
    <t>HSA65-M002B1-13A</t>
    <phoneticPr fontId="2" type="noConversion"/>
  </si>
  <si>
    <t>세척후양산</t>
    <phoneticPr fontId="2" type="noConversion"/>
  </si>
  <si>
    <t>AMB1921B-KAA-R1</t>
    <phoneticPr fontId="2" type="noConversion"/>
  </si>
  <si>
    <t>불량대치분양산</t>
    <phoneticPr fontId="2" type="noConversion"/>
  </si>
  <si>
    <t>KR6156DB841CA</t>
    <phoneticPr fontId="2" type="noConversion"/>
  </si>
  <si>
    <t>당일 진행 사항(22일)</t>
    <phoneticPr fontId="2" type="noConversion"/>
  </si>
  <si>
    <t>AMB1904D-KAA-R2</t>
    <phoneticPr fontId="2" type="noConversion"/>
  </si>
  <si>
    <t>MCS</t>
    <phoneticPr fontId="2" type="noConversion"/>
  </si>
  <si>
    <t>ACTUATOR</t>
    <phoneticPr fontId="2" type="noConversion"/>
  </si>
  <si>
    <t>22P(4P)</t>
    <phoneticPr fontId="2" type="noConversion"/>
  </si>
  <si>
    <t>DI</t>
    <phoneticPr fontId="2" type="noConversion"/>
  </si>
  <si>
    <t>AMM0827A-KAA-R2</t>
    <phoneticPr fontId="2" type="noConversion"/>
  </si>
  <si>
    <t>MCS</t>
    <phoneticPr fontId="2" type="noConversion"/>
  </si>
  <si>
    <t>BASE</t>
    <phoneticPr fontId="2" type="noConversion"/>
  </si>
  <si>
    <t>SAMPLE 진행 사항(19일)</t>
    <phoneticPr fontId="2" type="noConversion"/>
  </si>
  <si>
    <t>KR6421-B156XX</t>
    <phoneticPr fontId="2" type="noConversion"/>
  </si>
  <si>
    <t>SGP2020R</t>
    <phoneticPr fontId="2" type="noConversion"/>
  </si>
  <si>
    <t>KR6421-F1073XX</t>
    <phoneticPr fontId="2" type="noConversion"/>
  </si>
  <si>
    <t>LEAD GUIDE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</si>
  <si>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</si>
  <si>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</si>
  <si>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2018년 01월 22일 일일생산현황</t>
    </r>
    <r>
      <rPr>
        <b/>
        <sz val="14"/>
        <color indexed="8"/>
        <rFont val="굴림체"/>
        <family val="3"/>
        <charset val="129"/>
      </rPr>
      <t>(23일(화) 09시 현재)</t>
    </r>
    <phoneticPr fontId="2" type="noConversion"/>
  </si>
  <si>
    <t>AMB1904D-KAA-R2</t>
    <phoneticPr fontId="2" type="noConversion"/>
  </si>
  <si>
    <t>AMB0114B-JAA-R6</t>
    <phoneticPr fontId="2" type="noConversion"/>
  </si>
  <si>
    <t>ACTUATOR</t>
    <phoneticPr fontId="2" type="noConversion"/>
  </si>
  <si>
    <t>AMB1901B-JAA-R1</t>
    <phoneticPr fontId="2" type="noConversion"/>
  </si>
  <si>
    <t>SGF2033</t>
    <phoneticPr fontId="2" type="noConversion"/>
  </si>
  <si>
    <t>DI</t>
    <phoneticPr fontId="2" type="noConversion"/>
  </si>
  <si>
    <t>22P(4p)</t>
    <phoneticPr fontId="2" type="noConversion"/>
  </si>
  <si>
    <t>전일 ISSUE 사항(22일)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</si>
  <si>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</si>
  <si>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</si>
  <si>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</si>
  <si>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발주분양산-&gt;가스2회정지</t>
    <phoneticPr fontId="2" type="noConversion"/>
  </si>
  <si>
    <t>6</t>
    <phoneticPr fontId="2" type="noConversion"/>
  </si>
  <si>
    <t>AMB1904D-JAA-R2</t>
    <phoneticPr fontId="2" type="noConversion"/>
  </si>
  <si>
    <t>발주분양산</t>
    <phoneticPr fontId="2" type="noConversion"/>
  </si>
  <si>
    <t>14</t>
    <phoneticPr fontId="2" type="noConversion"/>
  </si>
  <si>
    <t>DI</t>
    <phoneticPr fontId="2" type="noConversion"/>
  </si>
  <si>
    <t>15</t>
    <phoneticPr fontId="2" type="noConversion"/>
  </si>
  <si>
    <t>22P(4P)</t>
    <phoneticPr fontId="2" type="noConversion"/>
  </si>
  <si>
    <t>발주분양산-&gt;하측박힘정지</t>
    <phoneticPr fontId="2" type="noConversion"/>
  </si>
  <si>
    <t>당일 진행 사항(23일)</t>
    <phoneticPr fontId="2" type="noConversion"/>
  </si>
  <si>
    <t>HICON</t>
    <phoneticPr fontId="2" type="noConversion"/>
  </si>
  <si>
    <t>SLIDER</t>
    <phoneticPr fontId="2" type="noConversion"/>
  </si>
  <si>
    <t>HSA65-M002B1-13A</t>
    <phoneticPr fontId="2" type="noConversion"/>
  </si>
  <si>
    <t>세척후양산</t>
    <phoneticPr fontId="2" type="noConversion"/>
  </si>
  <si>
    <t>수리후양산</t>
    <phoneticPr fontId="2" type="noConversion"/>
  </si>
  <si>
    <t>수리후양산</t>
    <phoneticPr fontId="2" type="noConversion"/>
  </si>
  <si>
    <t>SAMPLE 진행 사항(22일)</t>
    <phoneticPr fontId="2" type="noConversion"/>
  </si>
  <si>
    <t>STOPPER</t>
    <phoneticPr fontId="2" type="noConversion"/>
  </si>
  <si>
    <t>AMB0450A-KAA-R1</t>
    <phoneticPr fontId="2" type="noConversion"/>
  </si>
  <si>
    <t>수정</t>
    <phoneticPr fontId="2" type="noConversion"/>
  </si>
  <si>
    <t>미국산</t>
    <phoneticPr fontId="2" type="noConversion"/>
  </si>
  <si>
    <t>AYE</t>
    <phoneticPr fontId="2" type="noConversion"/>
  </si>
  <si>
    <t>SPACER A,B,C</t>
    <phoneticPr fontId="2" type="noConversion"/>
  </si>
  <si>
    <t>NP504-432-073#SP-A,B-C</t>
    <phoneticPr fontId="2" type="noConversion"/>
  </si>
  <si>
    <t>SGP2030R,SGF2033</t>
    <phoneticPr fontId="2" type="noConversion"/>
  </si>
  <si>
    <t>SGP2030R 작업안됨</t>
    <phoneticPr fontId="2" type="noConversion"/>
  </si>
  <si>
    <t>HICON</t>
    <phoneticPr fontId="2" type="noConversion"/>
  </si>
  <si>
    <t>BASE</t>
    <phoneticPr fontId="2" type="noConversion"/>
  </si>
  <si>
    <t>HSB05-M001B1</t>
    <phoneticPr fontId="2" type="noConversion"/>
  </si>
  <si>
    <t>SGF2041</t>
    <phoneticPr fontId="2" type="noConversion"/>
  </si>
  <si>
    <t>하측박힘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</si>
  <si>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</si>
  <si>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</si>
  <si>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2018년 01월 23일 일일생산현황</t>
    </r>
    <r>
      <rPr>
        <b/>
        <sz val="14"/>
        <color indexed="8"/>
        <rFont val="굴림체"/>
        <family val="3"/>
        <charset val="129"/>
      </rPr>
      <t>(24일(수) 09시 현재)</t>
    </r>
    <phoneticPr fontId="2" type="noConversion"/>
  </si>
  <si>
    <t>SST</t>
    <phoneticPr fontId="2" type="noConversion"/>
  </si>
  <si>
    <t>SHAFT</t>
    <phoneticPr fontId="2" type="noConversion"/>
  </si>
  <si>
    <t>KR6202-06KA</t>
    <phoneticPr fontId="2" type="noConversion"/>
  </si>
  <si>
    <t>JCL3030</t>
    <phoneticPr fontId="2" type="noConversion"/>
  </si>
  <si>
    <t>대체</t>
    <phoneticPr fontId="2" type="noConversion"/>
  </si>
  <si>
    <t>AMM0853A-KAA-R1</t>
    <phoneticPr fontId="2" type="noConversion"/>
  </si>
  <si>
    <t>PA9T</t>
    <phoneticPr fontId="2" type="noConversion"/>
  </si>
  <si>
    <t>전일 ISSUE 사항(23일)</t>
    <phoneticPr fontId="2" type="noConversion"/>
  </si>
  <si>
    <t>수리후양산-&gt;가스정지</t>
    <phoneticPr fontId="2" type="noConversion"/>
  </si>
  <si>
    <t>SST</t>
    <phoneticPr fontId="2" type="noConversion"/>
  </si>
  <si>
    <t>5</t>
    <phoneticPr fontId="2" type="noConversion"/>
  </si>
  <si>
    <t>SHAFT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</si>
  <si>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</si>
  <si>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</si>
  <si>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</si>
  <si>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HSA65-M002B1-13A</t>
    <phoneticPr fontId="2" type="noConversion"/>
  </si>
  <si>
    <t>세척후양산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</si>
  <si>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</si>
  <si>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</si>
  <si>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</si>
  <si>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수리후양산</t>
    <phoneticPr fontId="2" type="noConversion"/>
  </si>
  <si>
    <t>당일 진행 사항(24일)</t>
    <phoneticPr fontId="2" type="noConversion"/>
  </si>
  <si>
    <t>SST</t>
    <phoneticPr fontId="2" type="noConversion"/>
  </si>
  <si>
    <t>4</t>
    <phoneticPr fontId="2" type="noConversion"/>
  </si>
  <si>
    <t>KR6156FA841YA</t>
    <phoneticPr fontId="2" type="noConversion"/>
  </si>
  <si>
    <t>8</t>
    <phoneticPr fontId="2" type="noConversion"/>
  </si>
  <si>
    <t>BASE</t>
    <phoneticPr fontId="2" type="noConversion"/>
  </si>
  <si>
    <t>KR6156DB841CA</t>
    <phoneticPr fontId="2" type="noConversion"/>
  </si>
  <si>
    <t>세척후양산</t>
    <phoneticPr fontId="2" type="noConversion"/>
  </si>
  <si>
    <t>SAMPLE 진행 사항(23일)</t>
    <phoneticPr fontId="2" type="noConversion"/>
  </si>
  <si>
    <t>SEPARATOR</t>
    <phoneticPr fontId="2" type="noConversion"/>
  </si>
  <si>
    <t>AMB09D8A-KAA-R1</t>
    <phoneticPr fontId="2" type="noConversion"/>
  </si>
  <si>
    <t>S475</t>
    <phoneticPr fontId="2" type="noConversion"/>
  </si>
  <si>
    <t>신작</t>
    <phoneticPr fontId="2" type="noConversion"/>
  </si>
  <si>
    <t>SGF2033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</si>
  <si>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</si>
  <si>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</si>
  <si>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2018년 01월 24일 일일생산현황</t>
    </r>
    <r>
      <rPr>
        <b/>
        <sz val="14"/>
        <color indexed="8"/>
        <rFont val="굴림체"/>
        <family val="3"/>
        <charset val="129"/>
      </rPr>
      <t>(25일(목) 09시 현재)</t>
    </r>
    <phoneticPr fontId="2" type="noConversion"/>
  </si>
  <si>
    <t>MCS</t>
    <phoneticPr fontId="2" type="noConversion"/>
  </si>
  <si>
    <t>BODY</t>
    <phoneticPr fontId="2" type="noConversion"/>
  </si>
  <si>
    <t>AMB0152A-KAA-R1</t>
    <phoneticPr fontId="2" type="noConversion"/>
  </si>
  <si>
    <t>SGF2030</t>
    <phoneticPr fontId="2" type="noConversion"/>
  </si>
  <si>
    <t>전일 ISSUE 사항(24일)</t>
    <phoneticPr fontId="2" type="noConversion"/>
  </si>
  <si>
    <t>수리후양산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</si>
  <si>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</si>
  <si>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</si>
  <si>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</si>
  <si>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세척후양산</t>
    <phoneticPr fontId="2" type="noConversion"/>
  </si>
  <si>
    <t>SST</t>
    <phoneticPr fontId="2" type="noConversion"/>
  </si>
  <si>
    <t>BASE</t>
    <phoneticPr fontId="2" type="noConversion"/>
  </si>
  <si>
    <t>KR6156DB841CA</t>
    <phoneticPr fontId="2" type="noConversion"/>
  </si>
  <si>
    <t>6</t>
    <phoneticPr fontId="2" type="noConversion"/>
  </si>
  <si>
    <t>5</t>
    <phoneticPr fontId="2" type="noConversion"/>
  </si>
  <si>
    <t>BODY</t>
    <phoneticPr fontId="2" type="noConversion"/>
  </si>
  <si>
    <t>발주분양산</t>
    <phoneticPr fontId="2" type="noConversion"/>
  </si>
  <si>
    <t>3</t>
    <phoneticPr fontId="2" type="noConversion"/>
  </si>
  <si>
    <t>COVER</t>
    <phoneticPr fontId="2" type="noConversion"/>
  </si>
  <si>
    <t>KR6156-C841TB</t>
    <phoneticPr fontId="2" type="noConversion"/>
  </si>
  <si>
    <t>각인수리후양산</t>
    <phoneticPr fontId="2" type="noConversion"/>
  </si>
  <si>
    <t>당일 진행 사항(25일)</t>
    <phoneticPr fontId="2" type="noConversion"/>
  </si>
  <si>
    <t>TST</t>
    <phoneticPr fontId="2" type="noConversion"/>
  </si>
  <si>
    <t>1</t>
    <phoneticPr fontId="2" type="noConversion"/>
  </si>
  <si>
    <t>사출물 B</t>
    <phoneticPr fontId="2" type="noConversion"/>
  </si>
  <si>
    <t>발주분양산</t>
    <phoneticPr fontId="2" type="noConversion"/>
  </si>
  <si>
    <t>AMB1904D-KAA-R2</t>
    <phoneticPr fontId="2" type="noConversion"/>
  </si>
  <si>
    <t>MCS</t>
    <phoneticPr fontId="2" type="noConversion"/>
  </si>
  <si>
    <t>ACTUATOR</t>
    <phoneticPr fontId="2" type="noConversion"/>
  </si>
  <si>
    <t>HOOK파손분양산</t>
    <phoneticPr fontId="2" type="noConversion"/>
  </si>
  <si>
    <t>OK164SSD-100-T18-BA</t>
    <phoneticPr fontId="2" type="noConversion"/>
  </si>
  <si>
    <t>OKINS</t>
    <phoneticPr fontId="2" type="noConversion"/>
  </si>
  <si>
    <t>11</t>
    <phoneticPr fontId="2" type="noConversion"/>
  </si>
  <si>
    <t>BASE</t>
    <phoneticPr fontId="2" type="noConversion"/>
  </si>
  <si>
    <t>승인후양산</t>
    <phoneticPr fontId="2" type="noConversion"/>
  </si>
  <si>
    <t>SAMPLE 진행 사항(24일)</t>
    <phoneticPr fontId="2" type="noConversion"/>
  </si>
  <si>
    <t>RECEPTACLE</t>
    <phoneticPr fontId="2" type="noConversion"/>
  </si>
  <si>
    <t>BR88-127A1P-1</t>
    <phoneticPr fontId="2" type="noConversion"/>
  </si>
  <si>
    <t>PA46</t>
    <phoneticPr fontId="2" type="noConversion"/>
  </si>
  <si>
    <t>옵션</t>
    <phoneticPr fontId="2" type="noConversion"/>
  </si>
  <si>
    <t>수축2회진행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</si>
  <si>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</si>
  <si>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</si>
  <si>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2018년 01월 25일 일일생산현황</t>
    </r>
    <r>
      <rPr>
        <b/>
        <sz val="14"/>
        <color indexed="8"/>
        <rFont val="굴림체"/>
        <family val="3"/>
        <charset val="129"/>
      </rPr>
      <t>(26일(금) 09시 현재)</t>
    </r>
    <phoneticPr fontId="2" type="noConversion"/>
  </si>
  <si>
    <t>사출물 B</t>
    <phoneticPr fontId="2" type="noConversion"/>
  </si>
  <si>
    <t>PA46</t>
    <phoneticPr fontId="2" type="noConversion"/>
  </si>
  <si>
    <t>KR6156AC841TA</t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</si>
  <si>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</si>
  <si>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</si>
  <si>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</si>
  <si>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OKINS</t>
    <phoneticPr fontId="2" type="noConversion"/>
  </si>
  <si>
    <t>BASE</t>
    <phoneticPr fontId="2" type="noConversion"/>
  </si>
  <si>
    <t>OK164SSD-100-T18-BA</t>
    <phoneticPr fontId="2" type="noConversion"/>
  </si>
  <si>
    <t>전일 ISSUE 사항(25일)</t>
    <phoneticPr fontId="2" type="noConversion"/>
  </si>
  <si>
    <t>TST</t>
    <phoneticPr fontId="2" type="noConversion"/>
  </si>
  <si>
    <t>발주분양산</t>
    <phoneticPr fontId="2" type="noConversion"/>
  </si>
  <si>
    <t>MCS</t>
    <phoneticPr fontId="2" type="noConversion"/>
  </si>
  <si>
    <t>대체분양산</t>
    <phoneticPr fontId="2" type="noConversion"/>
  </si>
  <si>
    <t>11</t>
    <phoneticPr fontId="2" type="noConversion"/>
  </si>
  <si>
    <t>승인후양산</t>
    <phoneticPr fontId="2" type="noConversion"/>
  </si>
  <si>
    <t>당일 진행 사항(26일)</t>
    <phoneticPr fontId="2" type="noConversion"/>
  </si>
  <si>
    <t>10</t>
    <phoneticPr fontId="2" type="noConversion"/>
  </si>
  <si>
    <t>24V</t>
    <phoneticPr fontId="2" type="noConversion"/>
  </si>
  <si>
    <t>SAMPLE 진행 사항(25일)</t>
    <phoneticPr fontId="2" type="noConversion"/>
  </si>
  <si>
    <t>KR6197AB841XX</t>
    <phoneticPr fontId="2" type="noConversion"/>
  </si>
  <si>
    <t>SGF2033</t>
    <phoneticPr fontId="2" type="noConversion"/>
  </si>
  <si>
    <t>수정</t>
    <phoneticPr fontId="2" type="noConversion"/>
  </si>
  <si>
    <t>2회진행</t>
    <phoneticPr fontId="2" type="noConversion"/>
  </si>
  <si>
    <t>OK164SSD-100-T18-BA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</si>
  <si>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</si>
  <si>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</si>
  <si>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2018년 01월 26일 일일생산현황</t>
    </r>
    <r>
      <rPr>
        <b/>
        <sz val="14"/>
        <color indexed="8"/>
        <rFont val="굴림체"/>
        <family val="3"/>
        <charset val="129"/>
      </rPr>
      <t>(27일(토) 09시 현재)</t>
    </r>
    <phoneticPr fontId="2" type="noConversion"/>
  </si>
  <si>
    <t>24V</t>
    <phoneticPr fontId="2" type="noConversion"/>
  </si>
  <si>
    <t>LEN2211</t>
    <phoneticPr fontId="2" type="noConversion"/>
  </si>
  <si>
    <t>BASE</t>
    <phoneticPr fontId="2" type="noConversion"/>
  </si>
  <si>
    <t>KR6197AB841CA</t>
    <phoneticPr fontId="2" type="noConversion"/>
  </si>
  <si>
    <t>전일 ISSUE 사항(26일)</t>
    <phoneticPr fontId="2" type="noConversion"/>
  </si>
  <si>
    <t>SST</t>
    <phoneticPr fontId="2" type="noConversion"/>
  </si>
  <si>
    <t>14</t>
    <phoneticPr fontId="2" type="noConversion"/>
  </si>
  <si>
    <t>BASE</t>
    <phoneticPr fontId="2" type="noConversion"/>
  </si>
  <si>
    <t>ODT</t>
    <phoneticPr fontId="2" type="noConversion"/>
  </si>
  <si>
    <t>10</t>
    <phoneticPr fontId="2" type="noConversion"/>
  </si>
  <si>
    <t>24V</t>
    <phoneticPr fontId="2" type="noConversion"/>
  </si>
  <si>
    <t>SW-003073</t>
    <phoneticPr fontId="2" type="noConversion"/>
  </si>
  <si>
    <t>당일 진행 사항(29일)</t>
    <phoneticPr fontId="2" type="noConversion"/>
  </si>
  <si>
    <t>SST</t>
    <phoneticPr fontId="2" type="noConversion"/>
  </si>
  <si>
    <t>6</t>
    <phoneticPr fontId="2" type="noConversion"/>
  </si>
  <si>
    <t>SLIDER</t>
    <phoneticPr fontId="2" type="noConversion"/>
  </si>
  <si>
    <t>KR6197EA293YA</t>
    <phoneticPr fontId="2" type="noConversion"/>
  </si>
  <si>
    <t>KR6197-C841TA</t>
    <phoneticPr fontId="2" type="noConversion"/>
  </si>
  <si>
    <t>2</t>
    <phoneticPr fontId="2" type="noConversion"/>
  </si>
  <si>
    <t>COVER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</si>
  <si>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</si>
  <si>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</si>
  <si>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</si>
  <si>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2018년 01월 29일 일일생산현황</t>
    </r>
    <r>
      <rPr>
        <b/>
        <sz val="14"/>
        <color indexed="8"/>
        <rFont val="굴림체"/>
        <family val="3"/>
        <charset val="129"/>
      </rPr>
      <t>(30일(화) 09시 현재)</t>
    </r>
    <phoneticPr fontId="2" type="noConversion"/>
  </si>
  <si>
    <t>KR6197-C841TA</t>
    <phoneticPr fontId="2" type="noConversion"/>
  </si>
  <si>
    <t>JD4901</t>
    <phoneticPr fontId="2" type="noConversion"/>
  </si>
  <si>
    <t>SLIDER</t>
    <phoneticPr fontId="2" type="noConversion"/>
  </si>
  <si>
    <t>KR6197EA293YA</t>
    <phoneticPr fontId="2" type="noConversion"/>
  </si>
  <si>
    <t>SGF2050</t>
    <phoneticPr fontId="2" type="noConversion"/>
  </si>
  <si>
    <t>전일 ISSUE 사항(29일)</t>
    <phoneticPr fontId="2" type="noConversion"/>
  </si>
  <si>
    <t>KR6156DB841CA</t>
    <phoneticPr fontId="2" type="noConversion"/>
  </si>
  <si>
    <t>코아파손수리후양산</t>
    <phoneticPr fontId="2" type="noConversion"/>
  </si>
  <si>
    <t>SST</t>
    <phoneticPr fontId="2" type="noConversion"/>
  </si>
  <si>
    <t>SLIDER</t>
    <phoneticPr fontId="2" type="noConversion"/>
  </si>
  <si>
    <t>COVER</t>
    <phoneticPr fontId="2" type="noConversion"/>
  </si>
  <si>
    <t>ODT</t>
    <phoneticPr fontId="2" type="noConversion"/>
  </si>
  <si>
    <t>203T</t>
    <phoneticPr fontId="2" type="noConversion"/>
  </si>
  <si>
    <t>SW-003068-1</t>
    <phoneticPr fontId="2" type="noConversion"/>
  </si>
  <si>
    <t>발주분양산-&gt;밀핀파손정지</t>
    <phoneticPr fontId="2" type="noConversion"/>
  </si>
  <si>
    <t>당일 진행 사항(30일)</t>
    <phoneticPr fontId="2" type="noConversion"/>
  </si>
  <si>
    <t>203T</t>
    <phoneticPr fontId="2" type="noConversion"/>
  </si>
  <si>
    <t>SW-003068-1</t>
    <phoneticPr fontId="2" type="noConversion"/>
  </si>
  <si>
    <t>수리후양산</t>
    <phoneticPr fontId="2" type="noConversion"/>
  </si>
  <si>
    <t>AYE</t>
    <phoneticPr fontId="2" type="noConversion"/>
  </si>
  <si>
    <t>NP595-350-008#LB</t>
    <phoneticPr fontId="2" type="noConversion"/>
  </si>
  <si>
    <t>발주분양산</t>
    <phoneticPr fontId="2" type="noConversion"/>
  </si>
  <si>
    <t>10</t>
    <phoneticPr fontId="2" type="noConversion"/>
  </si>
  <si>
    <t>LED A</t>
    <phoneticPr fontId="2" type="noConversion"/>
  </si>
  <si>
    <t>SAMPLE 진행 사항(29일)</t>
    <phoneticPr fontId="2" type="noConversion"/>
  </si>
  <si>
    <t>AMB39D8A-KAA-R1</t>
    <phoneticPr fontId="2" type="noConversion"/>
  </si>
  <si>
    <t>S475</t>
    <phoneticPr fontId="2" type="noConversion"/>
  </si>
  <si>
    <t>수정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</si>
  <si>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</si>
  <si>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</si>
  <si>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2018년 01월 30일 일일생산현황</t>
    </r>
    <r>
      <rPr>
        <b/>
        <sz val="14"/>
        <color indexed="8"/>
        <rFont val="굴림체"/>
        <family val="3"/>
        <charset val="129"/>
      </rPr>
      <t>(31일(수) 09시 현재)</t>
    </r>
    <phoneticPr fontId="2" type="noConversion"/>
  </si>
  <si>
    <t>ODT</t>
    <phoneticPr fontId="2" type="noConversion"/>
  </si>
  <si>
    <t>203T</t>
    <phoneticPr fontId="2" type="noConversion"/>
  </si>
  <si>
    <t>SW-003068-1</t>
    <phoneticPr fontId="2" type="noConversion"/>
  </si>
  <si>
    <t>PC30%</t>
    <phoneticPr fontId="2" type="noConversion"/>
  </si>
  <si>
    <t>LED A</t>
    <phoneticPr fontId="2" type="noConversion"/>
  </si>
  <si>
    <t>SW-003071</t>
    <phoneticPr fontId="2" type="noConversion"/>
  </si>
  <si>
    <t>AYE</t>
    <phoneticPr fontId="2" type="noConversion"/>
  </si>
  <si>
    <t>ADAPTER</t>
    <phoneticPr fontId="2" type="noConversion"/>
  </si>
  <si>
    <t>NP595-350-008#LB</t>
    <phoneticPr fontId="2" type="noConversion"/>
  </si>
  <si>
    <t>SGP2030R N/P</t>
    <phoneticPr fontId="2" type="noConversion"/>
  </si>
  <si>
    <t>전일 ISSUE 사항(30일)</t>
    <phoneticPr fontId="2" type="noConversion"/>
  </si>
  <si>
    <t>SST</t>
    <phoneticPr fontId="2" type="noConversion"/>
  </si>
  <si>
    <t>KR6197AB841CA</t>
    <phoneticPr fontId="2" type="noConversion"/>
  </si>
  <si>
    <t>코아파손2회정지</t>
    <phoneticPr fontId="2" type="noConversion"/>
  </si>
  <si>
    <t>10</t>
    <phoneticPr fontId="2" type="noConversion"/>
  </si>
  <si>
    <t>LED A</t>
    <phoneticPr fontId="2" type="noConversion"/>
  </si>
  <si>
    <t>SW-003071</t>
    <phoneticPr fontId="2" type="noConversion"/>
  </si>
  <si>
    <t>발주분양산</t>
    <phoneticPr fontId="2" type="noConversion"/>
  </si>
  <si>
    <t>12</t>
    <phoneticPr fontId="2" type="noConversion"/>
  </si>
  <si>
    <t>당일 진행 사항(31일)</t>
    <phoneticPr fontId="2" type="noConversion"/>
  </si>
  <si>
    <t>SST</t>
    <phoneticPr fontId="2" type="noConversion"/>
  </si>
  <si>
    <t>BASE</t>
    <phoneticPr fontId="2" type="noConversion"/>
  </si>
  <si>
    <t>KR6197AB841CA</t>
    <phoneticPr fontId="2" type="noConversion"/>
  </si>
  <si>
    <t>수리후양산</t>
    <phoneticPr fontId="2" type="noConversion"/>
  </si>
  <si>
    <t>NP504-432-073#SP-A,B,C</t>
    <phoneticPr fontId="2" type="noConversion"/>
  </si>
  <si>
    <t>치수확인후양산</t>
    <phoneticPr fontId="2" type="noConversion"/>
  </si>
  <si>
    <t>14</t>
    <phoneticPr fontId="2" type="noConversion"/>
  </si>
  <si>
    <t>SPACER</t>
    <phoneticPr fontId="2" type="noConversion"/>
  </si>
  <si>
    <t>SAMPLE 진행 사항(30일)</t>
    <phoneticPr fontId="2" type="noConversion"/>
  </si>
  <si>
    <t>STOPPER</t>
    <phoneticPr fontId="2" type="noConversion"/>
  </si>
  <si>
    <t>AMB0450A-KAA-R1</t>
    <phoneticPr fontId="2" type="noConversion"/>
  </si>
  <si>
    <t>OKINS</t>
    <phoneticPr fontId="2" type="noConversion"/>
  </si>
  <si>
    <t>204F51M-B047E</t>
    <phoneticPr fontId="2" type="noConversion"/>
  </si>
  <si>
    <t>PA9T</t>
    <phoneticPr fontId="2" type="noConversion"/>
  </si>
  <si>
    <t>수정</t>
    <phoneticPr fontId="2" type="noConversion"/>
  </si>
  <si>
    <t>2회진행 NG</t>
    <phoneticPr fontId="2" type="noConversion"/>
  </si>
  <si>
    <t>NP599-290-002#LB</t>
    <phoneticPr fontId="2" type="noConversion"/>
  </si>
  <si>
    <t>SGP2030R N/P</t>
    <phoneticPr fontId="2" type="noConversion"/>
  </si>
  <si>
    <t>신작</t>
    <phoneticPr fontId="2" type="noConversion"/>
  </si>
  <si>
    <t>AYE</t>
    <phoneticPr fontId="2" type="noConversion"/>
  </si>
  <si>
    <t>SPACER</t>
    <phoneticPr fontId="2" type="noConversion"/>
  </si>
  <si>
    <t>NP599-290-002#SP-A,B,C</t>
    <phoneticPr fontId="2" type="noConversion"/>
  </si>
  <si>
    <t>SGP2030R</t>
    <phoneticPr fontId="2" type="noConversion"/>
  </si>
  <si>
    <t>각 50</t>
    <phoneticPr fontId="2" type="noConversion"/>
  </si>
  <si>
    <t>HICON</t>
    <phoneticPr fontId="2" type="noConversion"/>
  </si>
  <si>
    <t>SLIDER</t>
    <phoneticPr fontId="2" type="noConversion"/>
  </si>
  <si>
    <t>HSF05-M02B1</t>
    <phoneticPr fontId="2" type="noConversion"/>
  </si>
  <si>
    <t>SGF2030 N/P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</si>
  <si>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</si>
  <si>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</si>
  <si>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2018년 01월 31일 일일생산현황</t>
    </r>
    <r>
      <rPr>
        <b/>
        <sz val="14"/>
        <color indexed="8"/>
        <rFont val="굴림체"/>
        <family val="3"/>
        <charset val="129"/>
      </rPr>
      <t>(01일(목) 09시 현재)</t>
    </r>
    <phoneticPr fontId="2" type="noConversion"/>
  </si>
  <si>
    <t>SPACER A,B,C</t>
    <phoneticPr fontId="2" type="noConversion"/>
  </si>
  <si>
    <t>3*1</t>
    <phoneticPr fontId="2" type="noConversion"/>
  </si>
  <si>
    <t>전일 ISSUE 사항(31일)</t>
    <phoneticPr fontId="2" type="noConversion"/>
  </si>
  <si>
    <t>코아파손수리후양산-&gt;코아파손정지</t>
    <phoneticPr fontId="2" type="noConversion"/>
  </si>
  <si>
    <t>AYE</t>
    <phoneticPr fontId="2" type="noConversion"/>
  </si>
  <si>
    <t>SPACER A,B,C</t>
    <phoneticPr fontId="2" type="noConversion"/>
  </si>
  <si>
    <t>MCS</t>
    <phoneticPr fontId="2" type="noConversion"/>
  </si>
  <si>
    <t>AMB0114B-JAA-R6</t>
    <phoneticPr fontId="2" type="noConversion"/>
  </si>
  <si>
    <t>불량대치분양산</t>
    <phoneticPr fontId="2" type="noConversion"/>
  </si>
  <si>
    <t>9</t>
    <phoneticPr fontId="2" type="noConversion"/>
  </si>
  <si>
    <t>AMM0827A-KAA-R2</t>
    <phoneticPr fontId="2" type="noConversion"/>
  </si>
  <si>
    <t>수정후양산-&gt;치수NG정지</t>
    <phoneticPr fontId="2" type="noConversion"/>
  </si>
  <si>
    <t>당일 진행 사항(01일)</t>
    <phoneticPr fontId="2" type="noConversion"/>
  </si>
  <si>
    <t>치수수정후양산-&gt;뜯김정지</t>
    <phoneticPr fontId="2" type="noConversion"/>
  </si>
  <si>
    <t>수리후양산</t>
    <phoneticPr fontId="2" type="noConversion"/>
  </si>
  <si>
    <t>NP504-432-073#SP-A,B,C</t>
    <phoneticPr fontId="2" type="noConversion"/>
  </si>
  <si>
    <t>SGF2033</t>
    <phoneticPr fontId="2" type="noConversion"/>
  </si>
  <si>
    <t>2회진행</t>
    <phoneticPr fontId="2" type="noConversion"/>
  </si>
  <si>
    <t>SEPARATOR 1,2</t>
    <phoneticPr fontId="2" type="noConversion"/>
  </si>
  <si>
    <t>NP599-290-002#SP-1,2</t>
    <phoneticPr fontId="2" type="noConversion"/>
  </si>
  <si>
    <t>S475</t>
    <phoneticPr fontId="2" type="noConversion"/>
  </si>
  <si>
    <t>신작</t>
    <phoneticPr fontId="2" type="noConversion"/>
  </si>
  <si>
    <t>BASE</t>
    <phoneticPr fontId="2" type="noConversion"/>
  </si>
  <si>
    <t>AMM0827A-KAA-R2</t>
    <phoneticPr fontId="2" type="noConversion"/>
  </si>
  <si>
    <t>BLUE</t>
    <phoneticPr fontId="2" type="noConversion"/>
  </si>
  <si>
    <t>수정</t>
    <phoneticPr fontId="2" type="noConversion"/>
  </si>
  <si>
    <t>SAMPLE 진행 사항(31일)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</si>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</sst>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5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01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447488"/>
        <c:axId val="3584051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447488"/>
        <c:axId val="358405184"/>
      </c:lineChart>
      <c:catAx>
        <c:axId val="224447488"/>
        <c:scaling>
          <c:orientation val="minMax"/>
        </c:scaling>
        <c:delete val="0"/>
        <c:axPos val="b"/>
        <c:majorTickMark val="out"/>
        <c:minorTickMark val="none"/>
        <c:tickLblPos val="nextTo"/>
        <c:crossAx val="358405184"/>
        <c:crosses val="autoZero"/>
        <c:auto val="1"/>
        <c:lblAlgn val="ctr"/>
        <c:lblOffset val="100"/>
        <c:noMultiLvlLbl val="0"/>
      </c:catAx>
      <c:valAx>
        <c:axId val="3584051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444748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01</a:t>
            </a:r>
            <a:r>
              <a:rPr lang="ko-KR" altLang="en-US"/>
              <a:t>월 호기별 가동율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0.22431329409393194</c:v>
                </c:pt>
                <c:pt idx="1">
                  <c:v>0.20680725275054374</c:v>
                </c:pt>
                <c:pt idx="2">
                  <c:v>0.40565031297269477</c:v>
                </c:pt>
                <c:pt idx="3">
                  <c:v>0.42087982716679173</c:v>
                </c:pt>
                <c:pt idx="4">
                  <c:v>0.30767560374237063</c:v>
                </c:pt>
                <c:pt idx="5">
                  <c:v>0.42175151282840656</c:v>
                </c:pt>
                <c:pt idx="6">
                  <c:v>0.21088083827014673</c:v>
                </c:pt>
                <c:pt idx="7">
                  <c:v>0.41351449433142118</c:v>
                </c:pt>
                <c:pt idx="8">
                  <c:v>4.5536543447137277E-2</c:v>
                </c:pt>
                <c:pt idx="9">
                  <c:v>0.12627323735388746</c:v>
                </c:pt>
                <c:pt idx="10">
                  <c:v>0.32638757647556682</c:v>
                </c:pt>
                <c:pt idx="11">
                  <c:v>0.25111147941469147</c:v>
                </c:pt>
                <c:pt idx="12">
                  <c:v>0.16773093691428737</c:v>
                </c:pt>
                <c:pt idx="13">
                  <c:v>0.30618890938266802</c:v>
                </c:pt>
                <c:pt idx="14">
                  <c:v>0.29297403533825289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002816"/>
        <c:axId val="585794112"/>
      </c:barChart>
      <c:catAx>
        <c:axId val="26000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585794112"/>
        <c:crosses val="autoZero"/>
        <c:auto val="1"/>
        <c:lblAlgn val="ctr"/>
        <c:lblOffset val="100"/>
        <c:noMultiLvlLbl val="0"/>
      </c:catAx>
      <c:valAx>
        <c:axId val="5857941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0002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4836</c:v>
                </c:pt>
                <c:pt idx="2">
                  <c:v>4068</c:v>
                </c:pt>
                <c:pt idx="3">
                  <c:v>4326</c:v>
                </c:pt>
                <c:pt idx="4">
                  <c:v>2560</c:v>
                </c:pt>
                <c:pt idx="6">
                  <c:v>5419</c:v>
                </c:pt>
                <c:pt idx="7">
                  <c:v>2518</c:v>
                </c:pt>
                <c:pt idx="8">
                  <c:v>1681</c:v>
                </c:pt>
                <c:pt idx="11">
                  <c:v>2726</c:v>
                </c:pt>
                <c:pt idx="12">
                  <c:v>5172</c:v>
                </c:pt>
                <c:pt idx="14">
                  <c:v>2210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4040</c:v>
                </c:pt>
                <c:pt idx="1">
                  <c:v>4840</c:v>
                </c:pt>
                <c:pt idx="2">
                  <c:v>4070</c:v>
                </c:pt>
                <c:pt idx="3">
                  <c:v>4330</c:v>
                </c:pt>
                <c:pt idx="4">
                  <c:v>2560</c:v>
                </c:pt>
                <c:pt idx="5">
                  <c:v>2580</c:v>
                </c:pt>
                <c:pt idx="6">
                  <c:v>5420</c:v>
                </c:pt>
                <c:pt idx="7">
                  <c:v>2520</c:v>
                </c:pt>
                <c:pt idx="8">
                  <c:v>1690</c:v>
                </c:pt>
                <c:pt idx="9">
                  <c:v>660</c:v>
                </c:pt>
                <c:pt idx="10">
                  <c:v>2811</c:v>
                </c:pt>
                <c:pt idx="11">
                  <c:v>2730</c:v>
                </c:pt>
                <c:pt idx="12">
                  <c:v>5180</c:v>
                </c:pt>
                <c:pt idx="13">
                  <c:v>1300</c:v>
                </c:pt>
                <c:pt idx="14">
                  <c:v>2210</c:v>
                </c:pt>
                <c:pt idx="15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541184"/>
        <c:axId val="585795840"/>
      </c:lineChart>
      <c:catAx>
        <c:axId val="2645411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85795840"/>
        <c:crosses val="autoZero"/>
        <c:auto val="1"/>
        <c:lblAlgn val="ctr"/>
        <c:lblOffset val="100"/>
        <c:noMultiLvlLbl val="0"/>
      </c:catAx>
      <c:valAx>
        <c:axId val="5857958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4541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"/>
                <c:pt idx="0">
                  <c:v>0% 100% 96% 42% 54% 0% 100% 54% 70% 0% 0% 58% 100% 0%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0.99917355371900829</c:v>
                </c:pt>
                <c:pt idx="2">
                  <c:v>0.95786240786240784</c:v>
                </c:pt>
                <c:pt idx="3">
                  <c:v>0.41628175519630489</c:v>
                </c:pt>
                <c:pt idx="4">
                  <c:v>0.54166666666666663</c:v>
                </c:pt>
                <c:pt idx="5">
                  <c:v>0</c:v>
                </c:pt>
                <c:pt idx="6">
                  <c:v>0.9998154981549815</c:v>
                </c:pt>
                <c:pt idx="7">
                  <c:v>0.54123677248677249</c:v>
                </c:pt>
                <c:pt idx="8">
                  <c:v>0.70456114398422087</c:v>
                </c:pt>
                <c:pt idx="9">
                  <c:v>0</c:v>
                </c:pt>
                <c:pt idx="10">
                  <c:v>0</c:v>
                </c:pt>
                <c:pt idx="11">
                  <c:v>0.58247863247863252</c:v>
                </c:pt>
                <c:pt idx="12">
                  <c:v>0.9984555984555985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0.48276880193363958</c:v>
                </c:pt>
                <c:pt idx="1">
                  <c:v>0.48276880193363958</c:v>
                </c:pt>
                <c:pt idx="2">
                  <c:v>0.48276880193363958</c:v>
                </c:pt>
                <c:pt idx="3">
                  <c:v>0.48276880193363958</c:v>
                </c:pt>
                <c:pt idx="4">
                  <c:v>0.48276880193363958</c:v>
                </c:pt>
                <c:pt idx="5">
                  <c:v>0.48276880193363958</c:v>
                </c:pt>
                <c:pt idx="6">
                  <c:v>0.48276880193363958</c:v>
                </c:pt>
                <c:pt idx="7">
                  <c:v>0.48276880193363958</c:v>
                </c:pt>
                <c:pt idx="8">
                  <c:v>0.48276880193363958</c:v>
                </c:pt>
                <c:pt idx="9">
                  <c:v>0.48276880193363958</c:v>
                </c:pt>
                <c:pt idx="10">
                  <c:v>0.48276880193363958</c:v>
                </c:pt>
                <c:pt idx="11">
                  <c:v>0.48276880193363958</c:v>
                </c:pt>
                <c:pt idx="12">
                  <c:v>0.48276880193363958</c:v>
                </c:pt>
                <c:pt idx="13">
                  <c:v>0.48276880193363958</c:v>
                </c:pt>
                <c:pt idx="14">
                  <c:v>0.48276880193363958</c:v>
                </c:pt>
                <c:pt idx="15">
                  <c:v>0.48276880193363958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542720"/>
        <c:axId val="585798144"/>
      </c:lineChart>
      <c:catAx>
        <c:axId val="26454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85798144"/>
        <c:crosses val="autoZero"/>
        <c:auto val="1"/>
        <c:lblAlgn val="ctr"/>
        <c:lblOffset val="100"/>
        <c:noMultiLvlLbl val="0"/>
      </c:catAx>
      <c:valAx>
        <c:axId val="5857981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454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4836</c:v>
                </c:pt>
                <c:pt idx="2">
                  <c:v>4068</c:v>
                </c:pt>
                <c:pt idx="3">
                  <c:v>4326</c:v>
                </c:pt>
                <c:pt idx="4">
                  <c:v>2560</c:v>
                </c:pt>
                <c:pt idx="6">
                  <c:v>5419</c:v>
                </c:pt>
                <c:pt idx="7">
                  <c:v>2518</c:v>
                </c:pt>
                <c:pt idx="8">
                  <c:v>1681</c:v>
                </c:pt>
                <c:pt idx="11">
                  <c:v>2726</c:v>
                </c:pt>
                <c:pt idx="12">
                  <c:v>5172</c:v>
                </c:pt>
                <c:pt idx="14">
                  <c:v>2210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4040</c:v>
                </c:pt>
                <c:pt idx="1">
                  <c:v>4840</c:v>
                </c:pt>
                <c:pt idx="2">
                  <c:v>4070</c:v>
                </c:pt>
                <c:pt idx="3">
                  <c:v>4330</c:v>
                </c:pt>
                <c:pt idx="4">
                  <c:v>2560</c:v>
                </c:pt>
                <c:pt idx="5">
                  <c:v>2580</c:v>
                </c:pt>
                <c:pt idx="6">
                  <c:v>5420</c:v>
                </c:pt>
                <c:pt idx="7">
                  <c:v>2520</c:v>
                </c:pt>
                <c:pt idx="8">
                  <c:v>1690</c:v>
                </c:pt>
                <c:pt idx="9">
                  <c:v>660</c:v>
                </c:pt>
                <c:pt idx="10">
                  <c:v>2811</c:v>
                </c:pt>
                <c:pt idx="11">
                  <c:v>2730</c:v>
                </c:pt>
                <c:pt idx="12">
                  <c:v>5180</c:v>
                </c:pt>
                <c:pt idx="13">
                  <c:v>1300</c:v>
                </c:pt>
                <c:pt idx="14">
                  <c:v>2210</c:v>
                </c:pt>
                <c:pt idx="15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28416"/>
        <c:axId val="585800448"/>
      </c:lineChart>
      <c:catAx>
        <c:axId val="2664284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85800448"/>
        <c:crosses val="autoZero"/>
        <c:auto val="1"/>
        <c:lblAlgn val="ctr"/>
        <c:lblOffset val="100"/>
        <c:noMultiLvlLbl val="0"/>
      </c:catAx>
      <c:valAx>
        <c:axId val="5858004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6428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"/>
                <c:pt idx="0">
                  <c:v>0% 100% 96% 42% 54% 0% 100% 54% 70% 0% 0% 58% 100% 0%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0.99917355371900829</c:v>
                </c:pt>
                <c:pt idx="2">
                  <c:v>0.95786240786240784</c:v>
                </c:pt>
                <c:pt idx="3">
                  <c:v>0.41628175519630489</c:v>
                </c:pt>
                <c:pt idx="4">
                  <c:v>0.54166666666666663</c:v>
                </c:pt>
                <c:pt idx="5">
                  <c:v>0</c:v>
                </c:pt>
                <c:pt idx="6">
                  <c:v>0.9998154981549815</c:v>
                </c:pt>
                <c:pt idx="7">
                  <c:v>0.54123677248677249</c:v>
                </c:pt>
                <c:pt idx="8">
                  <c:v>0.70456114398422087</c:v>
                </c:pt>
                <c:pt idx="9">
                  <c:v>0</c:v>
                </c:pt>
                <c:pt idx="10">
                  <c:v>0</c:v>
                </c:pt>
                <c:pt idx="11">
                  <c:v>0.58247863247863252</c:v>
                </c:pt>
                <c:pt idx="12">
                  <c:v>0.9984555984555985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LATCH</c:v>
                </c:pt>
                <c:pt idx="4">
                  <c:v>4LEAD</c:v>
                </c:pt>
                <c:pt idx="5">
                  <c:v>F/ADAPTER</c:v>
                </c:pt>
                <c:pt idx="6">
                  <c:v>SLIDER</c:v>
                </c:pt>
                <c:pt idx="7">
                  <c:v>LEAD GUIDE</c:v>
                </c:pt>
                <c:pt idx="8">
                  <c:v>CONTACTOR</c:v>
                </c:pt>
                <c:pt idx="9">
                  <c:v>BASE</c:v>
                </c:pt>
                <c:pt idx="10">
                  <c:v>INNER</c:v>
                </c:pt>
                <c:pt idx="11">
                  <c:v>LEAD GUIDE</c:v>
                </c:pt>
                <c:pt idx="12">
                  <c:v>LEAD IN</c:v>
                </c:pt>
                <c:pt idx="13">
                  <c:v>ACTUATOR</c:v>
                </c:pt>
                <c:pt idx="14">
                  <c:v>COVER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0.48276880193363958</c:v>
                </c:pt>
                <c:pt idx="1">
                  <c:v>0.48276880193363958</c:v>
                </c:pt>
                <c:pt idx="2">
                  <c:v>0.48276880193363958</c:v>
                </c:pt>
                <c:pt idx="3">
                  <c:v>0.48276880193363958</c:v>
                </c:pt>
                <c:pt idx="4">
                  <c:v>0.48276880193363958</c:v>
                </c:pt>
                <c:pt idx="5">
                  <c:v>0.48276880193363958</c:v>
                </c:pt>
                <c:pt idx="6">
                  <c:v>0.48276880193363958</c:v>
                </c:pt>
                <c:pt idx="7">
                  <c:v>0.48276880193363958</c:v>
                </c:pt>
                <c:pt idx="8">
                  <c:v>0.48276880193363958</c:v>
                </c:pt>
                <c:pt idx="9">
                  <c:v>0.48276880193363958</c:v>
                </c:pt>
                <c:pt idx="10">
                  <c:v>0.48276880193363958</c:v>
                </c:pt>
                <c:pt idx="11">
                  <c:v>0.48276880193363958</c:v>
                </c:pt>
                <c:pt idx="12">
                  <c:v>0.48276880193363958</c:v>
                </c:pt>
                <c:pt idx="13">
                  <c:v>0.48276880193363958</c:v>
                </c:pt>
                <c:pt idx="14">
                  <c:v>0.48276880193363958</c:v>
                </c:pt>
                <c:pt idx="15">
                  <c:v>0.48276880193363958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30976"/>
        <c:axId val="285041216"/>
      </c:lineChart>
      <c:catAx>
        <c:axId val="26643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5041216"/>
        <c:crosses val="autoZero"/>
        <c:auto val="1"/>
        <c:lblAlgn val="ctr"/>
        <c:lblOffset val="100"/>
        <c:noMultiLvlLbl val="0"/>
      </c:catAx>
      <c:valAx>
        <c:axId val="2850412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6430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003328"/>
        <c:axId val="2850435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003328"/>
        <c:axId val="285043520"/>
      </c:lineChart>
      <c:catAx>
        <c:axId val="26000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85043520"/>
        <c:crosses val="autoZero"/>
        <c:auto val="1"/>
        <c:lblAlgn val="ctr"/>
        <c:lblOffset val="100"/>
        <c:noMultiLvlLbl val="0"/>
      </c:catAx>
      <c:valAx>
        <c:axId val="2850435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00033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5210</c:v>
                </c:pt>
                <c:pt idx="3">
                  <c:v>5612</c:v>
                </c:pt>
                <c:pt idx="5">
                  <c:v>5911</c:v>
                </c:pt>
                <c:pt idx="6">
                  <c:v>10474</c:v>
                </c:pt>
                <c:pt idx="7">
                  <c:v>498</c:v>
                </c:pt>
                <c:pt idx="10">
                  <c:v>4187</c:v>
                </c:pt>
                <c:pt idx="11">
                  <c:v>2150</c:v>
                </c:pt>
                <c:pt idx="12">
                  <c:v>5292</c:v>
                </c:pt>
                <c:pt idx="13">
                  <c:v>2582</c:v>
                </c:pt>
                <c:pt idx="14">
                  <c:v>7298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4040</c:v>
                </c:pt>
                <c:pt idx="1">
                  <c:v>5210</c:v>
                </c:pt>
                <c:pt idx="2">
                  <c:v>4070</c:v>
                </c:pt>
                <c:pt idx="3">
                  <c:v>5620</c:v>
                </c:pt>
                <c:pt idx="4">
                  <c:v>2580</c:v>
                </c:pt>
                <c:pt idx="5">
                  <c:v>5911</c:v>
                </c:pt>
                <c:pt idx="6">
                  <c:v>10480</c:v>
                </c:pt>
                <c:pt idx="7">
                  <c:v>500</c:v>
                </c:pt>
                <c:pt idx="8">
                  <c:v>660</c:v>
                </c:pt>
                <c:pt idx="9">
                  <c:v>2811</c:v>
                </c:pt>
                <c:pt idx="10">
                  <c:v>4190</c:v>
                </c:pt>
                <c:pt idx="11">
                  <c:v>2150</c:v>
                </c:pt>
                <c:pt idx="12">
                  <c:v>5300</c:v>
                </c:pt>
                <c:pt idx="13">
                  <c:v>2590</c:v>
                </c:pt>
                <c:pt idx="14">
                  <c:v>7300</c:v>
                </c:pt>
                <c:pt idx="15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216192"/>
        <c:axId val="285046400"/>
      </c:lineChart>
      <c:catAx>
        <c:axId val="254216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5046400"/>
        <c:crosses val="autoZero"/>
        <c:auto val="1"/>
        <c:lblAlgn val="ctr"/>
        <c:lblOffset val="100"/>
        <c:noMultiLvlLbl val="0"/>
      </c:catAx>
      <c:valAx>
        <c:axId val="2850464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4216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0% 100% 0% 100% 0% 100% 96% 17% 0% 0% 87% 50% 46% 58% 67%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0.99857651245551604</c:v>
                </c:pt>
                <c:pt idx="4">
                  <c:v>0</c:v>
                </c:pt>
                <c:pt idx="5">
                  <c:v>1</c:v>
                </c:pt>
                <c:pt idx="6">
                  <c:v>0.95778466921119598</c:v>
                </c:pt>
                <c:pt idx="7">
                  <c:v>0.16599999999999998</c:v>
                </c:pt>
                <c:pt idx="8">
                  <c:v>0</c:v>
                </c:pt>
                <c:pt idx="9">
                  <c:v>0</c:v>
                </c:pt>
                <c:pt idx="10">
                  <c:v>0.87437350835322203</c:v>
                </c:pt>
                <c:pt idx="11">
                  <c:v>0.5</c:v>
                </c:pt>
                <c:pt idx="12">
                  <c:v>0.45764150943396226</c:v>
                </c:pt>
                <c:pt idx="13">
                  <c:v>0.58153153153153159</c:v>
                </c:pt>
                <c:pt idx="14">
                  <c:v>0.66648401826484016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0.48015944995001791</c:v>
                </c:pt>
                <c:pt idx="1">
                  <c:v>0.48015944995001791</c:v>
                </c:pt>
                <c:pt idx="2">
                  <c:v>0.48015944995001791</c:v>
                </c:pt>
                <c:pt idx="3">
                  <c:v>0.48015944995001791</c:v>
                </c:pt>
                <c:pt idx="4">
                  <c:v>0.48015944995001791</c:v>
                </c:pt>
                <c:pt idx="5">
                  <c:v>0.48015944995001791</c:v>
                </c:pt>
                <c:pt idx="6">
                  <c:v>0.48015944995001791</c:v>
                </c:pt>
                <c:pt idx="7">
                  <c:v>0.48015944995001791</c:v>
                </c:pt>
                <c:pt idx="8">
                  <c:v>0.48015944995001791</c:v>
                </c:pt>
                <c:pt idx="9">
                  <c:v>0.48015944995001791</c:v>
                </c:pt>
                <c:pt idx="10">
                  <c:v>0.48015944995001791</c:v>
                </c:pt>
                <c:pt idx="11">
                  <c:v>0.48015944995001791</c:v>
                </c:pt>
                <c:pt idx="12">
                  <c:v>0.48015944995001791</c:v>
                </c:pt>
                <c:pt idx="13">
                  <c:v>0.48015944995001791</c:v>
                </c:pt>
                <c:pt idx="14">
                  <c:v>0.48015944995001791</c:v>
                </c:pt>
                <c:pt idx="15">
                  <c:v>0.48015944995001791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217216"/>
        <c:axId val="285048128"/>
      </c:lineChart>
      <c:catAx>
        <c:axId val="25421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5048128"/>
        <c:crosses val="autoZero"/>
        <c:auto val="1"/>
        <c:lblAlgn val="ctr"/>
        <c:lblOffset val="100"/>
        <c:noMultiLvlLbl val="0"/>
      </c:catAx>
      <c:valAx>
        <c:axId val="285048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4217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5210</c:v>
                </c:pt>
                <c:pt idx="3">
                  <c:v>5612</c:v>
                </c:pt>
                <c:pt idx="5">
                  <c:v>5911</c:v>
                </c:pt>
                <c:pt idx="6">
                  <c:v>10474</c:v>
                </c:pt>
                <c:pt idx="7">
                  <c:v>498</c:v>
                </c:pt>
                <c:pt idx="10">
                  <c:v>4187</c:v>
                </c:pt>
                <c:pt idx="11">
                  <c:v>2150</c:v>
                </c:pt>
                <c:pt idx="12">
                  <c:v>5292</c:v>
                </c:pt>
                <c:pt idx="13">
                  <c:v>2582</c:v>
                </c:pt>
                <c:pt idx="14">
                  <c:v>7298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4040</c:v>
                </c:pt>
                <c:pt idx="1">
                  <c:v>5210</c:v>
                </c:pt>
                <c:pt idx="2">
                  <c:v>4070</c:v>
                </c:pt>
                <c:pt idx="3">
                  <c:v>5620</c:v>
                </c:pt>
                <c:pt idx="4">
                  <c:v>2580</c:v>
                </c:pt>
                <c:pt idx="5">
                  <c:v>5911</c:v>
                </c:pt>
                <c:pt idx="6">
                  <c:v>10480</c:v>
                </c:pt>
                <c:pt idx="7">
                  <c:v>500</c:v>
                </c:pt>
                <c:pt idx="8">
                  <c:v>660</c:v>
                </c:pt>
                <c:pt idx="9">
                  <c:v>2811</c:v>
                </c:pt>
                <c:pt idx="10">
                  <c:v>4190</c:v>
                </c:pt>
                <c:pt idx="11">
                  <c:v>2150</c:v>
                </c:pt>
                <c:pt idx="12">
                  <c:v>5300</c:v>
                </c:pt>
                <c:pt idx="13">
                  <c:v>2590</c:v>
                </c:pt>
                <c:pt idx="14">
                  <c:v>7300</c:v>
                </c:pt>
                <c:pt idx="15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271488"/>
        <c:axId val="317499072"/>
      </c:lineChart>
      <c:catAx>
        <c:axId val="2542714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17499072"/>
        <c:crosses val="autoZero"/>
        <c:auto val="1"/>
        <c:lblAlgn val="ctr"/>
        <c:lblOffset val="100"/>
        <c:noMultiLvlLbl val="0"/>
      </c:catAx>
      <c:valAx>
        <c:axId val="3174990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4271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0% 100% 0% 100% 0% 100% 96% 17% 0% 0% 87% 50% 46% 58% 67%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0.99857651245551604</c:v>
                </c:pt>
                <c:pt idx="4">
                  <c:v>0</c:v>
                </c:pt>
                <c:pt idx="5">
                  <c:v>1</c:v>
                </c:pt>
                <c:pt idx="6">
                  <c:v>0.95778466921119598</c:v>
                </c:pt>
                <c:pt idx="7">
                  <c:v>0.16599999999999998</c:v>
                </c:pt>
                <c:pt idx="8">
                  <c:v>0</c:v>
                </c:pt>
                <c:pt idx="9">
                  <c:v>0</c:v>
                </c:pt>
                <c:pt idx="10">
                  <c:v>0.87437350835322203</c:v>
                </c:pt>
                <c:pt idx="11">
                  <c:v>0.5</c:v>
                </c:pt>
                <c:pt idx="12">
                  <c:v>0.45764150943396226</c:v>
                </c:pt>
                <c:pt idx="13">
                  <c:v>0.58153153153153159</c:v>
                </c:pt>
                <c:pt idx="14">
                  <c:v>0.66648401826484016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BODY</c:v>
                </c:pt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F/ADAPTER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0.48015944995001791</c:v>
                </c:pt>
                <c:pt idx="1">
                  <c:v>0.48015944995001791</c:v>
                </c:pt>
                <c:pt idx="2">
                  <c:v>0.48015944995001791</c:v>
                </c:pt>
                <c:pt idx="3">
                  <c:v>0.48015944995001791</c:v>
                </c:pt>
                <c:pt idx="4">
                  <c:v>0.48015944995001791</c:v>
                </c:pt>
                <c:pt idx="5">
                  <c:v>0.48015944995001791</c:v>
                </c:pt>
                <c:pt idx="6">
                  <c:v>0.48015944995001791</c:v>
                </c:pt>
                <c:pt idx="7">
                  <c:v>0.48015944995001791</c:v>
                </c:pt>
                <c:pt idx="8">
                  <c:v>0.48015944995001791</c:v>
                </c:pt>
                <c:pt idx="9">
                  <c:v>0.48015944995001791</c:v>
                </c:pt>
                <c:pt idx="10">
                  <c:v>0.48015944995001791</c:v>
                </c:pt>
                <c:pt idx="11">
                  <c:v>0.48015944995001791</c:v>
                </c:pt>
                <c:pt idx="12">
                  <c:v>0.48015944995001791</c:v>
                </c:pt>
                <c:pt idx="13">
                  <c:v>0.48015944995001791</c:v>
                </c:pt>
                <c:pt idx="14">
                  <c:v>0.48015944995001791</c:v>
                </c:pt>
                <c:pt idx="15">
                  <c:v>0.48015944995001791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272000"/>
        <c:axId val="317500800"/>
      </c:lineChart>
      <c:catAx>
        <c:axId val="25427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17500800"/>
        <c:crosses val="autoZero"/>
        <c:auto val="1"/>
        <c:lblAlgn val="ctr"/>
        <c:lblOffset val="100"/>
        <c:noMultiLvlLbl val="0"/>
      </c:catAx>
      <c:valAx>
        <c:axId val="317500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427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272512"/>
        <c:axId val="3175031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272512"/>
        <c:axId val="317503104"/>
      </c:lineChart>
      <c:catAx>
        <c:axId val="25427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317503104"/>
        <c:crosses val="autoZero"/>
        <c:auto val="1"/>
        <c:lblAlgn val="ctr"/>
        <c:lblOffset val="100"/>
        <c:noMultiLvlLbl val="0"/>
      </c:catAx>
      <c:valAx>
        <c:axId val="3175031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427251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2884</c:v>
                </c:pt>
                <c:pt idx="1">
                  <c:v>5235</c:v>
                </c:pt>
                <c:pt idx="2">
                  <c:v>1139</c:v>
                </c:pt>
                <c:pt idx="3">
                  <c:v>5682</c:v>
                </c:pt>
                <c:pt idx="4">
                  <c:v>7476</c:v>
                </c:pt>
                <c:pt idx="5">
                  <c:v>3074</c:v>
                </c:pt>
                <c:pt idx="6">
                  <c:v>11276</c:v>
                </c:pt>
                <c:pt idx="8">
                  <c:v>813</c:v>
                </c:pt>
                <c:pt idx="10">
                  <c:v>5435</c:v>
                </c:pt>
                <c:pt idx="11">
                  <c:v>12304</c:v>
                </c:pt>
                <c:pt idx="12">
                  <c:v>2051</c:v>
                </c:pt>
                <c:pt idx="13">
                  <c:v>2344</c:v>
                </c:pt>
                <c:pt idx="14">
                  <c:v>9024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2890</c:v>
                </c:pt>
                <c:pt idx="1">
                  <c:v>5240</c:v>
                </c:pt>
                <c:pt idx="2">
                  <c:v>1140</c:v>
                </c:pt>
                <c:pt idx="3">
                  <c:v>5690</c:v>
                </c:pt>
                <c:pt idx="4">
                  <c:v>7480</c:v>
                </c:pt>
                <c:pt idx="5">
                  <c:v>3080</c:v>
                </c:pt>
                <c:pt idx="6">
                  <c:v>11280</c:v>
                </c:pt>
                <c:pt idx="7">
                  <c:v>500</c:v>
                </c:pt>
                <c:pt idx="8">
                  <c:v>820</c:v>
                </c:pt>
                <c:pt idx="9">
                  <c:v>2811</c:v>
                </c:pt>
                <c:pt idx="10">
                  <c:v>5440</c:v>
                </c:pt>
                <c:pt idx="11">
                  <c:v>12310</c:v>
                </c:pt>
                <c:pt idx="12">
                  <c:v>2060</c:v>
                </c:pt>
                <c:pt idx="13">
                  <c:v>2350</c:v>
                </c:pt>
                <c:pt idx="14">
                  <c:v>9030</c:v>
                </c:pt>
                <c:pt idx="15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424576"/>
        <c:axId val="510157376"/>
      </c:lineChart>
      <c:catAx>
        <c:axId val="2544245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0157376"/>
        <c:crosses val="autoZero"/>
        <c:auto val="1"/>
        <c:lblAlgn val="ctr"/>
        <c:lblOffset val="100"/>
        <c:noMultiLvlLbl val="0"/>
      </c:catAx>
      <c:valAx>
        <c:axId val="5101573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442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67% 100% 25% 100% 58% 67% 100% 0% 54% 0% 100% 100% 41% 50%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0.66528258362168391</c:v>
                </c:pt>
                <c:pt idx="1">
                  <c:v>0.99904580152671751</c:v>
                </c:pt>
                <c:pt idx="2">
                  <c:v>0.24978070175438596</c:v>
                </c:pt>
                <c:pt idx="3">
                  <c:v>0.99859402460456947</c:v>
                </c:pt>
                <c:pt idx="4">
                  <c:v>0.58302139037433165</c:v>
                </c:pt>
                <c:pt idx="5">
                  <c:v>0.66536796536796539</c:v>
                </c:pt>
                <c:pt idx="6">
                  <c:v>0.99964539007092201</c:v>
                </c:pt>
                <c:pt idx="7">
                  <c:v>0</c:v>
                </c:pt>
                <c:pt idx="8">
                  <c:v>0.53704268292682922</c:v>
                </c:pt>
                <c:pt idx="9">
                  <c:v>0</c:v>
                </c:pt>
                <c:pt idx="10">
                  <c:v>0.99908088235294112</c:v>
                </c:pt>
                <c:pt idx="11">
                  <c:v>0.99951259138911452</c:v>
                </c:pt>
                <c:pt idx="12">
                  <c:v>0.41484627831715215</c:v>
                </c:pt>
                <c:pt idx="13">
                  <c:v>0.49872340425531914</c:v>
                </c:pt>
                <c:pt idx="14">
                  <c:v>0.83277962347729795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0.62951488800261546</c:v>
                </c:pt>
                <c:pt idx="1">
                  <c:v>0.62951488800261546</c:v>
                </c:pt>
                <c:pt idx="2">
                  <c:v>0.62951488800261546</c:v>
                </c:pt>
                <c:pt idx="3">
                  <c:v>0.62951488800261546</c:v>
                </c:pt>
                <c:pt idx="4">
                  <c:v>0.62951488800261546</c:v>
                </c:pt>
                <c:pt idx="5">
                  <c:v>0.62951488800261546</c:v>
                </c:pt>
                <c:pt idx="6">
                  <c:v>0.62951488800261546</c:v>
                </c:pt>
                <c:pt idx="7">
                  <c:v>0.62951488800261546</c:v>
                </c:pt>
                <c:pt idx="8">
                  <c:v>0.62951488800261546</c:v>
                </c:pt>
                <c:pt idx="9">
                  <c:v>0.62951488800261546</c:v>
                </c:pt>
                <c:pt idx="10">
                  <c:v>0.62951488800261546</c:v>
                </c:pt>
                <c:pt idx="11">
                  <c:v>0.62951488800261546</c:v>
                </c:pt>
                <c:pt idx="12">
                  <c:v>0.62951488800261546</c:v>
                </c:pt>
                <c:pt idx="13">
                  <c:v>0.62951488800261546</c:v>
                </c:pt>
                <c:pt idx="14">
                  <c:v>0.62951488800261546</c:v>
                </c:pt>
                <c:pt idx="15">
                  <c:v>0.62951488800261546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425600"/>
        <c:axId val="510159104"/>
      </c:lineChart>
      <c:catAx>
        <c:axId val="25442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0159104"/>
        <c:crosses val="autoZero"/>
        <c:auto val="1"/>
        <c:lblAlgn val="ctr"/>
        <c:lblOffset val="100"/>
        <c:noMultiLvlLbl val="0"/>
      </c:catAx>
      <c:valAx>
        <c:axId val="5101591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442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2884</c:v>
                </c:pt>
                <c:pt idx="1">
                  <c:v>5235</c:v>
                </c:pt>
                <c:pt idx="2">
                  <c:v>1139</c:v>
                </c:pt>
                <c:pt idx="3">
                  <c:v>5682</c:v>
                </c:pt>
                <c:pt idx="4">
                  <c:v>7476</c:v>
                </c:pt>
                <c:pt idx="5">
                  <c:v>3074</c:v>
                </c:pt>
                <c:pt idx="6">
                  <c:v>11276</c:v>
                </c:pt>
                <c:pt idx="8">
                  <c:v>813</c:v>
                </c:pt>
                <c:pt idx="10">
                  <c:v>5435</c:v>
                </c:pt>
                <c:pt idx="11">
                  <c:v>12304</c:v>
                </c:pt>
                <c:pt idx="12">
                  <c:v>2051</c:v>
                </c:pt>
                <c:pt idx="13">
                  <c:v>2344</c:v>
                </c:pt>
                <c:pt idx="14">
                  <c:v>9024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2890</c:v>
                </c:pt>
                <c:pt idx="1">
                  <c:v>5240</c:v>
                </c:pt>
                <c:pt idx="2">
                  <c:v>1140</c:v>
                </c:pt>
                <c:pt idx="3">
                  <c:v>5690</c:v>
                </c:pt>
                <c:pt idx="4">
                  <c:v>7480</c:v>
                </c:pt>
                <c:pt idx="5">
                  <c:v>3080</c:v>
                </c:pt>
                <c:pt idx="6">
                  <c:v>11280</c:v>
                </c:pt>
                <c:pt idx="7">
                  <c:v>500</c:v>
                </c:pt>
                <c:pt idx="8">
                  <c:v>820</c:v>
                </c:pt>
                <c:pt idx="9">
                  <c:v>2811</c:v>
                </c:pt>
                <c:pt idx="10">
                  <c:v>5440</c:v>
                </c:pt>
                <c:pt idx="11">
                  <c:v>12310</c:v>
                </c:pt>
                <c:pt idx="12">
                  <c:v>2060</c:v>
                </c:pt>
                <c:pt idx="13">
                  <c:v>2350</c:v>
                </c:pt>
                <c:pt idx="14">
                  <c:v>9030</c:v>
                </c:pt>
                <c:pt idx="15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631936"/>
        <c:axId val="510161408"/>
      </c:lineChart>
      <c:catAx>
        <c:axId val="2546319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0161408"/>
        <c:crosses val="autoZero"/>
        <c:auto val="1"/>
        <c:lblAlgn val="ctr"/>
        <c:lblOffset val="100"/>
        <c:noMultiLvlLbl val="0"/>
      </c:catAx>
      <c:valAx>
        <c:axId val="5101614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4631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67% 100% 25% 100% 58% 67% 100% 0% 54% 0% 100% 100% 41% 50%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0.66528258362168391</c:v>
                </c:pt>
                <c:pt idx="1">
                  <c:v>0.99904580152671751</c:v>
                </c:pt>
                <c:pt idx="2">
                  <c:v>0.24978070175438596</c:v>
                </c:pt>
                <c:pt idx="3">
                  <c:v>0.99859402460456947</c:v>
                </c:pt>
                <c:pt idx="4">
                  <c:v>0.58302139037433165</c:v>
                </c:pt>
                <c:pt idx="5">
                  <c:v>0.66536796536796539</c:v>
                </c:pt>
                <c:pt idx="6">
                  <c:v>0.99964539007092201</c:v>
                </c:pt>
                <c:pt idx="7">
                  <c:v>0</c:v>
                </c:pt>
                <c:pt idx="8">
                  <c:v>0.53704268292682922</c:v>
                </c:pt>
                <c:pt idx="9">
                  <c:v>0</c:v>
                </c:pt>
                <c:pt idx="10">
                  <c:v>0.99908088235294112</c:v>
                </c:pt>
                <c:pt idx="11">
                  <c:v>0.99951259138911452</c:v>
                </c:pt>
                <c:pt idx="12">
                  <c:v>0.41484627831715215</c:v>
                </c:pt>
                <c:pt idx="13">
                  <c:v>0.49872340425531914</c:v>
                </c:pt>
                <c:pt idx="14">
                  <c:v>0.83277962347729795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5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6V</c:v>
                </c:pt>
                <c:pt idx="5">
                  <c:v>SLIDER</c:v>
                </c:pt>
                <c:pt idx="6">
                  <c:v>LEAD GUIDE</c:v>
                </c:pt>
                <c:pt idx="7">
                  <c:v>CONTACTOR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LATCH PLATE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0.62951488800261546</c:v>
                </c:pt>
                <c:pt idx="1">
                  <c:v>0.62951488800261546</c:v>
                </c:pt>
                <c:pt idx="2">
                  <c:v>0.62951488800261546</c:v>
                </c:pt>
                <c:pt idx="3">
                  <c:v>0.62951488800261546</c:v>
                </c:pt>
                <c:pt idx="4">
                  <c:v>0.62951488800261546</c:v>
                </c:pt>
                <c:pt idx="5">
                  <c:v>0.62951488800261546</c:v>
                </c:pt>
                <c:pt idx="6">
                  <c:v>0.62951488800261546</c:v>
                </c:pt>
                <c:pt idx="7">
                  <c:v>0.62951488800261546</c:v>
                </c:pt>
                <c:pt idx="8">
                  <c:v>0.62951488800261546</c:v>
                </c:pt>
                <c:pt idx="9">
                  <c:v>0.62951488800261546</c:v>
                </c:pt>
                <c:pt idx="10">
                  <c:v>0.62951488800261546</c:v>
                </c:pt>
                <c:pt idx="11">
                  <c:v>0.62951488800261546</c:v>
                </c:pt>
                <c:pt idx="12">
                  <c:v>0.62951488800261546</c:v>
                </c:pt>
                <c:pt idx="13">
                  <c:v>0.62951488800261546</c:v>
                </c:pt>
                <c:pt idx="14">
                  <c:v>0.62951488800261546</c:v>
                </c:pt>
                <c:pt idx="15">
                  <c:v>0.62951488800261546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633472"/>
        <c:axId val="510163136"/>
      </c:lineChart>
      <c:catAx>
        <c:axId val="25463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0163136"/>
        <c:crosses val="autoZero"/>
        <c:auto val="1"/>
        <c:lblAlgn val="ctr"/>
        <c:lblOffset val="100"/>
        <c:noMultiLvlLbl val="0"/>
      </c:catAx>
      <c:valAx>
        <c:axId val="5101631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4633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633984"/>
        <c:axId val="51661267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633984"/>
        <c:axId val="516612672"/>
      </c:lineChart>
      <c:catAx>
        <c:axId val="25463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516612672"/>
        <c:crosses val="autoZero"/>
        <c:auto val="1"/>
        <c:lblAlgn val="ctr"/>
        <c:lblOffset val="100"/>
        <c:noMultiLvlLbl val="0"/>
      </c:catAx>
      <c:valAx>
        <c:axId val="5166126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46339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0">
                  <c:v>4362</c:v>
                </c:pt>
                <c:pt idx="1">
                  <c:v>5386</c:v>
                </c:pt>
                <c:pt idx="3">
                  <c:v>5415</c:v>
                </c:pt>
                <c:pt idx="4">
                  <c:v>19144</c:v>
                </c:pt>
                <c:pt idx="5">
                  <c:v>5975</c:v>
                </c:pt>
                <c:pt idx="6">
                  <c:v>10964</c:v>
                </c:pt>
                <c:pt idx="7">
                  <c:v>7746</c:v>
                </c:pt>
                <c:pt idx="10">
                  <c:v>4621</c:v>
                </c:pt>
                <c:pt idx="11">
                  <c:v>13270</c:v>
                </c:pt>
                <c:pt idx="12">
                  <c:v>5089</c:v>
                </c:pt>
                <c:pt idx="13">
                  <c:v>7902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5390</c:v>
                </c:pt>
                <c:pt idx="2">
                  <c:v>1140</c:v>
                </c:pt>
                <c:pt idx="3">
                  <c:v>5420</c:v>
                </c:pt>
                <c:pt idx="4">
                  <c:v>19150</c:v>
                </c:pt>
                <c:pt idx="5">
                  <c:v>5980</c:v>
                </c:pt>
                <c:pt idx="6">
                  <c:v>10970</c:v>
                </c:pt>
                <c:pt idx="7">
                  <c:v>7750</c:v>
                </c:pt>
                <c:pt idx="8">
                  <c:v>820</c:v>
                </c:pt>
                <c:pt idx="9">
                  <c:v>2811</c:v>
                </c:pt>
                <c:pt idx="10">
                  <c:v>4630</c:v>
                </c:pt>
                <c:pt idx="11">
                  <c:v>13270</c:v>
                </c:pt>
                <c:pt idx="12">
                  <c:v>5090</c:v>
                </c:pt>
                <c:pt idx="13">
                  <c:v>7910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157760"/>
        <c:axId val="516615552"/>
      </c:lineChart>
      <c:catAx>
        <c:axId val="2551577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6615552"/>
        <c:crosses val="autoZero"/>
        <c:auto val="1"/>
        <c:lblAlgn val="ctr"/>
        <c:lblOffset val="100"/>
        <c:noMultiLvlLbl val="0"/>
      </c:catAx>
      <c:valAx>
        <c:axId val="5166155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515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100% 92% 0% 100% 83% 67% 100% 83% 0% 0% 83% 100% 100% 75%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0.99816933638443939</c:v>
                </c:pt>
                <c:pt idx="1">
                  <c:v>0.91598639455782316</c:v>
                </c:pt>
                <c:pt idx="2">
                  <c:v>0</c:v>
                </c:pt>
                <c:pt idx="3">
                  <c:v>0.99907749077490771</c:v>
                </c:pt>
                <c:pt idx="4">
                  <c:v>0.83307223672758923</c:v>
                </c:pt>
                <c:pt idx="5">
                  <c:v>0.66610925306577473</c:v>
                </c:pt>
                <c:pt idx="6">
                  <c:v>0.99945305378304472</c:v>
                </c:pt>
                <c:pt idx="7">
                  <c:v>0.83290322580645171</c:v>
                </c:pt>
                <c:pt idx="8">
                  <c:v>0</c:v>
                </c:pt>
                <c:pt idx="9">
                  <c:v>0</c:v>
                </c:pt>
                <c:pt idx="10">
                  <c:v>0.83171346292296622</c:v>
                </c:pt>
                <c:pt idx="11">
                  <c:v>1</c:v>
                </c:pt>
                <c:pt idx="12">
                  <c:v>0.99980353634577601</c:v>
                </c:pt>
                <c:pt idx="13">
                  <c:v>0.74924146649810364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0.6550352971244584</c:v>
                </c:pt>
                <c:pt idx="1">
                  <c:v>0.6550352971244584</c:v>
                </c:pt>
                <c:pt idx="2">
                  <c:v>0.6550352971244584</c:v>
                </c:pt>
                <c:pt idx="3">
                  <c:v>0.6550352971244584</c:v>
                </c:pt>
                <c:pt idx="4">
                  <c:v>0.6550352971244584</c:v>
                </c:pt>
                <c:pt idx="5">
                  <c:v>0.6550352971244584</c:v>
                </c:pt>
                <c:pt idx="6">
                  <c:v>0.6550352971244584</c:v>
                </c:pt>
                <c:pt idx="7">
                  <c:v>0.6550352971244584</c:v>
                </c:pt>
                <c:pt idx="8">
                  <c:v>0.6550352971244584</c:v>
                </c:pt>
                <c:pt idx="9">
                  <c:v>0.6550352971244584</c:v>
                </c:pt>
                <c:pt idx="10">
                  <c:v>0.6550352971244584</c:v>
                </c:pt>
                <c:pt idx="11">
                  <c:v>0.6550352971244584</c:v>
                </c:pt>
                <c:pt idx="12">
                  <c:v>0.6550352971244584</c:v>
                </c:pt>
                <c:pt idx="13">
                  <c:v>0.6550352971244584</c:v>
                </c:pt>
                <c:pt idx="14">
                  <c:v>0.6550352971244584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159808"/>
        <c:axId val="516617280"/>
      </c:lineChart>
      <c:catAx>
        <c:axId val="25515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6617280"/>
        <c:crosses val="autoZero"/>
        <c:auto val="1"/>
        <c:lblAlgn val="ctr"/>
        <c:lblOffset val="100"/>
        <c:noMultiLvlLbl val="0"/>
      </c:catAx>
      <c:valAx>
        <c:axId val="5166172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5159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0">
                  <c:v>4362</c:v>
                </c:pt>
                <c:pt idx="1">
                  <c:v>5386</c:v>
                </c:pt>
                <c:pt idx="3">
                  <c:v>5415</c:v>
                </c:pt>
                <c:pt idx="4">
                  <c:v>19144</c:v>
                </c:pt>
                <c:pt idx="5">
                  <c:v>5975</c:v>
                </c:pt>
                <c:pt idx="6">
                  <c:v>10964</c:v>
                </c:pt>
                <c:pt idx="7">
                  <c:v>7746</c:v>
                </c:pt>
                <c:pt idx="10">
                  <c:v>4621</c:v>
                </c:pt>
                <c:pt idx="11">
                  <c:v>13270</c:v>
                </c:pt>
                <c:pt idx="12">
                  <c:v>5089</c:v>
                </c:pt>
                <c:pt idx="13">
                  <c:v>7902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5390</c:v>
                </c:pt>
                <c:pt idx="2">
                  <c:v>1140</c:v>
                </c:pt>
                <c:pt idx="3">
                  <c:v>5420</c:v>
                </c:pt>
                <c:pt idx="4">
                  <c:v>19150</c:v>
                </c:pt>
                <c:pt idx="5">
                  <c:v>5980</c:v>
                </c:pt>
                <c:pt idx="6">
                  <c:v>10970</c:v>
                </c:pt>
                <c:pt idx="7">
                  <c:v>7750</c:v>
                </c:pt>
                <c:pt idx="8">
                  <c:v>820</c:v>
                </c:pt>
                <c:pt idx="9">
                  <c:v>2811</c:v>
                </c:pt>
                <c:pt idx="10">
                  <c:v>4630</c:v>
                </c:pt>
                <c:pt idx="11">
                  <c:v>13270</c:v>
                </c:pt>
                <c:pt idx="12">
                  <c:v>5090</c:v>
                </c:pt>
                <c:pt idx="13">
                  <c:v>7910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188992"/>
        <c:axId val="516619584"/>
      </c:lineChart>
      <c:catAx>
        <c:axId val="255188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6619584"/>
        <c:crosses val="autoZero"/>
        <c:auto val="1"/>
        <c:lblAlgn val="ctr"/>
        <c:lblOffset val="100"/>
        <c:noMultiLvlLbl val="0"/>
      </c:catAx>
      <c:valAx>
        <c:axId val="5166195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5188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100% 92% 0% 100% 83% 67% 100% 83% 0% 0% 83% 100% 100% 75%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0.99816933638443939</c:v>
                </c:pt>
                <c:pt idx="1">
                  <c:v>0.91598639455782316</c:v>
                </c:pt>
                <c:pt idx="2">
                  <c:v>0</c:v>
                </c:pt>
                <c:pt idx="3">
                  <c:v>0.99907749077490771</c:v>
                </c:pt>
                <c:pt idx="4">
                  <c:v>0.83307223672758923</c:v>
                </c:pt>
                <c:pt idx="5">
                  <c:v>0.66610925306577473</c:v>
                </c:pt>
                <c:pt idx="6">
                  <c:v>0.99945305378304472</c:v>
                </c:pt>
                <c:pt idx="7">
                  <c:v>0.83290322580645171</c:v>
                </c:pt>
                <c:pt idx="8">
                  <c:v>0</c:v>
                </c:pt>
                <c:pt idx="9">
                  <c:v>0</c:v>
                </c:pt>
                <c:pt idx="10">
                  <c:v>0.83171346292296622</c:v>
                </c:pt>
                <c:pt idx="11">
                  <c:v>1</c:v>
                </c:pt>
                <c:pt idx="12">
                  <c:v>0.99980353634577601</c:v>
                </c:pt>
                <c:pt idx="13">
                  <c:v>0.74924146649810364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4LEAD</c:v>
                </c:pt>
                <c:pt idx="4">
                  <c:v>LED A</c:v>
                </c:pt>
                <c:pt idx="5">
                  <c:v>SLIDER</c:v>
                </c:pt>
                <c:pt idx="6">
                  <c:v>LEAD GUIDE</c:v>
                </c:pt>
                <c:pt idx="7">
                  <c:v>ADAPTER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LATCH PLATE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0.6550352971244584</c:v>
                </c:pt>
                <c:pt idx="1">
                  <c:v>0.6550352971244584</c:v>
                </c:pt>
                <c:pt idx="2">
                  <c:v>0.6550352971244584</c:v>
                </c:pt>
                <c:pt idx="3">
                  <c:v>0.6550352971244584</c:v>
                </c:pt>
                <c:pt idx="4">
                  <c:v>0.6550352971244584</c:v>
                </c:pt>
                <c:pt idx="5">
                  <c:v>0.6550352971244584</c:v>
                </c:pt>
                <c:pt idx="6">
                  <c:v>0.6550352971244584</c:v>
                </c:pt>
                <c:pt idx="7">
                  <c:v>0.6550352971244584</c:v>
                </c:pt>
                <c:pt idx="8">
                  <c:v>0.6550352971244584</c:v>
                </c:pt>
                <c:pt idx="9">
                  <c:v>0.6550352971244584</c:v>
                </c:pt>
                <c:pt idx="10">
                  <c:v>0.6550352971244584</c:v>
                </c:pt>
                <c:pt idx="11">
                  <c:v>0.6550352971244584</c:v>
                </c:pt>
                <c:pt idx="12">
                  <c:v>0.6550352971244584</c:v>
                </c:pt>
                <c:pt idx="13">
                  <c:v>0.6550352971244584</c:v>
                </c:pt>
                <c:pt idx="14">
                  <c:v>0.6550352971244584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190528"/>
        <c:axId val="620921984"/>
      </c:lineChart>
      <c:catAx>
        <c:axId val="25519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20921984"/>
        <c:crosses val="autoZero"/>
        <c:auto val="1"/>
        <c:lblAlgn val="ctr"/>
        <c:lblOffset val="100"/>
        <c:noMultiLvlLbl val="0"/>
      </c:catAx>
      <c:valAx>
        <c:axId val="6209219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5190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191040"/>
        <c:axId val="62092428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191040"/>
        <c:axId val="620924288"/>
      </c:lineChart>
      <c:catAx>
        <c:axId val="25519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620924288"/>
        <c:crosses val="autoZero"/>
        <c:auto val="1"/>
        <c:lblAlgn val="ctr"/>
        <c:lblOffset val="100"/>
        <c:noMultiLvlLbl val="0"/>
      </c:catAx>
      <c:valAx>
        <c:axId val="6209242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51910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1503</c:v>
                </c:pt>
                <c:pt idx="2">
                  <c:v>6252</c:v>
                </c:pt>
                <c:pt idx="4">
                  <c:v>19040</c:v>
                </c:pt>
                <c:pt idx="5">
                  <c:v>5414</c:v>
                </c:pt>
                <c:pt idx="6">
                  <c:v>1307</c:v>
                </c:pt>
                <c:pt idx="7">
                  <c:v>1096</c:v>
                </c:pt>
                <c:pt idx="10">
                  <c:v>3330</c:v>
                </c:pt>
                <c:pt idx="11">
                  <c:v>10530</c:v>
                </c:pt>
                <c:pt idx="12">
                  <c:v>2611</c:v>
                </c:pt>
                <c:pt idx="13">
                  <c:v>4732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6260</c:v>
                </c:pt>
                <c:pt idx="3">
                  <c:v>5420</c:v>
                </c:pt>
                <c:pt idx="4">
                  <c:v>19040</c:v>
                </c:pt>
                <c:pt idx="5">
                  <c:v>5420</c:v>
                </c:pt>
                <c:pt idx="6">
                  <c:v>1310</c:v>
                </c:pt>
                <c:pt idx="7">
                  <c:v>1100</c:v>
                </c:pt>
                <c:pt idx="8">
                  <c:v>820</c:v>
                </c:pt>
                <c:pt idx="9">
                  <c:v>2811</c:v>
                </c:pt>
                <c:pt idx="10">
                  <c:v>3330</c:v>
                </c:pt>
                <c:pt idx="11">
                  <c:v>10530</c:v>
                </c:pt>
                <c:pt idx="12">
                  <c:v>2620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981568"/>
        <c:axId val="620927168"/>
      </c:lineChart>
      <c:catAx>
        <c:axId val="2559815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20927168"/>
        <c:crosses val="autoZero"/>
        <c:auto val="1"/>
        <c:lblAlgn val="ctr"/>
        <c:lblOffset val="100"/>
        <c:noMultiLvlLbl val="0"/>
      </c:catAx>
      <c:valAx>
        <c:axId val="62092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598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37% 79% 0% 92% 100% 42% 71% 0% 0% 83% 100% 71%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0.37326158940397353</c:v>
                </c:pt>
                <c:pt idx="2">
                  <c:v>0.79065495207667724</c:v>
                </c:pt>
                <c:pt idx="3">
                  <c:v>0</c:v>
                </c:pt>
                <c:pt idx="4">
                  <c:v>0.91666666666666663</c:v>
                </c:pt>
                <c:pt idx="5">
                  <c:v>0.99889298892988931</c:v>
                </c:pt>
                <c:pt idx="6">
                  <c:v>0.41571246819338425</c:v>
                </c:pt>
                <c:pt idx="7">
                  <c:v>0.70575757575757581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1</c:v>
                </c:pt>
                <c:pt idx="12">
                  <c:v>0.70590012722646311</c:v>
                </c:pt>
                <c:pt idx="13">
                  <c:v>0.83192686357243317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0.50480710434402642</c:v>
                </c:pt>
                <c:pt idx="1">
                  <c:v>0.50480710434402642</c:v>
                </c:pt>
                <c:pt idx="2">
                  <c:v>0.50480710434402642</c:v>
                </c:pt>
                <c:pt idx="3">
                  <c:v>0.50480710434402642</c:v>
                </c:pt>
                <c:pt idx="4">
                  <c:v>0.50480710434402642</c:v>
                </c:pt>
                <c:pt idx="5">
                  <c:v>0.50480710434402642</c:v>
                </c:pt>
                <c:pt idx="6">
                  <c:v>0.50480710434402642</c:v>
                </c:pt>
                <c:pt idx="7">
                  <c:v>0.50480710434402642</c:v>
                </c:pt>
                <c:pt idx="8">
                  <c:v>0.50480710434402642</c:v>
                </c:pt>
                <c:pt idx="9">
                  <c:v>0.50480710434402642</c:v>
                </c:pt>
                <c:pt idx="10">
                  <c:v>0.50480710434402642</c:v>
                </c:pt>
                <c:pt idx="11">
                  <c:v>0.50480710434402642</c:v>
                </c:pt>
                <c:pt idx="12">
                  <c:v>0.50480710434402642</c:v>
                </c:pt>
                <c:pt idx="13">
                  <c:v>0.50480710434402642</c:v>
                </c:pt>
                <c:pt idx="14">
                  <c:v>0.50480710434402642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983104"/>
        <c:axId val="637493248"/>
      </c:lineChart>
      <c:catAx>
        <c:axId val="25598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7493248"/>
        <c:crosses val="autoZero"/>
        <c:auto val="1"/>
        <c:lblAlgn val="ctr"/>
        <c:lblOffset val="100"/>
        <c:noMultiLvlLbl val="0"/>
      </c:catAx>
      <c:valAx>
        <c:axId val="637493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5983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1503</c:v>
                </c:pt>
                <c:pt idx="2">
                  <c:v>6252</c:v>
                </c:pt>
                <c:pt idx="4">
                  <c:v>19040</c:v>
                </c:pt>
                <c:pt idx="5">
                  <c:v>5414</c:v>
                </c:pt>
                <c:pt idx="6">
                  <c:v>1307</c:v>
                </c:pt>
                <c:pt idx="7">
                  <c:v>1096</c:v>
                </c:pt>
                <c:pt idx="10">
                  <c:v>3330</c:v>
                </c:pt>
                <c:pt idx="11">
                  <c:v>10530</c:v>
                </c:pt>
                <c:pt idx="12">
                  <c:v>2611</c:v>
                </c:pt>
                <c:pt idx="13">
                  <c:v>4732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6260</c:v>
                </c:pt>
                <c:pt idx="3">
                  <c:v>5420</c:v>
                </c:pt>
                <c:pt idx="4">
                  <c:v>19040</c:v>
                </c:pt>
                <c:pt idx="5">
                  <c:v>5420</c:v>
                </c:pt>
                <c:pt idx="6">
                  <c:v>1310</c:v>
                </c:pt>
                <c:pt idx="7">
                  <c:v>1100</c:v>
                </c:pt>
                <c:pt idx="8">
                  <c:v>820</c:v>
                </c:pt>
                <c:pt idx="9">
                  <c:v>2811</c:v>
                </c:pt>
                <c:pt idx="10">
                  <c:v>3330</c:v>
                </c:pt>
                <c:pt idx="11">
                  <c:v>10530</c:v>
                </c:pt>
                <c:pt idx="12">
                  <c:v>2620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393216"/>
        <c:axId val="637495552"/>
      </c:lineChart>
      <c:catAx>
        <c:axId val="2563932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7495552"/>
        <c:crosses val="autoZero"/>
        <c:auto val="1"/>
        <c:lblAlgn val="ctr"/>
        <c:lblOffset val="100"/>
        <c:noMultiLvlLbl val="0"/>
      </c:catAx>
      <c:valAx>
        <c:axId val="6374955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6393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37% 79% 0% 92% 100% 42% 71% 0% 0% 83% 100% 71%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0.37326158940397353</c:v>
                </c:pt>
                <c:pt idx="2">
                  <c:v>0.79065495207667724</c:v>
                </c:pt>
                <c:pt idx="3">
                  <c:v>0</c:v>
                </c:pt>
                <c:pt idx="4">
                  <c:v>0.91666666666666663</c:v>
                </c:pt>
                <c:pt idx="5">
                  <c:v>0.99889298892988931</c:v>
                </c:pt>
                <c:pt idx="6">
                  <c:v>0.41571246819338425</c:v>
                </c:pt>
                <c:pt idx="7">
                  <c:v>0.70575757575757581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1</c:v>
                </c:pt>
                <c:pt idx="12">
                  <c:v>0.70590012722646311</c:v>
                </c:pt>
                <c:pt idx="13">
                  <c:v>0.83192686357243317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4LEAD</c:v>
                </c:pt>
                <c:pt idx="4">
                  <c:v>LED 24V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0.50480710434402642</c:v>
                </c:pt>
                <c:pt idx="1">
                  <c:v>0.50480710434402642</c:v>
                </c:pt>
                <c:pt idx="2">
                  <c:v>0.50480710434402642</c:v>
                </c:pt>
                <c:pt idx="3">
                  <c:v>0.50480710434402642</c:v>
                </c:pt>
                <c:pt idx="4">
                  <c:v>0.50480710434402642</c:v>
                </c:pt>
                <c:pt idx="5">
                  <c:v>0.50480710434402642</c:v>
                </c:pt>
                <c:pt idx="6">
                  <c:v>0.50480710434402642</c:v>
                </c:pt>
                <c:pt idx="7">
                  <c:v>0.50480710434402642</c:v>
                </c:pt>
                <c:pt idx="8">
                  <c:v>0.50480710434402642</c:v>
                </c:pt>
                <c:pt idx="9">
                  <c:v>0.50480710434402642</c:v>
                </c:pt>
                <c:pt idx="10">
                  <c:v>0.50480710434402642</c:v>
                </c:pt>
                <c:pt idx="11">
                  <c:v>0.50480710434402642</c:v>
                </c:pt>
                <c:pt idx="12">
                  <c:v>0.50480710434402642</c:v>
                </c:pt>
                <c:pt idx="13">
                  <c:v>0.50480710434402642</c:v>
                </c:pt>
                <c:pt idx="14">
                  <c:v>0.50480710434402642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394240"/>
        <c:axId val="637497280"/>
      </c:lineChart>
      <c:catAx>
        <c:axId val="25639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7497280"/>
        <c:crosses val="autoZero"/>
        <c:auto val="1"/>
        <c:lblAlgn val="ctr"/>
        <c:lblOffset val="100"/>
        <c:noMultiLvlLbl val="0"/>
      </c:catAx>
      <c:valAx>
        <c:axId val="6374972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639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191552"/>
        <c:axId val="6374995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191552"/>
        <c:axId val="637499584"/>
      </c:lineChart>
      <c:catAx>
        <c:axId val="25519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637499584"/>
        <c:crosses val="autoZero"/>
        <c:auto val="1"/>
        <c:lblAlgn val="ctr"/>
        <c:lblOffset val="100"/>
        <c:noMultiLvlLbl val="0"/>
      </c:catAx>
      <c:valAx>
        <c:axId val="6374995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51915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3">
                  <c:v>687</c:v>
                </c:pt>
                <c:pt idx="5">
                  <c:v>1770</c:v>
                </c:pt>
                <c:pt idx="6">
                  <c:v>2221</c:v>
                </c:pt>
                <c:pt idx="10">
                  <c:v>4520</c:v>
                </c:pt>
                <c:pt idx="12">
                  <c:v>685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6260</c:v>
                </c:pt>
                <c:pt idx="3">
                  <c:v>5420</c:v>
                </c:pt>
                <c:pt idx="4">
                  <c:v>19040</c:v>
                </c:pt>
                <c:pt idx="5">
                  <c:v>1770</c:v>
                </c:pt>
                <c:pt idx="6">
                  <c:v>2221</c:v>
                </c:pt>
                <c:pt idx="7">
                  <c:v>1100</c:v>
                </c:pt>
                <c:pt idx="8">
                  <c:v>820</c:v>
                </c:pt>
                <c:pt idx="9">
                  <c:v>2811</c:v>
                </c:pt>
                <c:pt idx="10">
                  <c:v>4520</c:v>
                </c:pt>
                <c:pt idx="11">
                  <c:v>10530</c:v>
                </c:pt>
                <c:pt idx="12">
                  <c:v>685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475072"/>
        <c:axId val="284984448"/>
      </c:lineChart>
      <c:catAx>
        <c:axId val="257475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4984448"/>
        <c:crosses val="autoZero"/>
        <c:auto val="1"/>
        <c:lblAlgn val="ctr"/>
        <c:lblOffset val="100"/>
        <c:noMultiLvlLbl val="0"/>
      </c:catAx>
      <c:valAx>
        <c:axId val="2849844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747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0% 0% 2% 0% 42% 50% 0% 0% 0% 96% 0% 17%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2.1125461254612544E-2</c:v>
                </c:pt>
                <c:pt idx="4">
                  <c:v>0</c:v>
                </c:pt>
                <c:pt idx="5">
                  <c:v>0.41666666666666669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0.13751947519475197</c:v>
                </c:pt>
                <c:pt idx="1">
                  <c:v>0.13751947519475197</c:v>
                </c:pt>
                <c:pt idx="2">
                  <c:v>0.13751947519475197</c:v>
                </c:pt>
                <c:pt idx="3">
                  <c:v>0.13751947519475197</c:v>
                </c:pt>
                <c:pt idx="4">
                  <c:v>0.13751947519475197</c:v>
                </c:pt>
                <c:pt idx="5">
                  <c:v>0.13751947519475197</c:v>
                </c:pt>
                <c:pt idx="6">
                  <c:v>0.13751947519475197</c:v>
                </c:pt>
                <c:pt idx="7">
                  <c:v>0.13751947519475197</c:v>
                </c:pt>
                <c:pt idx="8">
                  <c:v>0.13751947519475197</c:v>
                </c:pt>
                <c:pt idx="9">
                  <c:v>0.13751947519475197</c:v>
                </c:pt>
                <c:pt idx="10">
                  <c:v>0.13751947519475197</c:v>
                </c:pt>
                <c:pt idx="11">
                  <c:v>0.13751947519475197</c:v>
                </c:pt>
                <c:pt idx="12">
                  <c:v>0.13751947519475197</c:v>
                </c:pt>
                <c:pt idx="13">
                  <c:v>0.13751947519475197</c:v>
                </c:pt>
                <c:pt idx="14">
                  <c:v>0.13751947519475197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477120"/>
        <c:axId val="284986176"/>
      </c:lineChart>
      <c:catAx>
        <c:axId val="25747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4986176"/>
        <c:crosses val="autoZero"/>
        <c:auto val="1"/>
        <c:lblAlgn val="ctr"/>
        <c:lblOffset val="100"/>
        <c:noMultiLvlLbl val="0"/>
      </c:catAx>
      <c:valAx>
        <c:axId val="2849861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7477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3">
                  <c:v>687</c:v>
                </c:pt>
                <c:pt idx="5">
                  <c:v>1770</c:v>
                </c:pt>
                <c:pt idx="6">
                  <c:v>2221</c:v>
                </c:pt>
                <c:pt idx="10">
                  <c:v>4520</c:v>
                </c:pt>
                <c:pt idx="12">
                  <c:v>685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6260</c:v>
                </c:pt>
                <c:pt idx="3">
                  <c:v>5420</c:v>
                </c:pt>
                <c:pt idx="4">
                  <c:v>19040</c:v>
                </c:pt>
                <c:pt idx="5">
                  <c:v>1770</c:v>
                </c:pt>
                <c:pt idx="6">
                  <c:v>2221</c:v>
                </c:pt>
                <c:pt idx="7">
                  <c:v>1100</c:v>
                </c:pt>
                <c:pt idx="8">
                  <c:v>820</c:v>
                </c:pt>
                <c:pt idx="9">
                  <c:v>2811</c:v>
                </c:pt>
                <c:pt idx="10">
                  <c:v>4520</c:v>
                </c:pt>
                <c:pt idx="11">
                  <c:v>10530</c:v>
                </c:pt>
                <c:pt idx="12">
                  <c:v>685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477632"/>
        <c:axId val="284988480"/>
      </c:lineChart>
      <c:catAx>
        <c:axId val="2574776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4988480"/>
        <c:crosses val="autoZero"/>
        <c:auto val="1"/>
        <c:lblAlgn val="ctr"/>
        <c:lblOffset val="100"/>
        <c:noMultiLvlLbl val="0"/>
      </c:catAx>
      <c:valAx>
        <c:axId val="2849884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7477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0% 0% 2% 0% 42% 50% 0% 0% 0% 96% 0% 17%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2.1125461254612544E-2</c:v>
                </c:pt>
                <c:pt idx="4">
                  <c:v>0</c:v>
                </c:pt>
                <c:pt idx="5">
                  <c:v>0.41666666666666669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1">
                  <c:v>LEAD GUIDE</c:v>
                </c:pt>
                <c:pt idx="2">
                  <c:v>LATCH</c:v>
                </c:pt>
                <c:pt idx="3">
                  <c:v>BODY</c:v>
                </c:pt>
                <c:pt idx="4">
                  <c:v>ADAPTER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0.13751947519475197</c:v>
                </c:pt>
                <c:pt idx="1">
                  <c:v>0.13751947519475197</c:v>
                </c:pt>
                <c:pt idx="2">
                  <c:v>0.13751947519475197</c:v>
                </c:pt>
                <c:pt idx="3">
                  <c:v>0.13751947519475197</c:v>
                </c:pt>
                <c:pt idx="4">
                  <c:v>0.13751947519475197</c:v>
                </c:pt>
                <c:pt idx="5">
                  <c:v>0.13751947519475197</c:v>
                </c:pt>
                <c:pt idx="6">
                  <c:v>0.13751947519475197</c:v>
                </c:pt>
                <c:pt idx="7">
                  <c:v>0.13751947519475197</c:v>
                </c:pt>
                <c:pt idx="8">
                  <c:v>0.13751947519475197</c:v>
                </c:pt>
                <c:pt idx="9">
                  <c:v>0.13751947519475197</c:v>
                </c:pt>
                <c:pt idx="10">
                  <c:v>0.13751947519475197</c:v>
                </c:pt>
                <c:pt idx="11">
                  <c:v>0.13751947519475197</c:v>
                </c:pt>
                <c:pt idx="12">
                  <c:v>0.13751947519475197</c:v>
                </c:pt>
                <c:pt idx="13">
                  <c:v>0.13751947519475197</c:v>
                </c:pt>
                <c:pt idx="14">
                  <c:v>0.13751947519475197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457600"/>
        <c:axId val="284990208"/>
      </c:lineChart>
      <c:catAx>
        <c:axId val="25845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4990208"/>
        <c:crosses val="autoZero"/>
        <c:auto val="1"/>
        <c:lblAlgn val="ctr"/>
        <c:lblOffset val="100"/>
        <c:noMultiLvlLbl val="0"/>
      </c:catAx>
      <c:valAx>
        <c:axId val="2849902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8457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458112"/>
        <c:axId val="2849937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458112"/>
        <c:axId val="284993792"/>
      </c:lineChart>
      <c:catAx>
        <c:axId val="258458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84993792"/>
        <c:crosses val="autoZero"/>
        <c:auto val="1"/>
        <c:lblAlgn val="ctr"/>
        <c:lblOffset val="100"/>
        <c:noMultiLvlLbl val="0"/>
      </c:catAx>
      <c:valAx>
        <c:axId val="2849937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845811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2">
                  <c:v>3234</c:v>
                </c:pt>
                <c:pt idx="3">
                  <c:v>3827</c:v>
                </c:pt>
                <c:pt idx="5">
                  <c:v>4768</c:v>
                </c:pt>
                <c:pt idx="10">
                  <c:v>5370</c:v>
                </c:pt>
                <c:pt idx="12">
                  <c:v>3196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3830</c:v>
                </c:pt>
                <c:pt idx="4">
                  <c:v>19040</c:v>
                </c:pt>
                <c:pt idx="5">
                  <c:v>4770</c:v>
                </c:pt>
                <c:pt idx="6">
                  <c:v>2221</c:v>
                </c:pt>
                <c:pt idx="7">
                  <c:v>1100</c:v>
                </c:pt>
                <c:pt idx="8">
                  <c:v>820</c:v>
                </c:pt>
                <c:pt idx="9">
                  <c:v>2811</c:v>
                </c:pt>
                <c:pt idx="10">
                  <c:v>5370</c:v>
                </c:pt>
                <c:pt idx="11">
                  <c:v>10530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624448"/>
        <c:axId val="284996672"/>
      </c:lineChart>
      <c:catAx>
        <c:axId val="2596244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4996672"/>
        <c:crosses val="autoZero"/>
        <c:auto val="1"/>
        <c:lblAlgn val="ctr"/>
        <c:lblOffset val="100"/>
        <c:noMultiLvlLbl val="0"/>
      </c:catAx>
      <c:valAx>
        <c:axId val="2849966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9624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0% 79% 75% 0% 92% 0% 0% 0% 0% 100% 0% 92%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0.79020061728395052</c:v>
                </c:pt>
                <c:pt idx="3">
                  <c:v>0.74941253263707575</c:v>
                </c:pt>
                <c:pt idx="4">
                  <c:v>0</c:v>
                </c:pt>
                <c:pt idx="5">
                  <c:v>0.91628232005590493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0.91552083333333334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0.29142775355401762</c:v>
                </c:pt>
                <c:pt idx="1">
                  <c:v>0.29142775355401762</c:v>
                </c:pt>
                <c:pt idx="2">
                  <c:v>0.29142775355401762</c:v>
                </c:pt>
                <c:pt idx="3">
                  <c:v>0.29142775355401762</c:v>
                </c:pt>
                <c:pt idx="4">
                  <c:v>0.29142775355401762</c:v>
                </c:pt>
                <c:pt idx="5">
                  <c:v>0.29142775355401762</c:v>
                </c:pt>
                <c:pt idx="6">
                  <c:v>0.29142775355401762</c:v>
                </c:pt>
                <c:pt idx="7">
                  <c:v>0.29142775355401762</c:v>
                </c:pt>
                <c:pt idx="8">
                  <c:v>0.29142775355401762</c:v>
                </c:pt>
                <c:pt idx="9">
                  <c:v>0.29142775355401762</c:v>
                </c:pt>
                <c:pt idx="10">
                  <c:v>0.29142775355401762</c:v>
                </c:pt>
                <c:pt idx="11">
                  <c:v>0.29142775355401762</c:v>
                </c:pt>
                <c:pt idx="12">
                  <c:v>0.29142775355401762</c:v>
                </c:pt>
                <c:pt idx="13">
                  <c:v>0.29142775355401762</c:v>
                </c:pt>
                <c:pt idx="14">
                  <c:v>0.29142775355401762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645952"/>
        <c:axId val="284998400"/>
      </c:lineChart>
      <c:catAx>
        <c:axId val="25964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4998400"/>
        <c:crosses val="autoZero"/>
        <c:auto val="1"/>
        <c:lblAlgn val="ctr"/>
        <c:lblOffset val="100"/>
        <c:noMultiLvlLbl val="0"/>
      </c:catAx>
      <c:valAx>
        <c:axId val="2849984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9645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2">
                  <c:v>3234</c:v>
                </c:pt>
                <c:pt idx="3">
                  <c:v>3827</c:v>
                </c:pt>
                <c:pt idx="5">
                  <c:v>4768</c:v>
                </c:pt>
                <c:pt idx="10">
                  <c:v>5370</c:v>
                </c:pt>
                <c:pt idx="12">
                  <c:v>3196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3830</c:v>
                </c:pt>
                <c:pt idx="4">
                  <c:v>19040</c:v>
                </c:pt>
                <c:pt idx="5">
                  <c:v>4770</c:v>
                </c:pt>
                <c:pt idx="6">
                  <c:v>2221</c:v>
                </c:pt>
                <c:pt idx="7">
                  <c:v>1100</c:v>
                </c:pt>
                <c:pt idx="8">
                  <c:v>820</c:v>
                </c:pt>
                <c:pt idx="9">
                  <c:v>2811</c:v>
                </c:pt>
                <c:pt idx="10">
                  <c:v>5370</c:v>
                </c:pt>
                <c:pt idx="11">
                  <c:v>10530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646976"/>
        <c:axId val="300393600"/>
      </c:lineChart>
      <c:catAx>
        <c:axId val="2596469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0393600"/>
        <c:crosses val="autoZero"/>
        <c:auto val="1"/>
        <c:lblAlgn val="ctr"/>
        <c:lblOffset val="100"/>
        <c:noMultiLvlLbl val="0"/>
      </c:catAx>
      <c:valAx>
        <c:axId val="3003936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9646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0% 79% 75% 0% 92% 0% 0% 0% 0% 100% 0% 92%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0.79020061728395052</c:v>
                </c:pt>
                <c:pt idx="3">
                  <c:v>0.74941253263707575</c:v>
                </c:pt>
                <c:pt idx="4">
                  <c:v>0</c:v>
                </c:pt>
                <c:pt idx="5">
                  <c:v>0.91628232005590493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0.91552083333333334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0.29142775355401762</c:v>
                </c:pt>
                <c:pt idx="1">
                  <c:v>0.29142775355401762</c:v>
                </c:pt>
                <c:pt idx="2">
                  <c:v>0.29142775355401762</c:v>
                </c:pt>
                <c:pt idx="3">
                  <c:v>0.29142775355401762</c:v>
                </c:pt>
                <c:pt idx="4">
                  <c:v>0.29142775355401762</c:v>
                </c:pt>
                <c:pt idx="5">
                  <c:v>0.29142775355401762</c:v>
                </c:pt>
                <c:pt idx="6">
                  <c:v>0.29142775355401762</c:v>
                </c:pt>
                <c:pt idx="7">
                  <c:v>0.29142775355401762</c:v>
                </c:pt>
                <c:pt idx="8">
                  <c:v>0.29142775355401762</c:v>
                </c:pt>
                <c:pt idx="9">
                  <c:v>0.29142775355401762</c:v>
                </c:pt>
                <c:pt idx="10">
                  <c:v>0.29142775355401762</c:v>
                </c:pt>
                <c:pt idx="11">
                  <c:v>0.29142775355401762</c:v>
                </c:pt>
                <c:pt idx="12">
                  <c:v>0.29142775355401762</c:v>
                </c:pt>
                <c:pt idx="13">
                  <c:v>0.29142775355401762</c:v>
                </c:pt>
                <c:pt idx="14">
                  <c:v>0.29142775355401762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647488"/>
        <c:axId val="300395328"/>
      </c:lineChart>
      <c:catAx>
        <c:axId val="25964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0395328"/>
        <c:crosses val="autoZero"/>
        <c:auto val="1"/>
        <c:lblAlgn val="ctr"/>
        <c:lblOffset val="100"/>
        <c:noMultiLvlLbl val="0"/>
      </c:catAx>
      <c:valAx>
        <c:axId val="3003953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9647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648000"/>
        <c:axId val="3003976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648000"/>
        <c:axId val="300397632"/>
      </c:lineChart>
      <c:catAx>
        <c:axId val="259648000"/>
        <c:scaling>
          <c:orientation val="minMax"/>
        </c:scaling>
        <c:delete val="0"/>
        <c:axPos val="b"/>
        <c:majorTickMark val="out"/>
        <c:minorTickMark val="none"/>
        <c:tickLblPos val="nextTo"/>
        <c:crossAx val="300397632"/>
        <c:crosses val="autoZero"/>
        <c:auto val="1"/>
        <c:lblAlgn val="ctr"/>
        <c:lblOffset val="100"/>
        <c:noMultiLvlLbl val="0"/>
      </c:catAx>
      <c:valAx>
        <c:axId val="3003976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96480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3">
                  <c:v>380</c:v>
                </c:pt>
                <c:pt idx="4">
                  <c:v>3769</c:v>
                </c:pt>
                <c:pt idx="5">
                  <c:v>3998</c:v>
                </c:pt>
                <c:pt idx="8">
                  <c:v>342</c:v>
                </c:pt>
                <c:pt idx="10">
                  <c:v>3235</c:v>
                </c:pt>
                <c:pt idx="11">
                  <c:v>10654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4000</c:v>
                </c:pt>
                <c:pt idx="6">
                  <c:v>2221</c:v>
                </c:pt>
                <c:pt idx="7">
                  <c:v>1100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10660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46688"/>
        <c:axId val="354975744"/>
      </c:lineChart>
      <c:catAx>
        <c:axId val="2601466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54975744"/>
        <c:crosses val="autoZero"/>
        <c:auto val="1"/>
        <c:lblAlgn val="ctr"/>
        <c:lblOffset val="100"/>
        <c:noMultiLvlLbl val="0"/>
      </c:catAx>
      <c:valAx>
        <c:axId val="3549757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0146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0% 17% 83% 92% 0% 0% 33% 0% 79% 92%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0.83311229000884179</c:v>
                </c:pt>
                <c:pt idx="5">
                  <c:v>0.91620833333333329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0.79044495884773658</c:v>
                </c:pt>
                <c:pt idx="11">
                  <c:v>0.91615071919949975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0.26372775342596078</c:v>
                </c:pt>
                <c:pt idx="1">
                  <c:v>0.26372775342596078</c:v>
                </c:pt>
                <c:pt idx="2">
                  <c:v>0.26372775342596078</c:v>
                </c:pt>
                <c:pt idx="3">
                  <c:v>0.26372775342596078</c:v>
                </c:pt>
                <c:pt idx="4">
                  <c:v>0.26372775342596078</c:v>
                </c:pt>
                <c:pt idx="5">
                  <c:v>0.26372775342596078</c:v>
                </c:pt>
                <c:pt idx="6">
                  <c:v>0.26372775342596078</c:v>
                </c:pt>
                <c:pt idx="7">
                  <c:v>0.26372775342596078</c:v>
                </c:pt>
                <c:pt idx="8">
                  <c:v>0.26372775342596078</c:v>
                </c:pt>
                <c:pt idx="9">
                  <c:v>0.26372775342596078</c:v>
                </c:pt>
                <c:pt idx="10">
                  <c:v>0.26372775342596078</c:v>
                </c:pt>
                <c:pt idx="11">
                  <c:v>0.26372775342596078</c:v>
                </c:pt>
                <c:pt idx="12">
                  <c:v>0.26372775342596078</c:v>
                </c:pt>
                <c:pt idx="13">
                  <c:v>0.26372775342596078</c:v>
                </c:pt>
                <c:pt idx="14">
                  <c:v>0.26372775342596078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48736"/>
        <c:axId val="354977472"/>
      </c:lineChart>
      <c:catAx>
        <c:axId val="26014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4977472"/>
        <c:crosses val="autoZero"/>
        <c:auto val="1"/>
        <c:lblAlgn val="ctr"/>
        <c:lblOffset val="100"/>
        <c:noMultiLvlLbl val="0"/>
      </c:catAx>
      <c:valAx>
        <c:axId val="354977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0148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3">
                  <c:v>380</c:v>
                </c:pt>
                <c:pt idx="4">
                  <c:v>3769</c:v>
                </c:pt>
                <c:pt idx="5">
                  <c:v>3998</c:v>
                </c:pt>
                <c:pt idx="8">
                  <c:v>342</c:v>
                </c:pt>
                <c:pt idx="10">
                  <c:v>3235</c:v>
                </c:pt>
                <c:pt idx="11">
                  <c:v>10654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4000</c:v>
                </c:pt>
                <c:pt idx="6">
                  <c:v>2221</c:v>
                </c:pt>
                <c:pt idx="7">
                  <c:v>1100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10660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02208"/>
        <c:axId val="354979776"/>
      </c:lineChart>
      <c:catAx>
        <c:axId val="2607022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54979776"/>
        <c:crosses val="autoZero"/>
        <c:auto val="1"/>
        <c:lblAlgn val="ctr"/>
        <c:lblOffset val="100"/>
        <c:noMultiLvlLbl val="0"/>
      </c:catAx>
      <c:valAx>
        <c:axId val="3549797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0702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0% 17% 83% 92% 0% 0% 33% 0% 79% 92%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0.83311229000884179</c:v>
                </c:pt>
                <c:pt idx="5">
                  <c:v>0.91620833333333329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0.79044495884773658</c:v>
                </c:pt>
                <c:pt idx="11">
                  <c:v>0.91615071919949975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GUIDE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0.26372775342596078</c:v>
                </c:pt>
                <c:pt idx="1">
                  <c:v>0.26372775342596078</c:v>
                </c:pt>
                <c:pt idx="2">
                  <c:v>0.26372775342596078</c:v>
                </c:pt>
                <c:pt idx="3">
                  <c:v>0.26372775342596078</c:v>
                </c:pt>
                <c:pt idx="4">
                  <c:v>0.26372775342596078</c:v>
                </c:pt>
                <c:pt idx="5">
                  <c:v>0.26372775342596078</c:v>
                </c:pt>
                <c:pt idx="6">
                  <c:v>0.26372775342596078</c:v>
                </c:pt>
                <c:pt idx="7">
                  <c:v>0.26372775342596078</c:v>
                </c:pt>
                <c:pt idx="8">
                  <c:v>0.26372775342596078</c:v>
                </c:pt>
                <c:pt idx="9">
                  <c:v>0.26372775342596078</c:v>
                </c:pt>
                <c:pt idx="10">
                  <c:v>0.26372775342596078</c:v>
                </c:pt>
                <c:pt idx="11">
                  <c:v>0.26372775342596078</c:v>
                </c:pt>
                <c:pt idx="12">
                  <c:v>0.26372775342596078</c:v>
                </c:pt>
                <c:pt idx="13">
                  <c:v>0.26372775342596078</c:v>
                </c:pt>
                <c:pt idx="14">
                  <c:v>0.26372775342596078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03744"/>
        <c:axId val="354981504"/>
      </c:lineChart>
      <c:catAx>
        <c:axId val="26070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4981504"/>
        <c:crosses val="autoZero"/>
        <c:auto val="1"/>
        <c:lblAlgn val="ctr"/>
        <c:lblOffset val="100"/>
        <c:noMultiLvlLbl val="0"/>
      </c:catAx>
      <c:valAx>
        <c:axId val="3549815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0703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704256"/>
        <c:axId val="3909877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04256"/>
        <c:axId val="390987776"/>
      </c:lineChart>
      <c:catAx>
        <c:axId val="26070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390987776"/>
        <c:crosses val="autoZero"/>
        <c:auto val="1"/>
        <c:lblAlgn val="ctr"/>
        <c:lblOffset val="100"/>
        <c:noMultiLvlLbl val="0"/>
      </c:catAx>
      <c:valAx>
        <c:axId val="3909877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07042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5">
                  <c:v>1932</c:v>
                </c:pt>
                <c:pt idx="11">
                  <c:v>1160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1932</c:v>
                </c:pt>
                <c:pt idx="6">
                  <c:v>2221</c:v>
                </c:pt>
                <c:pt idx="7">
                  <c:v>1100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1160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142528"/>
        <c:axId val="390990656"/>
      </c:lineChart>
      <c:catAx>
        <c:axId val="261142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0990656"/>
        <c:crosses val="autoZero"/>
        <c:auto val="1"/>
        <c:lblAlgn val="ctr"/>
        <c:lblOffset val="100"/>
        <c:noMultiLvlLbl val="0"/>
      </c:catAx>
      <c:valAx>
        <c:axId val="3909906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114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0% 0% 0% 42% 0% 0% 0% 0% 0% 33%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0.33333333333333331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144064"/>
        <c:axId val="390992384"/>
      </c:lineChart>
      <c:catAx>
        <c:axId val="2611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0992384"/>
        <c:crosses val="autoZero"/>
        <c:auto val="1"/>
        <c:lblAlgn val="ctr"/>
        <c:lblOffset val="100"/>
        <c:noMultiLvlLbl val="0"/>
      </c:catAx>
      <c:valAx>
        <c:axId val="3909923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1144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5">
                  <c:v>1932</c:v>
                </c:pt>
                <c:pt idx="11">
                  <c:v>1160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1932</c:v>
                </c:pt>
                <c:pt idx="6">
                  <c:v>2221</c:v>
                </c:pt>
                <c:pt idx="7">
                  <c:v>1100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1160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201920"/>
        <c:axId val="390994688"/>
      </c:lineChart>
      <c:catAx>
        <c:axId val="2612019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0994688"/>
        <c:crosses val="autoZero"/>
        <c:auto val="1"/>
        <c:lblAlgn val="ctr"/>
        <c:lblOffset val="100"/>
        <c:noMultiLvlLbl val="0"/>
      </c:catAx>
      <c:valAx>
        <c:axId val="3909946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120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0% 0% 0% 42% 0% 0% 0% 0% 0% 33%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0.33333333333333331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202944"/>
        <c:axId val="439837248"/>
      </c:lineChart>
      <c:catAx>
        <c:axId val="26120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39837248"/>
        <c:crosses val="autoZero"/>
        <c:auto val="1"/>
        <c:lblAlgn val="ctr"/>
        <c:lblOffset val="100"/>
        <c:noMultiLvlLbl val="0"/>
      </c:catAx>
      <c:valAx>
        <c:axId val="439837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1202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704768"/>
        <c:axId val="4398395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04768"/>
        <c:axId val="439839552"/>
      </c:lineChart>
      <c:catAx>
        <c:axId val="26070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39839552"/>
        <c:crosses val="autoZero"/>
        <c:auto val="1"/>
        <c:lblAlgn val="ctr"/>
        <c:lblOffset val="100"/>
        <c:noMultiLvlLbl val="0"/>
      </c:catAx>
      <c:valAx>
        <c:axId val="4398395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07047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7">
                  <c:v>1848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1932</c:v>
                </c:pt>
                <c:pt idx="6">
                  <c:v>2221</c:v>
                </c:pt>
                <c:pt idx="7">
                  <c:v>1848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1160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274432"/>
        <c:axId val="439842432"/>
      </c:lineChart>
      <c:catAx>
        <c:axId val="2642744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39842432"/>
        <c:crosses val="autoZero"/>
        <c:auto val="1"/>
        <c:lblAlgn val="ctr"/>
        <c:lblOffset val="100"/>
        <c:noMultiLvlLbl val="0"/>
      </c:catAx>
      <c:valAx>
        <c:axId val="4398424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4274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0% 0% 0% 0% 0% 0% 42% 0% 0% 0%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2.777777777777778E-2</c:v>
                </c:pt>
                <c:pt idx="1">
                  <c:v>2.777777777777778E-2</c:v>
                </c:pt>
                <c:pt idx="2">
                  <c:v>2.777777777777778E-2</c:v>
                </c:pt>
                <c:pt idx="3">
                  <c:v>2.777777777777778E-2</c:v>
                </c:pt>
                <c:pt idx="4">
                  <c:v>2.777777777777778E-2</c:v>
                </c:pt>
                <c:pt idx="5">
                  <c:v>2.777777777777778E-2</c:v>
                </c:pt>
                <c:pt idx="6">
                  <c:v>2.777777777777778E-2</c:v>
                </c:pt>
                <c:pt idx="7">
                  <c:v>2.777777777777778E-2</c:v>
                </c:pt>
                <c:pt idx="8">
                  <c:v>2.777777777777778E-2</c:v>
                </c:pt>
                <c:pt idx="9">
                  <c:v>2.777777777777778E-2</c:v>
                </c:pt>
                <c:pt idx="10">
                  <c:v>2.777777777777778E-2</c:v>
                </c:pt>
                <c:pt idx="11">
                  <c:v>2.777777777777778E-2</c:v>
                </c:pt>
                <c:pt idx="12">
                  <c:v>2.777777777777778E-2</c:v>
                </c:pt>
                <c:pt idx="13">
                  <c:v>2.777777777777778E-2</c:v>
                </c:pt>
                <c:pt idx="14">
                  <c:v>2.777777777777778E-2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276480"/>
        <c:axId val="439844160"/>
      </c:lineChart>
      <c:catAx>
        <c:axId val="26427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39844160"/>
        <c:crosses val="autoZero"/>
        <c:auto val="1"/>
        <c:lblAlgn val="ctr"/>
        <c:lblOffset val="100"/>
        <c:noMultiLvlLbl val="0"/>
      </c:catAx>
      <c:valAx>
        <c:axId val="4398441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4276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7">
                  <c:v>1848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1510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1932</c:v>
                </c:pt>
                <c:pt idx="6">
                  <c:v>2221</c:v>
                </c:pt>
                <c:pt idx="7">
                  <c:v>1848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1160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276992"/>
        <c:axId val="440018624"/>
      </c:lineChart>
      <c:catAx>
        <c:axId val="264276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0018624"/>
        <c:crosses val="autoZero"/>
        <c:auto val="1"/>
        <c:lblAlgn val="ctr"/>
        <c:lblOffset val="100"/>
        <c:noMultiLvlLbl val="0"/>
      </c:catAx>
      <c:valAx>
        <c:axId val="440018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4276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0% 0% 0% 0% 0% 0% 42% 0% 0% 0%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1">
                  <c:v>LEAD GUIDE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2.777777777777778E-2</c:v>
                </c:pt>
                <c:pt idx="1">
                  <c:v>2.777777777777778E-2</c:v>
                </c:pt>
                <c:pt idx="2">
                  <c:v>2.777777777777778E-2</c:v>
                </c:pt>
                <c:pt idx="3">
                  <c:v>2.777777777777778E-2</c:v>
                </c:pt>
                <c:pt idx="4">
                  <c:v>2.777777777777778E-2</c:v>
                </c:pt>
                <c:pt idx="5">
                  <c:v>2.777777777777778E-2</c:v>
                </c:pt>
                <c:pt idx="6">
                  <c:v>2.777777777777778E-2</c:v>
                </c:pt>
                <c:pt idx="7">
                  <c:v>2.777777777777778E-2</c:v>
                </c:pt>
                <c:pt idx="8">
                  <c:v>2.777777777777778E-2</c:v>
                </c:pt>
                <c:pt idx="9">
                  <c:v>2.777777777777778E-2</c:v>
                </c:pt>
                <c:pt idx="10">
                  <c:v>2.777777777777778E-2</c:v>
                </c:pt>
                <c:pt idx="11">
                  <c:v>2.777777777777778E-2</c:v>
                </c:pt>
                <c:pt idx="12">
                  <c:v>2.777777777777778E-2</c:v>
                </c:pt>
                <c:pt idx="13">
                  <c:v>2.777777777777778E-2</c:v>
                </c:pt>
                <c:pt idx="14">
                  <c:v>2.777777777777778E-2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754688"/>
        <c:axId val="440020352"/>
      </c:lineChart>
      <c:catAx>
        <c:axId val="2647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40020352"/>
        <c:crosses val="autoZero"/>
        <c:auto val="1"/>
        <c:lblAlgn val="ctr"/>
        <c:lblOffset val="100"/>
        <c:noMultiLvlLbl val="0"/>
      </c:catAx>
      <c:valAx>
        <c:axId val="440020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475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4756224"/>
        <c:axId val="4400226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756224"/>
        <c:axId val="440022656"/>
      </c:lineChart>
      <c:catAx>
        <c:axId val="26475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440022656"/>
        <c:crosses val="autoZero"/>
        <c:auto val="1"/>
        <c:lblAlgn val="ctr"/>
        <c:lblOffset val="100"/>
        <c:noMultiLvlLbl val="0"/>
      </c:catAx>
      <c:valAx>
        <c:axId val="440022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47562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1">
                  <c:v>7002</c:v>
                </c:pt>
                <c:pt idx="6">
                  <c:v>231</c:v>
                </c:pt>
                <c:pt idx="7">
                  <c:v>3193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7002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1932</c:v>
                </c:pt>
                <c:pt idx="6">
                  <c:v>231</c:v>
                </c:pt>
                <c:pt idx="7">
                  <c:v>3200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1160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14496"/>
        <c:axId val="440107584"/>
      </c:lineChart>
      <c:catAx>
        <c:axId val="265514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0107584"/>
        <c:crosses val="autoZero"/>
        <c:auto val="1"/>
        <c:lblAlgn val="ctr"/>
        <c:lblOffset val="100"/>
        <c:noMultiLvlLbl val="0"/>
      </c:catAx>
      <c:valAx>
        <c:axId val="4401075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5514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42% 0% 0% 0% 0% 21% 42% 0% 0% 0%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0.41666666666666669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0.20833333333333334</c:v>
                </c:pt>
                <c:pt idx="7">
                  <c:v>0.41575520833333335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6.9383680555555563E-2</c:v>
                </c:pt>
                <c:pt idx="1">
                  <c:v>6.9383680555555563E-2</c:v>
                </c:pt>
                <c:pt idx="2">
                  <c:v>6.9383680555555563E-2</c:v>
                </c:pt>
                <c:pt idx="3">
                  <c:v>6.9383680555555563E-2</c:v>
                </c:pt>
                <c:pt idx="4">
                  <c:v>6.9383680555555563E-2</c:v>
                </c:pt>
                <c:pt idx="5">
                  <c:v>6.9383680555555563E-2</c:v>
                </c:pt>
                <c:pt idx="6">
                  <c:v>6.9383680555555563E-2</c:v>
                </c:pt>
                <c:pt idx="7">
                  <c:v>6.9383680555555563E-2</c:v>
                </c:pt>
                <c:pt idx="8">
                  <c:v>6.9383680555555563E-2</c:v>
                </c:pt>
                <c:pt idx="9">
                  <c:v>6.9383680555555563E-2</c:v>
                </c:pt>
                <c:pt idx="10">
                  <c:v>6.9383680555555563E-2</c:v>
                </c:pt>
                <c:pt idx="11">
                  <c:v>6.9383680555555563E-2</c:v>
                </c:pt>
                <c:pt idx="12">
                  <c:v>6.9383680555555563E-2</c:v>
                </c:pt>
                <c:pt idx="13">
                  <c:v>6.9383680555555563E-2</c:v>
                </c:pt>
                <c:pt idx="14">
                  <c:v>6.9383680555555563E-2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31904"/>
        <c:axId val="440109312"/>
      </c:lineChart>
      <c:catAx>
        <c:axId val="26553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40109312"/>
        <c:crosses val="autoZero"/>
        <c:auto val="1"/>
        <c:lblAlgn val="ctr"/>
        <c:lblOffset val="100"/>
        <c:noMultiLvlLbl val="0"/>
      </c:catAx>
      <c:valAx>
        <c:axId val="4401093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5531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1">
                  <c:v>7002</c:v>
                </c:pt>
                <c:pt idx="6">
                  <c:v>231</c:v>
                </c:pt>
                <c:pt idx="7">
                  <c:v>3193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7002</c:v>
                </c:pt>
                <c:pt idx="2">
                  <c:v>3240</c:v>
                </c:pt>
                <c:pt idx="3">
                  <c:v>380</c:v>
                </c:pt>
                <c:pt idx="4">
                  <c:v>3770</c:v>
                </c:pt>
                <c:pt idx="5">
                  <c:v>1932</c:v>
                </c:pt>
                <c:pt idx="6">
                  <c:v>231</c:v>
                </c:pt>
                <c:pt idx="7">
                  <c:v>3200</c:v>
                </c:pt>
                <c:pt idx="8">
                  <c:v>342</c:v>
                </c:pt>
                <c:pt idx="9">
                  <c:v>2811</c:v>
                </c:pt>
                <c:pt idx="10">
                  <c:v>3240</c:v>
                </c:pt>
                <c:pt idx="11">
                  <c:v>1160</c:v>
                </c:pt>
                <c:pt idx="12">
                  <c:v>3200</c:v>
                </c:pt>
                <c:pt idx="13">
                  <c:v>4740</c:v>
                </c:pt>
                <c:pt idx="14">
                  <c:v>23900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32928"/>
        <c:axId val="440111616"/>
      </c:lineChart>
      <c:catAx>
        <c:axId val="2655329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0111616"/>
        <c:crosses val="autoZero"/>
        <c:auto val="1"/>
        <c:lblAlgn val="ctr"/>
        <c:lblOffset val="100"/>
        <c:noMultiLvlLbl val="0"/>
      </c:catAx>
      <c:valAx>
        <c:axId val="440111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5532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42% 0% 0% 0% 0% 21% 42% 0% 0% 0%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0.41666666666666669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0.20833333333333334</c:v>
                </c:pt>
                <c:pt idx="7">
                  <c:v>0.41575520833333335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BODY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LEAD GUIDE</c:v>
                </c:pt>
                <c:pt idx="11">
                  <c:v>F/ADAPTER</c:v>
                </c:pt>
                <c:pt idx="12">
                  <c:v>STOPPER</c:v>
                </c:pt>
                <c:pt idx="13">
                  <c:v>STOPPER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6.9383680555555563E-2</c:v>
                </c:pt>
                <c:pt idx="1">
                  <c:v>6.9383680555555563E-2</c:v>
                </c:pt>
                <c:pt idx="2">
                  <c:v>6.9383680555555563E-2</c:v>
                </c:pt>
                <c:pt idx="3">
                  <c:v>6.9383680555555563E-2</c:v>
                </c:pt>
                <c:pt idx="4">
                  <c:v>6.9383680555555563E-2</c:v>
                </c:pt>
                <c:pt idx="5">
                  <c:v>6.9383680555555563E-2</c:v>
                </c:pt>
                <c:pt idx="6">
                  <c:v>6.9383680555555563E-2</c:v>
                </c:pt>
                <c:pt idx="7">
                  <c:v>6.9383680555555563E-2</c:v>
                </c:pt>
                <c:pt idx="8">
                  <c:v>6.9383680555555563E-2</c:v>
                </c:pt>
                <c:pt idx="9">
                  <c:v>6.9383680555555563E-2</c:v>
                </c:pt>
                <c:pt idx="10">
                  <c:v>6.9383680555555563E-2</c:v>
                </c:pt>
                <c:pt idx="11">
                  <c:v>6.9383680555555563E-2</c:v>
                </c:pt>
                <c:pt idx="12">
                  <c:v>6.9383680555555563E-2</c:v>
                </c:pt>
                <c:pt idx="13">
                  <c:v>6.9383680555555563E-2</c:v>
                </c:pt>
                <c:pt idx="14">
                  <c:v>6.9383680555555563E-2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33440"/>
        <c:axId val="440113344"/>
      </c:lineChart>
      <c:catAx>
        <c:axId val="26553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40113344"/>
        <c:crosses val="autoZero"/>
        <c:auto val="1"/>
        <c:lblAlgn val="ctr"/>
        <c:lblOffset val="100"/>
        <c:noMultiLvlLbl val="0"/>
      </c:catAx>
      <c:valAx>
        <c:axId val="4401133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553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533952"/>
        <c:axId val="4401976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33952"/>
        <c:axId val="440197696"/>
      </c:lineChart>
      <c:catAx>
        <c:axId val="265533952"/>
        <c:scaling>
          <c:orientation val="minMax"/>
        </c:scaling>
        <c:delete val="0"/>
        <c:axPos val="b"/>
        <c:majorTickMark val="out"/>
        <c:minorTickMark val="none"/>
        <c:tickLblPos val="nextTo"/>
        <c:crossAx val="440197696"/>
        <c:crosses val="autoZero"/>
        <c:auto val="1"/>
        <c:lblAlgn val="ctr"/>
        <c:lblOffset val="100"/>
        <c:noMultiLvlLbl val="0"/>
      </c:catAx>
      <c:valAx>
        <c:axId val="4401976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55339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6650</c:v>
                </c:pt>
                <c:pt idx="1">
                  <c:v>13602</c:v>
                </c:pt>
                <c:pt idx="2">
                  <c:v>3279</c:v>
                </c:pt>
                <c:pt idx="4">
                  <c:v>576</c:v>
                </c:pt>
                <c:pt idx="5">
                  <c:v>5027</c:v>
                </c:pt>
                <c:pt idx="6">
                  <c:v>2208</c:v>
                </c:pt>
                <c:pt idx="7">
                  <c:v>4547</c:v>
                </c:pt>
                <c:pt idx="8">
                  <c:v>465</c:v>
                </c:pt>
                <c:pt idx="10">
                  <c:v>9822</c:v>
                </c:pt>
                <c:pt idx="12">
                  <c:v>1362</c:v>
                </c:pt>
                <c:pt idx="13">
                  <c:v>3115</c:v>
                </c:pt>
                <c:pt idx="14">
                  <c:v>8690</c:v>
                </c:pt>
                <c:pt idx="15">
                  <c:v>26820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6650</c:v>
                </c:pt>
                <c:pt idx="1">
                  <c:v>13610</c:v>
                </c:pt>
                <c:pt idx="2">
                  <c:v>3280</c:v>
                </c:pt>
                <c:pt idx="3">
                  <c:v>380</c:v>
                </c:pt>
                <c:pt idx="4">
                  <c:v>576</c:v>
                </c:pt>
                <c:pt idx="5">
                  <c:v>5030</c:v>
                </c:pt>
                <c:pt idx="6">
                  <c:v>2210</c:v>
                </c:pt>
                <c:pt idx="7">
                  <c:v>4550</c:v>
                </c:pt>
                <c:pt idx="8">
                  <c:v>465</c:v>
                </c:pt>
                <c:pt idx="9">
                  <c:v>2811</c:v>
                </c:pt>
                <c:pt idx="10">
                  <c:v>9830</c:v>
                </c:pt>
                <c:pt idx="11">
                  <c:v>1160</c:v>
                </c:pt>
                <c:pt idx="12">
                  <c:v>1362</c:v>
                </c:pt>
                <c:pt idx="13">
                  <c:v>3115</c:v>
                </c:pt>
                <c:pt idx="14">
                  <c:v>8690</c:v>
                </c:pt>
                <c:pt idx="15">
                  <c:v>26820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929088"/>
        <c:axId val="440200576"/>
      </c:lineChart>
      <c:catAx>
        <c:axId val="2679290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0200576"/>
        <c:crosses val="autoZero"/>
        <c:auto val="1"/>
        <c:lblAlgn val="ctr"/>
        <c:lblOffset val="100"/>
        <c:noMultiLvlLbl val="0"/>
      </c:catAx>
      <c:valAx>
        <c:axId val="4402005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7929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"/>
                <c:pt idx="0">
                  <c:v>83% 100% 79% 0% 17% 100% 58% 79% 29% 0% 100% 0% 33% 58% 96%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0.83333333333333337</c:v>
                </c:pt>
                <c:pt idx="1">
                  <c:v>0.99941219691403382</c:v>
                </c:pt>
                <c:pt idx="2">
                  <c:v>0.79142530487804874</c:v>
                </c:pt>
                <c:pt idx="3">
                  <c:v>0</c:v>
                </c:pt>
                <c:pt idx="4">
                  <c:v>0.16666666666666666</c:v>
                </c:pt>
                <c:pt idx="5">
                  <c:v>0.999403578528827</c:v>
                </c:pt>
                <c:pt idx="6">
                  <c:v>0.58280542986425343</c:v>
                </c:pt>
                <c:pt idx="7">
                  <c:v>0.79114468864468857</c:v>
                </c:pt>
                <c:pt idx="8">
                  <c:v>0.29166666666666669</c:v>
                </c:pt>
                <c:pt idx="9">
                  <c:v>0</c:v>
                </c:pt>
                <c:pt idx="10">
                  <c:v>0.9991861648016277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0.58333333333333337</c:v>
                </c:pt>
                <c:pt idx="14">
                  <c:v>0.95833333333333337</c:v>
                </c:pt>
                <c:pt idx="15">
                  <c:v>0.95833333333333337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0.61922515757543195</c:v>
                </c:pt>
                <c:pt idx="1">
                  <c:v>0.61922515757543195</c:v>
                </c:pt>
                <c:pt idx="2">
                  <c:v>0.61922515757543195</c:v>
                </c:pt>
                <c:pt idx="3">
                  <c:v>0.61922515757543195</c:v>
                </c:pt>
                <c:pt idx="4">
                  <c:v>0.61922515757543195</c:v>
                </c:pt>
                <c:pt idx="5">
                  <c:v>0.61922515757543195</c:v>
                </c:pt>
                <c:pt idx="6">
                  <c:v>0.61922515757543195</c:v>
                </c:pt>
                <c:pt idx="7">
                  <c:v>0.61922515757543195</c:v>
                </c:pt>
                <c:pt idx="8">
                  <c:v>0.61922515757543195</c:v>
                </c:pt>
                <c:pt idx="9">
                  <c:v>0.61922515757543195</c:v>
                </c:pt>
                <c:pt idx="10">
                  <c:v>0.61922515757543195</c:v>
                </c:pt>
                <c:pt idx="11">
                  <c:v>0.61922515757543195</c:v>
                </c:pt>
                <c:pt idx="12">
                  <c:v>0.61922515757543195</c:v>
                </c:pt>
                <c:pt idx="13">
                  <c:v>0.61922515757543195</c:v>
                </c:pt>
                <c:pt idx="14">
                  <c:v>0.61922515757543195</c:v>
                </c:pt>
                <c:pt idx="15">
                  <c:v>0.61922515757543195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931136"/>
        <c:axId val="440202304"/>
      </c:lineChart>
      <c:catAx>
        <c:axId val="26793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40202304"/>
        <c:crosses val="autoZero"/>
        <c:auto val="1"/>
        <c:lblAlgn val="ctr"/>
        <c:lblOffset val="100"/>
        <c:noMultiLvlLbl val="0"/>
      </c:catAx>
      <c:valAx>
        <c:axId val="4402023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793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6650</c:v>
                </c:pt>
                <c:pt idx="1">
                  <c:v>13602</c:v>
                </c:pt>
                <c:pt idx="2">
                  <c:v>3279</c:v>
                </c:pt>
                <c:pt idx="4">
                  <c:v>576</c:v>
                </c:pt>
                <c:pt idx="5">
                  <c:v>5027</c:v>
                </c:pt>
                <c:pt idx="6">
                  <c:v>2208</c:v>
                </c:pt>
                <c:pt idx="7">
                  <c:v>4547</c:v>
                </c:pt>
                <c:pt idx="8">
                  <c:v>465</c:v>
                </c:pt>
                <c:pt idx="10">
                  <c:v>9822</c:v>
                </c:pt>
                <c:pt idx="12">
                  <c:v>1362</c:v>
                </c:pt>
                <c:pt idx="13">
                  <c:v>3115</c:v>
                </c:pt>
                <c:pt idx="14">
                  <c:v>8690</c:v>
                </c:pt>
                <c:pt idx="15">
                  <c:v>26820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6650</c:v>
                </c:pt>
                <c:pt idx="1">
                  <c:v>13610</c:v>
                </c:pt>
                <c:pt idx="2">
                  <c:v>3280</c:v>
                </c:pt>
                <c:pt idx="3">
                  <c:v>380</c:v>
                </c:pt>
                <c:pt idx="4">
                  <c:v>576</c:v>
                </c:pt>
                <c:pt idx="5">
                  <c:v>5030</c:v>
                </c:pt>
                <c:pt idx="6">
                  <c:v>2210</c:v>
                </c:pt>
                <c:pt idx="7">
                  <c:v>4550</c:v>
                </c:pt>
                <c:pt idx="8">
                  <c:v>465</c:v>
                </c:pt>
                <c:pt idx="9">
                  <c:v>2811</c:v>
                </c:pt>
                <c:pt idx="10">
                  <c:v>9830</c:v>
                </c:pt>
                <c:pt idx="11">
                  <c:v>1160</c:v>
                </c:pt>
                <c:pt idx="12">
                  <c:v>1362</c:v>
                </c:pt>
                <c:pt idx="13">
                  <c:v>3115</c:v>
                </c:pt>
                <c:pt idx="14">
                  <c:v>8690</c:v>
                </c:pt>
                <c:pt idx="15">
                  <c:v>26820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021760"/>
        <c:axId val="440204608"/>
      </c:lineChart>
      <c:catAx>
        <c:axId val="2680217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0204608"/>
        <c:crosses val="autoZero"/>
        <c:auto val="1"/>
        <c:lblAlgn val="ctr"/>
        <c:lblOffset val="100"/>
        <c:noMultiLvlLbl val="0"/>
      </c:catAx>
      <c:valAx>
        <c:axId val="4402046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8021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"/>
                <c:pt idx="0">
                  <c:v>83% 100% 79% 0% 17% 100% 58% 79% 29% 0% 100% 0% 33% 58% 96%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0.83333333333333337</c:v>
                </c:pt>
                <c:pt idx="1">
                  <c:v>0.99941219691403382</c:v>
                </c:pt>
                <c:pt idx="2">
                  <c:v>0.79142530487804874</c:v>
                </c:pt>
                <c:pt idx="3">
                  <c:v>0</c:v>
                </c:pt>
                <c:pt idx="4">
                  <c:v>0.16666666666666666</c:v>
                </c:pt>
                <c:pt idx="5">
                  <c:v>0.999403578528827</c:v>
                </c:pt>
                <c:pt idx="6">
                  <c:v>0.58280542986425343</c:v>
                </c:pt>
                <c:pt idx="7">
                  <c:v>0.79114468864468857</c:v>
                </c:pt>
                <c:pt idx="8">
                  <c:v>0.29166666666666669</c:v>
                </c:pt>
                <c:pt idx="9">
                  <c:v>0</c:v>
                </c:pt>
                <c:pt idx="10">
                  <c:v>0.9991861648016277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0.58333333333333337</c:v>
                </c:pt>
                <c:pt idx="14">
                  <c:v>0.95833333333333337</c:v>
                </c:pt>
                <c:pt idx="15">
                  <c:v>0.95833333333333337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BASE</c:v>
                </c:pt>
                <c:pt idx="3">
                  <c:v>BODY</c:v>
                </c:pt>
                <c:pt idx="4">
                  <c:v>ACTUATOR</c:v>
                </c:pt>
                <c:pt idx="5">
                  <c:v>SLIDER</c:v>
                </c:pt>
                <c:pt idx="6">
                  <c:v>SLIDER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F/ADAPTER</c:v>
                </c:pt>
                <c:pt idx="12">
                  <c:v>LID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0.61922515757543195</c:v>
                </c:pt>
                <c:pt idx="1">
                  <c:v>0.61922515757543195</c:v>
                </c:pt>
                <c:pt idx="2">
                  <c:v>0.61922515757543195</c:v>
                </c:pt>
                <c:pt idx="3">
                  <c:v>0.61922515757543195</c:v>
                </c:pt>
                <c:pt idx="4">
                  <c:v>0.61922515757543195</c:v>
                </c:pt>
                <c:pt idx="5">
                  <c:v>0.61922515757543195</c:v>
                </c:pt>
                <c:pt idx="6">
                  <c:v>0.61922515757543195</c:v>
                </c:pt>
                <c:pt idx="7">
                  <c:v>0.61922515757543195</c:v>
                </c:pt>
                <c:pt idx="8">
                  <c:v>0.61922515757543195</c:v>
                </c:pt>
                <c:pt idx="9">
                  <c:v>0.61922515757543195</c:v>
                </c:pt>
                <c:pt idx="10">
                  <c:v>0.61922515757543195</c:v>
                </c:pt>
                <c:pt idx="11">
                  <c:v>0.61922515757543195</c:v>
                </c:pt>
                <c:pt idx="12">
                  <c:v>0.61922515757543195</c:v>
                </c:pt>
                <c:pt idx="13">
                  <c:v>0.61922515757543195</c:v>
                </c:pt>
                <c:pt idx="14">
                  <c:v>0.61922515757543195</c:v>
                </c:pt>
                <c:pt idx="15">
                  <c:v>0.61922515757543195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023296"/>
        <c:axId val="2638976"/>
      </c:lineChart>
      <c:catAx>
        <c:axId val="26802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638976"/>
        <c:crosses val="autoZero"/>
        <c:auto val="1"/>
        <c:lblAlgn val="ctr"/>
        <c:lblOffset val="100"/>
        <c:noMultiLvlLbl val="0"/>
      </c:catAx>
      <c:valAx>
        <c:axId val="2638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8023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8023808"/>
        <c:axId val="26412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023808"/>
        <c:axId val="2641280"/>
      </c:lineChart>
      <c:catAx>
        <c:axId val="26802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641280"/>
        <c:crosses val="autoZero"/>
        <c:auto val="1"/>
        <c:lblAlgn val="ctr"/>
        <c:lblOffset val="100"/>
        <c:noMultiLvlLbl val="0"/>
      </c:catAx>
      <c:valAx>
        <c:axId val="2641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0238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0">
                  <c:v>9890</c:v>
                </c:pt>
                <c:pt idx="1">
                  <c:v>6244</c:v>
                </c:pt>
                <c:pt idx="2">
                  <c:v>709</c:v>
                </c:pt>
                <c:pt idx="3">
                  <c:v>2702</c:v>
                </c:pt>
                <c:pt idx="4">
                  <c:v>4987</c:v>
                </c:pt>
                <c:pt idx="5">
                  <c:v>2384</c:v>
                </c:pt>
                <c:pt idx="6">
                  <c:v>962</c:v>
                </c:pt>
                <c:pt idx="7">
                  <c:v>6321</c:v>
                </c:pt>
                <c:pt idx="10">
                  <c:v>10544</c:v>
                </c:pt>
                <c:pt idx="11">
                  <c:v>2945</c:v>
                </c:pt>
                <c:pt idx="13">
                  <c:v>8172</c:v>
                </c:pt>
                <c:pt idx="14">
                  <c:v>33612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9890</c:v>
                </c:pt>
                <c:pt idx="1">
                  <c:v>6244</c:v>
                </c:pt>
                <c:pt idx="2">
                  <c:v>710</c:v>
                </c:pt>
                <c:pt idx="3">
                  <c:v>2710</c:v>
                </c:pt>
                <c:pt idx="4">
                  <c:v>4990</c:v>
                </c:pt>
                <c:pt idx="5">
                  <c:v>2390</c:v>
                </c:pt>
                <c:pt idx="6">
                  <c:v>962</c:v>
                </c:pt>
                <c:pt idx="7">
                  <c:v>6321</c:v>
                </c:pt>
                <c:pt idx="8">
                  <c:v>465</c:v>
                </c:pt>
                <c:pt idx="9">
                  <c:v>2811</c:v>
                </c:pt>
                <c:pt idx="10">
                  <c:v>10550</c:v>
                </c:pt>
                <c:pt idx="11">
                  <c:v>2945</c:v>
                </c:pt>
                <c:pt idx="12">
                  <c:v>3115</c:v>
                </c:pt>
                <c:pt idx="13">
                  <c:v>8172</c:v>
                </c:pt>
                <c:pt idx="14">
                  <c:v>33612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971328"/>
        <c:axId val="2644160"/>
      </c:lineChart>
      <c:catAx>
        <c:axId val="2799713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644160"/>
        <c:crosses val="autoZero"/>
        <c:auto val="1"/>
        <c:lblAlgn val="ctr"/>
        <c:lblOffset val="100"/>
        <c:noMultiLvlLbl val="0"/>
      </c:catAx>
      <c:valAx>
        <c:axId val="26441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79971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100% 38% 17% 66% 100% 50% 25% 100% 0% 0% 100% 58% 0%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1</c:v>
                </c:pt>
                <c:pt idx="1">
                  <c:v>0.375</c:v>
                </c:pt>
                <c:pt idx="2">
                  <c:v>0.16643192488262909</c:v>
                </c:pt>
                <c:pt idx="3">
                  <c:v>0.66469864698646985</c:v>
                </c:pt>
                <c:pt idx="4">
                  <c:v>0.99939879759519035</c:v>
                </c:pt>
                <c:pt idx="5">
                  <c:v>0.49874476987447697</c:v>
                </c:pt>
                <c:pt idx="6">
                  <c:v>0.25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0.9994312796208531</c:v>
                </c:pt>
                <c:pt idx="11">
                  <c:v>0.58333333333333337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0.55802480570841906</c:v>
                </c:pt>
                <c:pt idx="1">
                  <c:v>0.55802480570841906</c:v>
                </c:pt>
                <c:pt idx="2">
                  <c:v>0.55802480570841906</c:v>
                </c:pt>
                <c:pt idx="3">
                  <c:v>0.55802480570841906</c:v>
                </c:pt>
                <c:pt idx="4">
                  <c:v>0.55802480570841906</c:v>
                </c:pt>
                <c:pt idx="5">
                  <c:v>0.55802480570841906</c:v>
                </c:pt>
                <c:pt idx="6">
                  <c:v>0.55802480570841906</c:v>
                </c:pt>
                <c:pt idx="7">
                  <c:v>0.55802480570841906</c:v>
                </c:pt>
                <c:pt idx="8">
                  <c:v>0.55802480570841906</c:v>
                </c:pt>
                <c:pt idx="9">
                  <c:v>0.55802480570841906</c:v>
                </c:pt>
                <c:pt idx="10">
                  <c:v>0.55802480570841906</c:v>
                </c:pt>
                <c:pt idx="11">
                  <c:v>0.55802480570841906</c:v>
                </c:pt>
                <c:pt idx="12">
                  <c:v>0.55802480570841906</c:v>
                </c:pt>
                <c:pt idx="13">
                  <c:v>0.55802480570841906</c:v>
                </c:pt>
                <c:pt idx="14">
                  <c:v>0.55802480570841906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973376"/>
        <c:axId val="284990784"/>
      </c:lineChart>
      <c:catAx>
        <c:axId val="27997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4990784"/>
        <c:crosses val="autoZero"/>
        <c:auto val="1"/>
        <c:lblAlgn val="ctr"/>
        <c:lblOffset val="100"/>
        <c:noMultiLvlLbl val="0"/>
      </c:catAx>
      <c:valAx>
        <c:axId val="2849907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79973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0">
                  <c:v>9890</c:v>
                </c:pt>
                <c:pt idx="1">
                  <c:v>6244</c:v>
                </c:pt>
                <c:pt idx="2">
                  <c:v>709</c:v>
                </c:pt>
                <c:pt idx="3">
                  <c:v>2702</c:v>
                </c:pt>
                <c:pt idx="4">
                  <c:v>4987</c:v>
                </c:pt>
                <c:pt idx="5">
                  <c:v>2384</c:v>
                </c:pt>
                <c:pt idx="6">
                  <c:v>962</c:v>
                </c:pt>
                <c:pt idx="7">
                  <c:v>6321</c:v>
                </c:pt>
                <c:pt idx="10">
                  <c:v>10544</c:v>
                </c:pt>
                <c:pt idx="11">
                  <c:v>2945</c:v>
                </c:pt>
                <c:pt idx="13">
                  <c:v>8172</c:v>
                </c:pt>
                <c:pt idx="14">
                  <c:v>33612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9890</c:v>
                </c:pt>
                <c:pt idx="1">
                  <c:v>6244</c:v>
                </c:pt>
                <c:pt idx="2">
                  <c:v>710</c:v>
                </c:pt>
                <c:pt idx="3">
                  <c:v>2710</c:v>
                </c:pt>
                <c:pt idx="4">
                  <c:v>4990</c:v>
                </c:pt>
                <c:pt idx="5">
                  <c:v>2390</c:v>
                </c:pt>
                <c:pt idx="6">
                  <c:v>962</c:v>
                </c:pt>
                <c:pt idx="7">
                  <c:v>6321</c:v>
                </c:pt>
                <c:pt idx="8">
                  <c:v>465</c:v>
                </c:pt>
                <c:pt idx="9">
                  <c:v>2811</c:v>
                </c:pt>
                <c:pt idx="10">
                  <c:v>10550</c:v>
                </c:pt>
                <c:pt idx="11">
                  <c:v>2945</c:v>
                </c:pt>
                <c:pt idx="12">
                  <c:v>3115</c:v>
                </c:pt>
                <c:pt idx="13">
                  <c:v>8172</c:v>
                </c:pt>
                <c:pt idx="14">
                  <c:v>33612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027136"/>
        <c:axId val="2770048"/>
      </c:lineChart>
      <c:catAx>
        <c:axId val="2800271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770048"/>
        <c:crosses val="autoZero"/>
        <c:auto val="1"/>
        <c:lblAlgn val="ctr"/>
        <c:lblOffset val="100"/>
        <c:noMultiLvlLbl val="0"/>
      </c:catAx>
      <c:valAx>
        <c:axId val="27700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0027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100% 38% 17% 66% 100% 50% 25% 100% 0% 0% 100% 58% 0%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1</c:v>
                </c:pt>
                <c:pt idx="1">
                  <c:v>0.375</c:v>
                </c:pt>
                <c:pt idx="2">
                  <c:v>0.16643192488262909</c:v>
                </c:pt>
                <c:pt idx="3">
                  <c:v>0.66469864698646985</c:v>
                </c:pt>
                <c:pt idx="4">
                  <c:v>0.99939879759519035</c:v>
                </c:pt>
                <c:pt idx="5">
                  <c:v>0.49874476987447697</c:v>
                </c:pt>
                <c:pt idx="6">
                  <c:v>0.25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0.9994312796208531</c:v>
                </c:pt>
                <c:pt idx="11">
                  <c:v>0.58333333333333337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0.55802480570841906</c:v>
                </c:pt>
                <c:pt idx="1">
                  <c:v>0.55802480570841906</c:v>
                </c:pt>
                <c:pt idx="2">
                  <c:v>0.55802480570841906</c:v>
                </c:pt>
                <c:pt idx="3">
                  <c:v>0.55802480570841906</c:v>
                </c:pt>
                <c:pt idx="4">
                  <c:v>0.55802480570841906</c:v>
                </c:pt>
                <c:pt idx="5">
                  <c:v>0.55802480570841906</c:v>
                </c:pt>
                <c:pt idx="6">
                  <c:v>0.55802480570841906</c:v>
                </c:pt>
                <c:pt idx="7">
                  <c:v>0.55802480570841906</c:v>
                </c:pt>
                <c:pt idx="8">
                  <c:v>0.55802480570841906</c:v>
                </c:pt>
                <c:pt idx="9">
                  <c:v>0.55802480570841906</c:v>
                </c:pt>
                <c:pt idx="10">
                  <c:v>0.55802480570841906</c:v>
                </c:pt>
                <c:pt idx="11">
                  <c:v>0.55802480570841906</c:v>
                </c:pt>
                <c:pt idx="12">
                  <c:v>0.55802480570841906</c:v>
                </c:pt>
                <c:pt idx="13">
                  <c:v>0.55802480570841906</c:v>
                </c:pt>
                <c:pt idx="14">
                  <c:v>0.55802480570841906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028672"/>
        <c:axId val="2771776"/>
      </c:lineChart>
      <c:catAx>
        <c:axId val="28002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71776"/>
        <c:crosses val="autoZero"/>
        <c:auto val="1"/>
        <c:lblAlgn val="ctr"/>
        <c:lblOffset val="100"/>
        <c:noMultiLvlLbl val="0"/>
      </c:catAx>
      <c:valAx>
        <c:axId val="27717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0028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029184"/>
        <c:axId val="27740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029184"/>
        <c:axId val="2774080"/>
      </c:lineChart>
      <c:catAx>
        <c:axId val="28002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774080"/>
        <c:crosses val="autoZero"/>
        <c:auto val="1"/>
        <c:lblAlgn val="ctr"/>
        <c:lblOffset val="100"/>
        <c:noMultiLvlLbl val="0"/>
      </c:catAx>
      <c:valAx>
        <c:axId val="27740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00291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10162</c:v>
                </c:pt>
                <c:pt idx="2">
                  <c:v>5534</c:v>
                </c:pt>
                <c:pt idx="3">
                  <c:v>3670</c:v>
                </c:pt>
                <c:pt idx="4">
                  <c:v>3977</c:v>
                </c:pt>
                <c:pt idx="5">
                  <c:v>399</c:v>
                </c:pt>
                <c:pt idx="7">
                  <c:v>910</c:v>
                </c:pt>
                <c:pt idx="8">
                  <c:v>3666</c:v>
                </c:pt>
                <c:pt idx="11">
                  <c:v>11086</c:v>
                </c:pt>
                <c:pt idx="12">
                  <c:v>2411</c:v>
                </c:pt>
                <c:pt idx="14">
                  <c:v>11198</c:v>
                </c:pt>
                <c:pt idx="15">
                  <c:v>20034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10162</c:v>
                </c:pt>
                <c:pt idx="1">
                  <c:v>6244</c:v>
                </c:pt>
                <c:pt idx="2">
                  <c:v>5534</c:v>
                </c:pt>
                <c:pt idx="3">
                  <c:v>3670</c:v>
                </c:pt>
                <c:pt idx="4">
                  <c:v>3977</c:v>
                </c:pt>
                <c:pt idx="5">
                  <c:v>400</c:v>
                </c:pt>
                <c:pt idx="6">
                  <c:v>962</c:v>
                </c:pt>
                <c:pt idx="7">
                  <c:v>910</c:v>
                </c:pt>
                <c:pt idx="8">
                  <c:v>3670</c:v>
                </c:pt>
                <c:pt idx="9">
                  <c:v>465</c:v>
                </c:pt>
                <c:pt idx="10">
                  <c:v>2811</c:v>
                </c:pt>
                <c:pt idx="11">
                  <c:v>11090</c:v>
                </c:pt>
                <c:pt idx="12">
                  <c:v>2420</c:v>
                </c:pt>
                <c:pt idx="13">
                  <c:v>3115</c:v>
                </c:pt>
                <c:pt idx="14">
                  <c:v>11200</c:v>
                </c:pt>
                <c:pt idx="15">
                  <c:v>20040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56320"/>
        <c:axId val="3170304"/>
      </c:lineChart>
      <c:catAx>
        <c:axId val="2848563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170304"/>
        <c:crosses val="autoZero"/>
        <c:auto val="1"/>
        <c:lblAlgn val="ctr"/>
        <c:lblOffset val="100"/>
        <c:noMultiLvlLbl val="0"/>
      </c:catAx>
      <c:valAx>
        <c:axId val="31703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4856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"/>
                <c:pt idx="0">
                  <c:v>100% 0% 100% 75% 79% 12% 0% 17% 75% 0% 0% 100% 58% 0% 100%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0.79166666666666663</c:v>
                </c:pt>
                <c:pt idx="5">
                  <c:v>0.12468750000000001</c:v>
                </c:pt>
                <c:pt idx="6">
                  <c:v>0</c:v>
                </c:pt>
                <c:pt idx="7">
                  <c:v>0.16666666666666666</c:v>
                </c:pt>
                <c:pt idx="8">
                  <c:v>0.74918256130790195</c:v>
                </c:pt>
                <c:pt idx="9">
                  <c:v>0</c:v>
                </c:pt>
                <c:pt idx="10">
                  <c:v>0</c:v>
                </c:pt>
                <c:pt idx="11">
                  <c:v>0.99963931469792611</c:v>
                </c:pt>
                <c:pt idx="12">
                  <c:v>0.58116391184573002</c:v>
                </c:pt>
                <c:pt idx="13">
                  <c:v>0</c:v>
                </c:pt>
                <c:pt idx="14">
                  <c:v>0.99982142857142853</c:v>
                </c:pt>
                <c:pt idx="15">
                  <c:v>0.83308383233532945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0.53306079213944335</c:v>
                </c:pt>
                <c:pt idx="1">
                  <c:v>0.53306079213944335</c:v>
                </c:pt>
                <c:pt idx="2">
                  <c:v>0.53306079213944335</c:v>
                </c:pt>
                <c:pt idx="3">
                  <c:v>0.53306079213944335</c:v>
                </c:pt>
                <c:pt idx="4">
                  <c:v>0.53306079213944335</c:v>
                </c:pt>
                <c:pt idx="5">
                  <c:v>0.53306079213944335</c:v>
                </c:pt>
                <c:pt idx="6">
                  <c:v>0.53306079213944335</c:v>
                </c:pt>
                <c:pt idx="7">
                  <c:v>0.53306079213944335</c:v>
                </c:pt>
                <c:pt idx="8">
                  <c:v>0.53306079213944335</c:v>
                </c:pt>
                <c:pt idx="9">
                  <c:v>0.53306079213944335</c:v>
                </c:pt>
                <c:pt idx="10">
                  <c:v>0.53306079213944335</c:v>
                </c:pt>
                <c:pt idx="11">
                  <c:v>0.53306079213944335</c:v>
                </c:pt>
                <c:pt idx="12">
                  <c:v>0.53306079213944335</c:v>
                </c:pt>
                <c:pt idx="13">
                  <c:v>0.53306079213944335</c:v>
                </c:pt>
                <c:pt idx="14">
                  <c:v>0.53306079213944335</c:v>
                </c:pt>
                <c:pt idx="15">
                  <c:v>0.53306079213944335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57856"/>
        <c:axId val="3172032"/>
      </c:lineChart>
      <c:catAx>
        <c:axId val="28485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172032"/>
        <c:crosses val="autoZero"/>
        <c:auto val="1"/>
        <c:lblAlgn val="ctr"/>
        <c:lblOffset val="100"/>
        <c:noMultiLvlLbl val="0"/>
      </c:catAx>
      <c:valAx>
        <c:axId val="31720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485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10162</c:v>
                </c:pt>
                <c:pt idx="2">
                  <c:v>5534</c:v>
                </c:pt>
                <c:pt idx="3">
                  <c:v>3670</c:v>
                </c:pt>
                <c:pt idx="4">
                  <c:v>3977</c:v>
                </c:pt>
                <c:pt idx="5">
                  <c:v>399</c:v>
                </c:pt>
                <c:pt idx="7">
                  <c:v>910</c:v>
                </c:pt>
                <c:pt idx="8">
                  <c:v>3666</c:v>
                </c:pt>
                <c:pt idx="11">
                  <c:v>11086</c:v>
                </c:pt>
                <c:pt idx="12">
                  <c:v>2411</c:v>
                </c:pt>
                <c:pt idx="14">
                  <c:v>11198</c:v>
                </c:pt>
                <c:pt idx="15">
                  <c:v>20034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10162</c:v>
                </c:pt>
                <c:pt idx="1">
                  <c:v>6244</c:v>
                </c:pt>
                <c:pt idx="2">
                  <c:v>5534</c:v>
                </c:pt>
                <c:pt idx="3">
                  <c:v>3670</c:v>
                </c:pt>
                <c:pt idx="4">
                  <c:v>3977</c:v>
                </c:pt>
                <c:pt idx="5">
                  <c:v>400</c:v>
                </c:pt>
                <c:pt idx="6">
                  <c:v>962</c:v>
                </c:pt>
                <c:pt idx="7">
                  <c:v>910</c:v>
                </c:pt>
                <c:pt idx="8">
                  <c:v>3670</c:v>
                </c:pt>
                <c:pt idx="9">
                  <c:v>465</c:v>
                </c:pt>
                <c:pt idx="10">
                  <c:v>2811</c:v>
                </c:pt>
                <c:pt idx="11">
                  <c:v>11090</c:v>
                </c:pt>
                <c:pt idx="12">
                  <c:v>2420</c:v>
                </c:pt>
                <c:pt idx="13">
                  <c:v>3115</c:v>
                </c:pt>
                <c:pt idx="14">
                  <c:v>11200</c:v>
                </c:pt>
                <c:pt idx="15">
                  <c:v>20040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58368"/>
        <c:axId val="3174336"/>
      </c:lineChart>
      <c:catAx>
        <c:axId val="2848583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174336"/>
        <c:crosses val="autoZero"/>
        <c:auto val="1"/>
        <c:lblAlgn val="ctr"/>
        <c:lblOffset val="100"/>
        <c:noMultiLvlLbl val="0"/>
      </c:catAx>
      <c:valAx>
        <c:axId val="31743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485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"/>
                <c:pt idx="0">
                  <c:v>100% 0% 100% 75% 79% 12% 0% 17% 75% 0% 0% 100% 58% 0% 100%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0.79166666666666663</c:v>
                </c:pt>
                <c:pt idx="5">
                  <c:v>0.12468750000000001</c:v>
                </c:pt>
                <c:pt idx="6">
                  <c:v>0</c:v>
                </c:pt>
                <c:pt idx="7">
                  <c:v>0.16666666666666666</c:v>
                </c:pt>
                <c:pt idx="8">
                  <c:v>0.74918256130790195</c:v>
                </c:pt>
                <c:pt idx="9">
                  <c:v>0</c:v>
                </c:pt>
                <c:pt idx="10">
                  <c:v>0</c:v>
                </c:pt>
                <c:pt idx="11">
                  <c:v>0.99963931469792611</c:v>
                </c:pt>
                <c:pt idx="12">
                  <c:v>0.58116391184573002</c:v>
                </c:pt>
                <c:pt idx="13">
                  <c:v>0</c:v>
                </c:pt>
                <c:pt idx="14">
                  <c:v>0.99982142857142853</c:v>
                </c:pt>
                <c:pt idx="15">
                  <c:v>0.83308383233532945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Receptacle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0.53306079213944335</c:v>
                </c:pt>
                <c:pt idx="1">
                  <c:v>0.53306079213944335</c:v>
                </c:pt>
                <c:pt idx="2">
                  <c:v>0.53306079213944335</c:v>
                </c:pt>
                <c:pt idx="3">
                  <c:v>0.53306079213944335</c:v>
                </c:pt>
                <c:pt idx="4">
                  <c:v>0.53306079213944335</c:v>
                </c:pt>
                <c:pt idx="5">
                  <c:v>0.53306079213944335</c:v>
                </c:pt>
                <c:pt idx="6">
                  <c:v>0.53306079213944335</c:v>
                </c:pt>
                <c:pt idx="7">
                  <c:v>0.53306079213944335</c:v>
                </c:pt>
                <c:pt idx="8">
                  <c:v>0.53306079213944335</c:v>
                </c:pt>
                <c:pt idx="9">
                  <c:v>0.53306079213944335</c:v>
                </c:pt>
                <c:pt idx="10">
                  <c:v>0.53306079213944335</c:v>
                </c:pt>
                <c:pt idx="11">
                  <c:v>0.53306079213944335</c:v>
                </c:pt>
                <c:pt idx="12">
                  <c:v>0.53306079213944335</c:v>
                </c:pt>
                <c:pt idx="13">
                  <c:v>0.53306079213944335</c:v>
                </c:pt>
                <c:pt idx="14">
                  <c:v>0.53306079213944335</c:v>
                </c:pt>
                <c:pt idx="15">
                  <c:v>0.53306079213944335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59392"/>
        <c:axId val="3176064"/>
      </c:lineChart>
      <c:catAx>
        <c:axId val="28485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176064"/>
        <c:crosses val="autoZero"/>
        <c:auto val="1"/>
        <c:lblAlgn val="ctr"/>
        <c:lblOffset val="100"/>
        <c:noMultiLvlLbl val="0"/>
      </c:catAx>
      <c:valAx>
        <c:axId val="3176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4859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857344"/>
        <c:axId val="39403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57344"/>
        <c:axId val="3940352"/>
      </c:lineChart>
      <c:catAx>
        <c:axId val="28485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3940352"/>
        <c:crosses val="autoZero"/>
        <c:auto val="1"/>
        <c:lblAlgn val="ctr"/>
        <c:lblOffset val="100"/>
        <c:noMultiLvlLbl val="0"/>
      </c:catAx>
      <c:valAx>
        <c:axId val="3940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48573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5143</c:v>
                </c:pt>
                <c:pt idx="3">
                  <c:v>5212</c:v>
                </c:pt>
                <c:pt idx="4">
                  <c:v>4987</c:v>
                </c:pt>
                <c:pt idx="5">
                  <c:v>4078</c:v>
                </c:pt>
                <c:pt idx="7">
                  <c:v>4964</c:v>
                </c:pt>
                <c:pt idx="13">
                  <c:v>2051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10162</c:v>
                </c:pt>
                <c:pt idx="1">
                  <c:v>6244</c:v>
                </c:pt>
                <c:pt idx="2">
                  <c:v>5150</c:v>
                </c:pt>
                <c:pt idx="3">
                  <c:v>5220</c:v>
                </c:pt>
                <c:pt idx="4">
                  <c:v>4990</c:v>
                </c:pt>
                <c:pt idx="5">
                  <c:v>4080</c:v>
                </c:pt>
                <c:pt idx="6">
                  <c:v>962</c:v>
                </c:pt>
                <c:pt idx="7">
                  <c:v>4970</c:v>
                </c:pt>
                <c:pt idx="8">
                  <c:v>465</c:v>
                </c:pt>
                <c:pt idx="9">
                  <c:v>2811</c:v>
                </c:pt>
                <c:pt idx="10">
                  <c:v>11090</c:v>
                </c:pt>
                <c:pt idx="11">
                  <c:v>2420</c:v>
                </c:pt>
                <c:pt idx="12">
                  <c:v>3115</c:v>
                </c:pt>
                <c:pt idx="13">
                  <c:v>2060</c:v>
                </c:pt>
                <c:pt idx="14">
                  <c:v>20040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985344"/>
        <c:axId val="3943808"/>
      </c:lineChart>
      <c:catAx>
        <c:axId val="3009853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43808"/>
        <c:crosses val="autoZero"/>
        <c:auto val="1"/>
        <c:lblAlgn val="ctr"/>
        <c:lblOffset val="100"/>
        <c:noMultiLvlLbl val="0"/>
      </c:catAx>
      <c:valAx>
        <c:axId val="39438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98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0% 100% 100% 100% 87% 0% 100% 0% 0% 0% 0% 0%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0.99864077669902918</c:v>
                </c:pt>
                <c:pt idx="3">
                  <c:v>0.99846743295019158</c:v>
                </c:pt>
                <c:pt idx="4">
                  <c:v>0.99939879759519035</c:v>
                </c:pt>
                <c:pt idx="5">
                  <c:v>0.8745710784313725</c:v>
                </c:pt>
                <c:pt idx="6">
                  <c:v>0</c:v>
                </c:pt>
                <c:pt idx="7">
                  <c:v>0.99879275653923538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0.53930016181229767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0.36061140026848781</c:v>
                </c:pt>
                <c:pt idx="1">
                  <c:v>0.36061140026848781</c:v>
                </c:pt>
                <c:pt idx="2">
                  <c:v>0.36061140026848781</c:v>
                </c:pt>
                <c:pt idx="3">
                  <c:v>0.36061140026848781</c:v>
                </c:pt>
                <c:pt idx="4">
                  <c:v>0.36061140026848781</c:v>
                </c:pt>
                <c:pt idx="5">
                  <c:v>0.36061140026848781</c:v>
                </c:pt>
                <c:pt idx="6">
                  <c:v>0.36061140026848781</c:v>
                </c:pt>
                <c:pt idx="7">
                  <c:v>0.36061140026848781</c:v>
                </c:pt>
                <c:pt idx="8">
                  <c:v>0.36061140026848781</c:v>
                </c:pt>
                <c:pt idx="9">
                  <c:v>0.36061140026848781</c:v>
                </c:pt>
                <c:pt idx="10">
                  <c:v>0.36061140026848781</c:v>
                </c:pt>
                <c:pt idx="11">
                  <c:v>0.36061140026848781</c:v>
                </c:pt>
                <c:pt idx="12">
                  <c:v>0.36061140026848781</c:v>
                </c:pt>
                <c:pt idx="13">
                  <c:v>0.36061140026848781</c:v>
                </c:pt>
                <c:pt idx="14">
                  <c:v>0.36061140026848781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007360"/>
        <c:axId val="3945536"/>
      </c:lineChart>
      <c:catAx>
        <c:axId val="30100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45536"/>
        <c:crosses val="autoZero"/>
        <c:auto val="1"/>
        <c:lblAlgn val="ctr"/>
        <c:lblOffset val="100"/>
        <c:noMultiLvlLbl val="0"/>
      </c:catAx>
      <c:valAx>
        <c:axId val="39455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007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5143</c:v>
                </c:pt>
                <c:pt idx="3">
                  <c:v>5212</c:v>
                </c:pt>
                <c:pt idx="4">
                  <c:v>4987</c:v>
                </c:pt>
                <c:pt idx="5">
                  <c:v>4078</c:v>
                </c:pt>
                <c:pt idx="7">
                  <c:v>4964</c:v>
                </c:pt>
                <c:pt idx="13">
                  <c:v>2051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10162</c:v>
                </c:pt>
                <c:pt idx="1">
                  <c:v>6244</c:v>
                </c:pt>
                <c:pt idx="2">
                  <c:v>5150</c:v>
                </c:pt>
                <c:pt idx="3">
                  <c:v>5220</c:v>
                </c:pt>
                <c:pt idx="4">
                  <c:v>4990</c:v>
                </c:pt>
                <c:pt idx="5">
                  <c:v>4080</c:v>
                </c:pt>
                <c:pt idx="6">
                  <c:v>962</c:v>
                </c:pt>
                <c:pt idx="7">
                  <c:v>4970</c:v>
                </c:pt>
                <c:pt idx="8">
                  <c:v>465</c:v>
                </c:pt>
                <c:pt idx="9">
                  <c:v>2811</c:v>
                </c:pt>
                <c:pt idx="10">
                  <c:v>11090</c:v>
                </c:pt>
                <c:pt idx="11">
                  <c:v>2420</c:v>
                </c:pt>
                <c:pt idx="12">
                  <c:v>3115</c:v>
                </c:pt>
                <c:pt idx="13">
                  <c:v>2060</c:v>
                </c:pt>
                <c:pt idx="14">
                  <c:v>20040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007872"/>
        <c:axId val="3947840"/>
      </c:lineChart>
      <c:catAx>
        <c:axId val="3010078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47840"/>
        <c:crosses val="autoZero"/>
        <c:auto val="1"/>
        <c:lblAlgn val="ctr"/>
        <c:lblOffset val="100"/>
        <c:noMultiLvlLbl val="0"/>
      </c:catAx>
      <c:valAx>
        <c:axId val="39478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007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0% 100% 100% 100% 87% 0% 100% 0% 0% 0% 0% 0%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0.99864077669902918</c:v>
                </c:pt>
                <c:pt idx="3">
                  <c:v>0.99846743295019158</c:v>
                </c:pt>
                <c:pt idx="4">
                  <c:v>0.99939879759519035</c:v>
                </c:pt>
                <c:pt idx="5">
                  <c:v>0.8745710784313725</c:v>
                </c:pt>
                <c:pt idx="6">
                  <c:v>0</c:v>
                </c:pt>
                <c:pt idx="7">
                  <c:v>0.99879275653923538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0.53930016181229767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0.36061140026848781</c:v>
                </c:pt>
                <c:pt idx="1">
                  <c:v>0.36061140026848781</c:v>
                </c:pt>
                <c:pt idx="2">
                  <c:v>0.36061140026848781</c:v>
                </c:pt>
                <c:pt idx="3">
                  <c:v>0.36061140026848781</c:v>
                </c:pt>
                <c:pt idx="4">
                  <c:v>0.36061140026848781</c:v>
                </c:pt>
                <c:pt idx="5">
                  <c:v>0.36061140026848781</c:v>
                </c:pt>
                <c:pt idx="6">
                  <c:v>0.36061140026848781</c:v>
                </c:pt>
                <c:pt idx="7">
                  <c:v>0.36061140026848781</c:v>
                </c:pt>
                <c:pt idx="8">
                  <c:v>0.36061140026848781</c:v>
                </c:pt>
                <c:pt idx="9">
                  <c:v>0.36061140026848781</c:v>
                </c:pt>
                <c:pt idx="10">
                  <c:v>0.36061140026848781</c:v>
                </c:pt>
                <c:pt idx="11">
                  <c:v>0.36061140026848781</c:v>
                </c:pt>
                <c:pt idx="12">
                  <c:v>0.36061140026848781</c:v>
                </c:pt>
                <c:pt idx="13">
                  <c:v>0.36061140026848781</c:v>
                </c:pt>
                <c:pt idx="14">
                  <c:v>0.36061140026848781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008896"/>
        <c:axId val="3818624"/>
      </c:lineChart>
      <c:catAx>
        <c:axId val="30100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18624"/>
        <c:crosses val="autoZero"/>
        <c:auto val="1"/>
        <c:lblAlgn val="ctr"/>
        <c:lblOffset val="100"/>
        <c:noMultiLvlLbl val="0"/>
      </c:catAx>
      <c:valAx>
        <c:axId val="38186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008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009408"/>
        <c:axId val="38209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009408"/>
        <c:axId val="3820928"/>
      </c:lineChart>
      <c:catAx>
        <c:axId val="301009408"/>
        <c:scaling>
          <c:orientation val="minMax"/>
        </c:scaling>
        <c:delete val="0"/>
        <c:axPos val="b"/>
        <c:majorTickMark val="out"/>
        <c:minorTickMark val="none"/>
        <c:tickLblPos val="nextTo"/>
        <c:crossAx val="3820928"/>
        <c:crosses val="autoZero"/>
        <c:auto val="1"/>
        <c:lblAlgn val="ctr"/>
        <c:lblOffset val="100"/>
        <c:noMultiLvlLbl val="0"/>
      </c:catAx>
      <c:valAx>
        <c:axId val="38209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10094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2">
                  <c:v>5454</c:v>
                </c:pt>
                <c:pt idx="3">
                  <c:v>4823</c:v>
                </c:pt>
                <c:pt idx="4">
                  <c:v>74912</c:v>
                </c:pt>
                <c:pt idx="5">
                  <c:v>3186</c:v>
                </c:pt>
                <c:pt idx="6">
                  <c:v>1790</c:v>
                </c:pt>
                <c:pt idx="8">
                  <c:v>4511</c:v>
                </c:pt>
                <c:pt idx="9">
                  <c:v>609</c:v>
                </c:pt>
                <c:pt idx="14">
                  <c:v>1097</c:v>
                </c:pt>
                <c:pt idx="15">
                  <c:v>37488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10162</c:v>
                </c:pt>
                <c:pt idx="1">
                  <c:v>6244</c:v>
                </c:pt>
                <c:pt idx="2">
                  <c:v>5454</c:v>
                </c:pt>
                <c:pt idx="3">
                  <c:v>4830</c:v>
                </c:pt>
                <c:pt idx="4">
                  <c:v>74920</c:v>
                </c:pt>
                <c:pt idx="5">
                  <c:v>3190</c:v>
                </c:pt>
                <c:pt idx="6">
                  <c:v>1790</c:v>
                </c:pt>
                <c:pt idx="7">
                  <c:v>962</c:v>
                </c:pt>
                <c:pt idx="8">
                  <c:v>4511</c:v>
                </c:pt>
                <c:pt idx="9">
                  <c:v>610</c:v>
                </c:pt>
                <c:pt idx="10">
                  <c:v>2811</c:v>
                </c:pt>
                <c:pt idx="11">
                  <c:v>11090</c:v>
                </c:pt>
                <c:pt idx="12">
                  <c:v>2420</c:v>
                </c:pt>
                <c:pt idx="13">
                  <c:v>3115</c:v>
                </c:pt>
                <c:pt idx="14">
                  <c:v>1100</c:v>
                </c:pt>
                <c:pt idx="15">
                  <c:v>37500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598208"/>
        <c:axId val="3823808"/>
      </c:lineChart>
      <c:catAx>
        <c:axId val="3015982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23808"/>
        <c:crosses val="autoZero"/>
        <c:auto val="1"/>
        <c:lblAlgn val="ctr"/>
        <c:lblOffset val="100"/>
        <c:noMultiLvlLbl val="0"/>
      </c:catAx>
      <c:valAx>
        <c:axId val="38238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598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0% 0% 100% 100% 87% 71% 25% 0% 100% 25% 0% 0% 0% 0% 25%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0.99855072463768113</c:v>
                </c:pt>
                <c:pt idx="4">
                  <c:v>0.87490656700480507</c:v>
                </c:pt>
                <c:pt idx="5">
                  <c:v>0.70744514106583078</c:v>
                </c:pt>
                <c:pt idx="6">
                  <c:v>0.25</c:v>
                </c:pt>
                <c:pt idx="7">
                  <c:v>0</c:v>
                </c:pt>
                <c:pt idx="8">
                  <c:v>1</c:v>
                </c:pt>
                <c:pt idx="9">
                  <c:v>0.24959016393442623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0.24931818181818183</c:v>
                </c:pt>
                <c:pt idx="15">
                  <c:v>0.87472000000000005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0.41363538523072835</c:v>
                </c:pt>
                <c:pt idx="1">
                  <c:v>0.41363538523072835</c:v>
                </c:pt>
                <c:pt idx="2">
                  <c:v>0.41363538523072835</c:v>
                </c:pt>
                <c:pt idx="3">
                  <c:v>0.41363538523072835</c:v>
                </c:pt>
                <c:pt idx="4">
                  <c:v>0.41363538523072835</c:v>
                </c:pt>
                <c:pt idx="5">
                  <c:v>0.41363538523072835</c:v>
                </c:pt>
                <c:pt idx="6">
                  <c:v>0.41363538523072835</c:v>
                </c:pt>
                <c:pt idx="7">
                  <c:v>0.41363538523072835</c:v>
                </c:pt>
                <c:pt idx="8">
                  <c:v>0.41363538523072835</c:v>
                </c:pt>
                <c:pt idx="9">
                  <c:v>0.41363538523072835</c:v>
                </c:pt>
                <c:pt idx="10">
                  <c:v>0.41363538523072835</c:v>
                </c:pt>
                <c:pt idx="11">
                  <c:v>0.41363538523072835</c:v>
                </c:pt>
                <c:pt idx="12">
                  <c:v>0.41363538523072835</c:v>
                </c:pt>
                <c:pt idx="13">
                  <c:v>0.41363538523072835</c:v>
                </c:pt>
                <c:pt idx="14">
                  <c:v>0.41363538523072835</c:v>
                </c:pt>
                <c:pt idx="15">
                  <c:v>0.41363538523072835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00256"/>
        <c:axId val="3915776"/>
      </c:lineChart>
      <c:catAx>
        <c:axId val="30160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15776"/>
        <c:crosses val="autoZero"/>
        <c:auto val="1"/>
        <c:lblAlgn val="ctr"/>
        <c:lblOffset val="100"/>
        <c:noMultiLvlLbl val="0"/>
      </c:catAx>
      <c:valAx>
        <c:axId val="39157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600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2">
                  <c:v>5454</c:v>
                </c:pt>
                <c:pt idx="3">
                  <c:v>4823</c:v>
                </c:pt>
                <c:pt idx="4">
                  <c:v>74912</c:v>
                </c:pt>
                <c:pt idx="5">
                  <c:v>3186</c:v>
                </c:pt>
                <c:pt idx="6">
                  <c:v>1790</c:v>
                </c:pt>
                <c:pt idx="8">
                  <c:v>4511</c:v>
                </c:pt>
                <c:pt idx="9">
                  <c:v>609</c:v>
                </c:pt>
                <c:pt idx="14">
                  <c:v>1097</c:v>
                </c:pt>
                <c:pt idx="15">
                  <c:v>37488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10162</c:v>
                </c:pt>
                <c:pt idx="1">
                  <c:v>6244</c:v>
                </c:pt>
                <c:pt idx="2">
                  <c:v>5454</c:v>
                </c:pt>
                <c:pt idx="3">
                  <c:v>4830</c:v>
                </c:pt>
                <c:pt idx="4">
                  <c:v>74920</c:v>
                </c:pt>
                <c:pt idx="5">
                  <c:v>3190</c:v>
                </c:pt>
                <c:pt idx="6">
                  <c:v>1790</c:v>
                </c:pt>
                <c:pt idx="7">
                  <c:v>962</c:v>
                </c:pt>
                <c:pt idx="8">
                  <c:v>4511</c:v>
                </c:pt>
                <c:pt idx="9">
                  <c:v>610</c:v>
                </c:pt>
                <c:pt idx="10">
                  <c:v>2811</c:v>
                </c:pt>
                <c:pt idx="11">
                  <c:v>11090</c:v>
                </c:pt>
                <c:pt idx="12">
                  <c:v>2420</c:v>
                </c:pt>
                <c:pt idx="13">
                  <c:v>3115</c:v>
                </c:pt>
                <c:pt idx="14">
                  <c:v>1100</c:v>
                </c:pt>
                <c:pt idx="15">
                  <c:v>37500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58112"/>
        <c:axId val="3918080"/>
      </c:lineChart>
      <c:catAx>
        <c:axId val="3016581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18080"/>
        <c:crosses val="autoZero"/>
        <c:auto val="1"/>
        <c:lblAlgn val="ctr"/>
        <c:lblOffset val="100"/>
        <c:noMultiLvlLbl val="0"/>
      </c:catAx>
      <c:valAx>
        <c:axId val="3918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658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0% 0% 100% 100% 87% 71% 25% 0% 100% 25% 0% 0% 0% 0% 25%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0.99855072463768113</c:v>
                </c:pt>
                <c:pt idx="4">
                  <c:v>0.87490656700480507</c:v>
                </c:pt>
                <c:pt idx="5">
                  <c:v>0.70744514106583078</c:v>
                </c:pt>
                <c:pt idx="6">
                  <c:v>0.25</c:v>
                </c:pt>
                <c:pt idx="7">
                  <c:v>0</c:v>
                </c:pt>
                <c:pt idx="8">
                  <c:v>1</c:v>
                </c:pt>
                <c:pt idx="9">
                  <c:v>0.24959016393442623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0.24931818181818183</c:v>
                </c:pt>
                <c:pt idx="15">
                  <c:v>0.87472000000000005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STOPPER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0.41363538523072835</c:v>
                </c:pt>
                <c:pt idx="1">
                  <c:v>0.41363538523072835</c:v>
                </c:pt>
                <c:pt idx="2">
                  <c:v>0.41363538523072835</c:v>
                </c:pt>
                <c:pt idx="3">
                  <c:v>0.41363538523072835</c:v>
                </c:pt>
                <c:pt idx="4">
                  <c:v>0.41363538523072835</c:v>
                </c:pt>
                <c:pt idx="5">
                  <c:v>0.41363538523072835</c:v>
                </c:pt>
                <c:pt idx="6">
                  <c:v>0.41363538523072835</c:v>
                </c:pt>
                <c:pt idx="7">
                  <c:v>0.41363538523072835</c:v>
                </c:pt>
                <c:pt idx="8">
                  <c:v>0.41363538523072835</c:v>
                </c:pt>
                <c:pt idx="9">
                  <c:v>0.41363538523072835</c:v>
                </c:pt>
                <c:pt idx="10">
                  <c:v>0.41363538523072835</c:v>
                </c:pt>
                <c:pt idx="11">
                  <c:v>0.41363538523072835</c:v>
                </c:pt>
                <c:pt idx="12">
                  <c:v>0.41363538523072835</c:v>
                </c:pt>
                <c:pt idx="13">
                  <c:v>0.41363538523072835</c:v>
                </c:pt>
                <c:pt idx="14">
                  <c:v>0.41363538523072835</c:v>
                </c:pt>
                <c:pt idx="15">
                  <c:v>0.41363538523072835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59648"/>
        <c:axId val="3919808"/>
      </c:lineChart>
      <c:catAx>
        <c:axId val="30165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19808"/>
        <c:crosses val="autoZero"/>
        <c:auto val="1"/>
        <c:lblAlgn val="ctr"/>
        <c:lblOffset val="100"/>
        <c:noMultiLvlLbl val="0"/>
      </c:catAx>
      <c:valAx>
        <c:axId val="39198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659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660160"/>
        <c:axId val="39221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60160"/>
        <c:axId val="3922112"/>
      </c:lineChart>
      <c:catAx>
        <c:axId val="30166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3922112"/>
        <c:crosses val="autoZero"/>
        <c:auto val="1"/>
        <c:lblAlgn val="ctr"/>
        <c:lblOffset val="100"/>
        <c:noMultiLvlLbl val="0"/>
      </c:catAx>
      <c:valAx>
        <c:axId val="39221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16601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5239</c:v>
                </c:pt>
                <c:pt idx="3">
                  <c:v>3102</c:v>
                </c:pt>
                <c:pt idx="4">
                  <c:v>2327</c:v>
                </c:pt>
                <c:pt idx="5">
                  <c:v>3179</c:v>
                </c:pt>
                <c:pt idx="6">
                  <c:v>2283</c:v>
                </c:pt>
                <c:pt idx="7">
                  <c:v>2599</c:v>
                </c:pt>
                <c:pt idx="14">
                  <c:v>44980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10162</c:v>
                </c:pt>
                <c:pt idx="1">
                  <c:v>6244</c:v>
                </c:pt>
                <c:pt idx="2">
                  <c:v>5240</c:v>
                </c:pt>
                <c:pt idx="3">
                  <c:v>3110</c:v>
                </c:pt>
                <c:pt idx="4">
                  <c:v>2330</c:v>
                </c:pt>
                <c:pt idx="5">
                  <c:v>3180</c:v>
                </c:pt>
                <c:pt idx="6">
                  <c:v>2283</c:v>
                </c:pt>
                <c:pt idx="7">
                  <c:v>2600</c:v>
                </c:pt>
                <c:pt idx="8">
                  <c:v>610</c:v>
                </c:pt>
                <c:pt idx="9">
                  <c:v>2811</c:v>
                </c:pt>
                <c:pt idx="10">
                  <c:v>11090</c:v>
                </c:pt>
                <c:pt idx="11">
                  <c:v>2420</c:v>
                </c:pt>
                <c:pt idx="12">
                  <c:v>3115</c:v>
                </c:pt>
                <c:pt idx="13">
                  <c:v>1100</c:v>
                </c:pt>
                <c:pt idx="14">
                  <c:v>44980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55072"/>
        <c:axId val="4088384"/>
      </c:lineChart>
      <c:catAx>
        <c:axId val="301955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088384"/>
        <c:crosses val="autoZero"/>
        <c:auto val="1"/>
        <c:lblAlgn val="ctr"/>
        <c:lblOffset val="100"/>
        <c:noMultiLvlLbl val="0"/>
      </c:catAx>
      <c:valAx>
        <c:axId val="40883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95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0% 92% 75% 62% 67% 54% 79% 0% 0% 0% 0% 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0.91649173027989816</c:v>
                </c:pt>
                <c:pt idx="3">
                  <c:v>0.74807073954983916</c:v>
                </c:pt>
                <c:pt idx="4">
                  <c:v>0.62419527896995708</c:v>
                </c:pt>
                <c:pt idx="5">
                  <c:v>0.66645702306079657</c:v>
                </c:pt>
                <c:pt idx="6">
                  <c:v>0.54166666666666663</c:v>
                </c:pt>
                <c:pt idx="7">
                  <c:v>0.79136217948717946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0.35254957453428915</c:v>
                </c:pt>
                <c:pt idx="1">
                  <c:v>0.35254957453428915</c:v>
                </c:pt>
                <c:pt idx="2">
                  <c:v>0.35254957453428915</c:v>
                </c:pt>
                <c:pt idx="3">
                  <c:v>0.35254957453428915</c:v>
                </c:pt>
                <c:pt idx="4">
                  <c:v>0.35254957453428915</c:v>
                </c:pt>
                <c:pt idx="5">
                  <c:v>0.35254957453428915</c:v>
                </c:pt>
                <c:pt idx="6">
                  <c:v>0.35254957453428915</c:v>
                </c:pt>
                <c:pt idx="7">
                  <c:v>0.35254957453428915</c:v>
                </c:pt>
                <c:pt idx="8">
                  <c:v>0.35254957453428915</c:v>
                </c:pt>
                <c:pt idx="9">
                  <c:v>0.35254957453428915</c:v>
                </c:pt>
                <c:pt idx="10">
                  <c:v>0.35254957453428915</c:v>
                </c:pt>
                <c:pt idx="11">
                  <c:v>0.35254957453428915</c:v>
                </c:pt>
                <c:pt idx="12">
                  <c:v>0.35254957453428915</c:v>
                </c:pt>
                <c:pt idx="13">
                  <c:v>0.35254957453428915</c:v>
                </c:pt>
                <c:pt idx="14">
                  <c:v>0.35254957453428915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56608"/>
        <c:axId val="4090112"/>
      </c:lineChart>
      <c:catAx>
        <c:axId val="30195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90112"/>
        <c:crosses val="autoZero"/>
        <c:auto val="1"/>
        <c:lblAlgn val="ctr"/>
        <c:lblOffset val="100"/>
        <c:noMultiLvlLbl val="0"/>
      </c:catAx>
      <c:valAx>
        <c:axId val="40901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956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5239</c:v>
                </c:pt>
                <c:pt idx="3">
                  <c:v>3102</c:v>
                </c:pt>
                <c:pt idx="4">
                  <c:v>2327</c:v>
                </c:pt>
                <c:pt idx="5">
                  <c:v>3179</c:v>
                </c:pt>
                <c:pt idx="6">
                  <c:v>2283</c:v>
                </c:pt>
                <c:pt idx="7">
                  <c:v>2599</c:v>
                </c:pt>
                <c:pt idx="14">
                  <c:v>44980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10162</c:v>
                </c:pt>
                <c:pt idx="1">
                  <c:v>6244</c:v>
                </c:pt>
                <c:pt idx="2">
                  <c:v>5240</c:v>
                </c:pt>
                <c:pt idx="3">
                  <c:v>3110</c:v>
                </c:pt>
                <c:pt idx="4">
                  <c:v>2330</c:v>
                </c:pt>
                <c:pt idx="5">
                  <c:v>3180</c:v>
                </c:pt>
                <c:pt idx="6">
                  <c:v>2283</c:v>
                </c:pt>
                <c:pt idx="7">
                  <c:v>2600</c:v>
                </c:pt>
                <c:pt idx="8">
                  <c:v>610</c:v>
                </c:pt>
                <c:pt idx="9">
                  <c:v>2811</c:v>
                </c:pt>
                <c:pt idx="10">
                  <c:v>11090</c:v>
                </c:pt>
                <c:pt idx="11">
                  <c:v>2420</c:v>
                </c:pt>
                <c:pt idx="12">
                  <c:v>3115</c:v>
                </c:pt>
                <c:pt idx="13">
                  <c:v>1100</c:v>
                </c:pt>
                <c:pt idx="14">
                  <c:v>44980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026752"/>
        <c:axId val="4092416"/>
      </c:lineChart>
      <c:catAx>
        <c:axId val="3020267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092416"/>
        <c:crosses val="autoZero"/>
        <c:auto val="1"/>
        <c:lblAlgn val="ctr"/>
        <c:lblOffset val="100"/>
        <c:noMultiLvlLbl val="0"/>
      </c:catAx>
      <c:valAx>
        <c:axId val="40924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026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0% 92% 75% 62% 67% 54% 79% 0% 0% 0% 0% 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0.91649173027989816</c:v>
                </c:pt>
                <c:pt idx="3">
                  <c:v>0.74807073954983916</c:v>
                </c:pt>
                <c:pt idx="4">
                  <c:v>0.62419527896995708</c:v>
                </c:pt>
                <c:pt idx="5">
                  <c:v>0.66645702306079657</c:v>
                </c:pt>
                <c:pt idx="6">
                  <c:v>0.54166666666666663</c:v>
                </c:pt>
                <c:pt idx="7">
                  <c:v>0.79136217948717946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0">
                  <c:v>LEAD GUIDE</c:v>
                </c:pt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INNER</c:v>
                </c:pt>
                <c:pt idx="10">
                  <c:v>STOPPER</c:v>
                </c:pt>
                <c:pt idx="11">
                  <c:v>LEAD IN</c:v>
                </c:pt>
                <c:pt idx="12">
                  <c:v>PUNCH</c:v>
                </c:pt>
                <c:pt idx="13">
                  <c:v>ACTUATOR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0.35254957453428915</c:v>
                </c:pt>
                <c:pt idx="1">
                  <c:v>0.35254957453428915</c:v>
                </c:pt>
                <c:pt idx="2">
                  <c:v>0.35254957453428915</c:v>
                </c:pt>
                <c:pt idx="3">
                  <c:v>0.35254957453428915</c:v>
                </c:pt>
                <c:pt idx="4">
                  <c:v>0.35254957453428915</c:v>
                </c:pt>
                <c:pt idx="5">
                  <c:v>0.35254957453428915</c:v>
                </c:pt>
                <c:pt idx="6">
                  <c:v>0.35254957453428915</c:v>
                </c:pt>
                <c:pt idx="7">
                  <c:v>0.35254957453428915</c:v>
                </c:pt>
                <c:pt idx="8">
                  <c:v>0.35254957453428915</c:v>
                </c:pt>
                <c:pt idx="9">
                  <c:v>0.35254957453428915</c:v>
                </c:pt>
                <c:pt idx="10">
                  <c:v>0.35254957453428915</c:v>
                </c:pt>
                <c:pt idx="11">
                  <c:v>0.35254957453428915</c:v>
                </c:pt>
                <c:pt idx="12">
                  <c:v>0.35254957453428915</c:v>
                </c:pt>
                <c:pt idx="13">
                  <c:v>0.35254957453428915</c:v>
                </c:pt>
                <c:pt idx="14">
                  <c:v>0.35254957453428915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027776"/>
        <c:axId val="4094144"/>
      </c:lineChart>
      <c:catAx>
        <c:axId val="30202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94144"/>
        <c:crosses val="autoZero"/>
        <c:auto val="1"/>
        <c:lblAlgn val="ctr"/>
        <c:lblOffset val="100"/>
        <c:noMultiLvlLbl val="0"/>
      </c:catAx>
      <c:valAx>
        <c:axId val="40941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027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028800"/>
        <c:axId val="466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028800"/>
        <c:axId val="4661824"/>
      </c:lineChart>
      <c:catAx>
        <c:axId val="302028800"/>
        <c:scaling>
          <c:orientation val="minMax"/>
        </c:scaling>
        <c:delete val="0"/>
        <c:axPos val="b"/>
        <c:majorTickMark val="out"/>
        <c:minorTickMark val="none"/>
        <c:tickLblPos val="nextTo"/>
        <c:crossAx val="4661824"/>
        <c:crosses val="autoZero"/>
        <c:auto val="1"/>
        <c:lblAlgn val="ctr"/>
        <c:lblOffset val="100"/>
        <c:noMultiLvlLbl val="0"/>
      </c:catAx>
      <c:valAx>
        <c:axId val="466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20288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2004</c:v>
                </c:pt>
                <c:pt idx="2">
                  <c:v>1723</c:v>
                </c:pt>
                <c:pt idx="3">
                  <c:v>3273</c:v>
                </c:pt>
                <c:pt idx="4">
                  <c:v>5641</c:v>
                </c:pt>
                <c:pt idx="6">
                  <c:v>4943</c:v>
                </c:pt>
                <c:pt idx="8">
                  <c:v>3947</c:v>
                </c:pt>
                <c:pt idx="11">
                  <c:v>706</c:v>
                </c:pt>
                <c:pt idx="15">
                  <c:v>44780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2004</c:v>
                </c:pt>
                <c:pt idx="1">
                  <c:v>6244</c:v>
                </c:pt>
                <c:pt idx="2">
                  <c:v>1723</c:v>
                </c:pt>
                <c:pt idx="3">
                  <c:v>3273</c:v>
                </c:pt>
                <c:pt idx="4">
                  <c:v>5650</c:v>
                </c:pt>
                <c:pt idx="5">
                  <c:v>2330</c:v>
                </c:pt>
                <c:pt idx="6">
                  <c:v>4950</c:v>
                </c:pt>
                <c:pt idx="7">
                  <c:v>2283</c:v>
                </c:pt>
                <c:pt idx="8">
                  <c:v>3950</c:v>
                </c:pt>
                <c:pt idx="9">
                  <c:v>610</c:v>
                </c:pt>
                <c:pt idx="10">
                  <c:v>2811</c:v>
                </c:pt>
                <c:pt idx="11">
                  <c:v>706</c:v>
                </c:pt>
                <c:pt idx="12">
                  <c:v>2420</c:v>
                </c:pt>
                <c:pt idx="13">
                  <c:v>3115</c:v>
                </c:pt>
                <c:pt idx="14">
                  <c:v>1100</c:v>
                </c:pt>
                <c:pt idx="15">
                  <c:v>44780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320128"/>
        <c:axId val="4664704"/>
      </c:lineChart>
      <c:catAx>
        <c:axId val="3023201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664704"/>
        <c:crosses val="autoZero"/>
        <c:auto val="1"/>
        <c:lblAlgn val="ctr"/>
        <c:lblOffset val="100"/>
        <c:noMultiLvlLbl val="0"/>
      </c:catAx>
      <c:valAx>
        <c:axId val="46647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320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"/>
                <c:pt idx="0">
                  <c:v>63% 0% 25% 71% 100% 0% 96% 0% 100% 0% 0% 25% 0% 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0.625</c:v>
                </c:pt>
                <c:pt idx="1">
                  <c:v>0</c:v>
                </c:pt>
                <c:pt idx="2">
                  <c:v>0.25</c:v>
                </c:pt>
                <c:pt idx="3">
                  <c:v>0.70833333333333337</c:v>
                </c:pt>
                <c:pt idx="4">
                  <c:v>0.99840707964601771</c:v>
                </c:pt>
                <c:pt idx="5">
                  <c:v>0</c:v>
                </c:pt>
                <c:pt idx="6">
                  <c:v>0.95697811447811454</c:v>
                </c:pt>
                <c:pt idx="7">
                  <c:v>0</c:v>
                </c:pt>
                <c:pt idx="8">
                  <c:v>0.99924050632911388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0.38586393558577198</c:v>
                </c:pt>
                <c:pt idx="1">
                  <c:v>0.38586393558577198</c:v>
                </c:pt>
                <c:pt idx="2">
                  <c:v>0.38586393558577198</c:v>
                </c:pt>
                <c:pt idx="3">
                  <c:v>0.38586393558577198</c:v>
                </c:pt>
                <c:pt idx="4">
                  <c:v>0.38586393558577198</c:v>
                </c:pt>
                <c:pt idx="5">
                  <c:v>0.38586393558577198</c:v>
                </c:pt>
                <c:pt idx="6">
                  <c:v>0.38586393558577198</c:v>
                </c:pt>
                <c:pt idx="7">
                  <c:v>0.38586393558577198</c:v>
                </c:pt>
                <c:pt idx="8">
                  <c:v>0.38586393558577198</c:v>
                </c:pt>
                <c:pt idx="9">
                  <c:v>0.38586393558577198</c:v>
                </c:pt>
                <c:pt idx="10">
                  <c:v>0.38586393558577198</c:v>
                </c:pt>
                <c:pt idx="11">
                  <c:v>0.38586393558577198</c:v>
                </c:pt>
                <c:pt idx="12">
                  <c:v>0.38586393558577198</c:v>
                </c:pt>
                <c:pt idx="13">
                  <c:v>0.38586393558577198</c:v>
                </c:pt>
                <c:pt idx="14">
                  <c:v>0.38586393558577198</c:v>
                </c:pt>
                <c:pt idx="15">
                  <c:v>0.38586393558577198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338560"/>
        <c:axId val="4666432"/>
      </c:lineChart>
      <c:catAx>
        <c:axId val="30233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666432"/>
        <c:crosses val="autoZero"/>
        <c:auto val="1"/>
        <c:lblAlgn val="ctr"/>
        <c:lblOffset val="100"/>
        <c:noMultiLvlLbl val="0"/>
      </c:catAx>
      <c:valAx>
        <c:axId val="4666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338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2004</c:v>
                </c:pt>
                <c:pt idx="2">
                  <c:v>1723</c:v>
                </c:pt>
                <c:pt idx="3">
                  <c:v>3273</c:v>
                </c:pt>
                <c:pt idx="4">
                  <c:v>5641</c:v>
                </c:pt>
                <c:pt idx="6">
                  <c:v>4943</c:v>
                </c:pt>
                <c:pt idx="8">
                  <c:v>3947</c:v>
                </c:pt>
                <c:pt idx="11">
                  <c:v>706</c:v>
                </c:pt>
                <c:pt idx="15">
                  <c:v>44780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2004</c:v>
                </c:pt>
                <c:pt idx="1">
                  <c:v>6244</c:v>
                </c:pt>
                <c:pt idx="2">
                  <c:v>1723</c:v>
                </c:pt>
                <c:pt idx="3">
                  <c:v>3273</c:v>
                </c:pt>
                <c:pt idx="4">
                  <c:v>5650</c:v>
                </c:pt>
                <c:pt idx="5">
                  <c:v>2330</c:v>
                </c:pt>
                <c:pt idx="6">
                  <c:v>4950</c:v>
                </c:pt>
                <c:pt idx="7">
                  <c:v>2283</c:v>
                </c:pt>
                <c:pt idx="8">
                  <c:v>3950</c:v>
                </c:pt>
                <c:pt idx="9">
                  <c:v>610</c:v>
                </c:pt>
                <c:pt idx="10">
                  <c:v>2811</c:v>
                </c:pt>
                <c:pt idx="11">
                  <c:v>706</c:v>
                </c:pt>
                <c:pt idx="12">
                  <c:v>2420</c:v>
                </c:pt>
                <c:pt idx="13">
                  <c:v>3115</c:v>
                </c:pt>
                <c:pt idx="14">
                  <c:v>1100</c:v>
                </c:pt>
                <c:pt idx="15">
                  <c:v>44780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339072"/>
        <c:axId val="4668736"/>
      </c:lineChart>
      <c:catAx>
        <c:axId val="302339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668736"/>
        <c:crosses val="autoZero"/>
        <c:auto val="1"/>
        <c:lblAlgn val="ctr"/>
        <c:lblOffset val="100"/>
        <c:noMultiLvlLbl val="0"/>
      </c:catAx>
      <c:valAx>
        <c:axId val="4668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339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"/>
                <c:pt idx="0">
                  <c:v>63% 0% 25% 71% 100% 0% 96% 0% 100% 0% 0% 25% 0% 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0.625</c:v>
                </c:pt>
                <c:pt idx="1">
                  <c:v>0</c:v>
                </c:pt>
                <c:pt idx="2">
                  <c:v>0.25</c:v>
                </c:pt>
                <c:pt idx="3">
                  <c:v>0.70833333333333337</c:v>
                </c:pt>
                <c:pt idx="4">
                  <c:v>0.99840707964601771</c:v>
                </c:pt>
                <c:pt idx="5">
                  <c:v>0</c:v>
                </c:pt>
                <c:pt idx="6">
                  <c:v>0.95697811447811454</c:v>
                </c:pt>
                <c:pt idx="7">
                  <c:v>0</c:v>
                </c:pt>
                <c:pt idx="8">
                  <c:v>0.99924050632911388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'25'!$D$6:$D$21</c:f>
              <c:strCache>
                <c:ptCount val="15"/>
                <c:pt idx="1">
                  <c:v>REAR 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BODY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INNER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ACTUATOR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0.38586393558577198</c:v>
                </c:pt>
                <c:pt idx="1">
                  <c:v>0.38586393558577198</c:v>
                </c:pt>
                <c:pt idx="2">
                  <c:v>0.38586393558577198</c:v>
                </c:pt>
                <c:pt idx="3">
                  <c:v>0.38586393558577198</c:v>
                </c:pt>
                <c:pt idx="4">
                  <c:v>0.38586393558577198</c:v>
                </c:pt>
                <c:pt idx="5">
                  <c:v>0.38586393558577198</c:v>
                </c:pt>
                <c:pt idx="6">
                  <c:v>0.38586393558577198</c:v>
                </c:pt>
                <c:pt idx="7">
                  <c:v>0.38586393558577198</c:v>
                </c:pt>
                <c:pt idx="8">
                  <c:v>0.38586393558577198</c:v>
                </c:pt>
                <c:pt idx="9">
                  <c:v>0.38586393558577198</c:v>
                </c:pt>
                <c:pt idx="10">
                  <c:v>0.38586393558577198</c:v>
                </c:pt>
                <c:pt idx="11">
                  <c:v>0.38586393558577198</c:v>
                </c:pt>
                <c:pt idx="12">
                  <c:v>0.38586393558577198</c:v>
                </c:pt>
                <c:pt idx="13">
                  <c:v>0.38586393558577198</c:v>
                </c:pt>
                <c:pt idx="14">
                  <c:v>0.38586393558577198</c:v>
                </c:pt>
                <c:pt idx="15">
                  <c:v>0.38586393558577198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340096"/>
        <c:axId val="5080192"/>
      </c:lineChart>
      <c:catAx>
        <c:axId val="30234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80192"/>
        <c:crosses val="autoZero"/>
        <c:auto val="1"/>
        <c:lblAlgn val="ctr"/>
        <c:lblOffset val="100"/>
        <c:noMultiLvlLbl val="0"/>
      </c:catAx>
      <c:valAx>
        <c:axId val="50801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340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340608"/>
        <c:axId val="50824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340608"/>
        <c:axId val="5082496"/>
      </c:lineChart>
      <c:catAx>
        <c:axId val="30234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5082496"/>
        <c:crosses val="autoZero"/>
        <c:auto val="1"/>
        <c:lblAlgn val="ctr"/>
        <c:lblOffset val="100"/>
        <c:noMultiLvlLbl val="0"/>
      </c:catAx>
      <c:valAx>
        <c:axId val="50824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23406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0">
                  <c:v>3701</c:v>
                </c:pt>
                <c:pt idx="2">
                  <c:v>5942</c:v>
                </c:pt>
                <c:pt idx="3">
                  <c:v>6180</c:v>
                </c:pt>
                <c:pt idx="5">
                  <c:v>5004</c:v>
                </c:pt>
                <c:pt idx="7">
                  <c:v>5339</c:v>
                </c:pt>
                <c:pt idx="9">
                  <c:v>23252</c:v>
                </c:pt>
                <c:pt idx="13">
                  <c:v>2775</c:v>
                </c:pt>
                <c:pt idx="14">
                  <c:v>45932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3701</c:v>
                </c:pt>
                <c:pt idx="1">
                  <c:v>6244</c:v>
                </c:pt>
                <c:pt idx="2">
                  <c:v>5950</c:v>
                </c:pt>
                <c:pt idx="3">
                  <c:v>6180</c:v>
                </c:pt>
                <c:pt idx="4">
                  <c:v>2330</c:v>
                </c:pt>
                <c:pt idx="5">
                  <c:v>5004</c:v>
                </c:pt>
                <c:pt idx="6">
                  <c:v>2283</c:v>
                </c:pt>
                <c:pt idx="7">
                  <c:v>5340</c:v>
                </c:pt>
                <c:pt idx="8">
                  <c:v>610</c:v>
                </c:pt>
                <c:pt idx="9">
                  <c:v>23260</c:v>
                </c:pt>
                <c:pt idx="10">
                  <c:v>706</c:v>
                </c:pt>
                <c:pt idx="11">
                  <c:v>2420</c:v>
                </c:pt>
                <c:pt idx="12">
                  <c:v>3115</c:v>
                </c:pt>
                <c:pt idx="13">
                  <c:v>2780</c:v>
                </c:pt>
                <c:pt idx="14">
                  <c:v>45940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787584"/>
        <c:axId val="5085376"/>
      </c:lineChart>
      <c:catAx>
        <c:axId val="3027875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85376"/>
        <c:crosses val="autoZero"/>
        <c:auto val="1"/>
        <c:lblAlgn val="ctr"/>
        <c:lblOffset val="100"/>
        <c:noMultiLvlLbl val="0"/>
      </c:catAx>
      <c:valAx>
        <c:axId val="50853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787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100% 0% 100% 100% 0% 100% 0% 100% 0% 92% 0% 0% 0%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0.998655462184874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0.99981273408239701</c:v>
                </c:pt>
                <c:pt idx="8">
                  <c:v>0</c:v>
                </c:pt>
                <c:pt idx="9">
                  <c:v>0.91635139008311828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0.58228417266187049</c:v>
                </c:pt>
                <c:pt idx="14">
                  <c:v>0.99982585981715277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0.49979530792196081</c:v>
                </c:pt>
                <c:pt idx="1">
                  <c:v>0.49979530792196081</c:v>
                </c:pt>
                <c:pt idx="2">
                  <c:v>0.49979530792196081</c:v>
                </c:pt>
                <c:pt idx="3">
                  <c:v>0.49979530792196081</c:v>
                </c:pt>
                <c:pt idx="4">
                  <c:v>0.49979530792196081</c:v>
                </c:pt>
                <c:pt idx="5">
                  <c:v>0.49979530792196081</c:v>
                </c:pt>
                <c:pt idx="6">
                  <c:v>0.49979530792196081</c:v>
                </c:pt>
                <c:pt idx="7">
                  <c:v>0.49979530792196081</c:v>
                </c:pt>
                <c:pt idx="8">
                  <c:v>0.49979530792196081</c:v>
                </c:pt>
                <c:pt idx="9">
                  <c:v>0.49979530792196081</c:v>
                </c:pt>
                <c:pt idx="10">
                  <c:v>0.49979530792196081</c:v>
                </c:pt>
                <c:pt idx="11">
                  <c:v>0.49979530792196081</c:v>
                </c:pt>
                <c:pt idx="12">
                  <c:v>0.49979530792196081</c:v>
                </c:pt>
                <c:pt idx="13">
                  <c:v>0.49979530792196081</c:v>
                </c:pt>
                <c:pt idx="14">
                  <c:v>0.49979530792196081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793216"/>
        <c:axId val="4890624"/>
      </c:lineChart>
      <c:catAx>
        <c:axId val="30279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90624"/>
        <c:crosses val="autoZero"/>
        <c:auto val="1"/>
        <c:lblAlgn val="ctr"/>
        <c:lblOffset val="100"/>
        <c:noMultiLvlLbl val="0"/>
      </c:catAx>
      <c:valAx>
        <c:axId val="48906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793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0">
                  <c:v>3701</c:v>
                </c:pt>
                <c:pt idx="2">
                  <c:v>5942</c:v>
                </c:pt>
                <c:pt idx="3">
                  <c:v>6180</c:v>
                </c:pt>
                <c:pt idx="5">
                  <c:v>5004</c:v>
                </c:pt>
                <c:pt idx="7">
                  <c:v>5339</c:v>
                </c:pt>
                <c:pt idx="9">
                  <c:v>23252</c:v>
                </c:pt>
                <c:pt idx="13">
                  <c:v>2775</c:v>
                </c:pt>
                <c:pt idx="14">
                  <c:v>45932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3701</c:v>
                </c:pt>
                <c:pt idx="1">
                  <c:v>6244</c:v>
                </c:pt>
                <c:pt idx="2">
                  <c:v>5950</c:v>
                </c:pt>
                <c:pt idx="3">
                  <c:v>6180</c:v>
                </c:pt>
                <c:pt idx="4">
                  <c:v>2330</c:v>
                </c:pt>
                <c:pt idx="5">
                  <c:v>5004</c:v>
                </c:pt>
                <c:pt idx="6">
                  <c:v>2283</c:v>
                </c:pt>
                <c:pt idx="7">
                  <c:v>5340</c:v>
                </c:pt>
                <c:pt idx="8">
                  <c:v>610</c:v>
                </c:pt>
                <c:pt idx="9">
                  <c:v>23260</c:v>
                </c:pt>
                <c:pt idx="10">
                  <c:v>706</c:v>
                </c:pt>
                <c:pt idx="11">
                  <c:v>2420</c:v>
                </c:pt>
                <c:pt idx="12">
                  <c:v>3115</c:v>
                </c:pt>
                <c:pt idx="13">
                  <c:v>2780</c:v>
                </c:pt>
                <c:pt idx="14">
                  <c:v>45940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793728"/>
        <c:axId val="4892928"/>
      </c:lineChart>
      <c:catAx>
        <c:axId val="3027937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92928"/>
        <c:crosses val="autoZero"/>
        <c:auto val="1"/>
        <c:lblAlgn val="ctr"/>
        <c:lblOffset val="100"/>
        <c:noMultiLvlLbl val="0"/>
      </c:catAx>
      <c:valAx>
        <c:axId val="48929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793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100% 0% 100% 100% 0% 100% 0% 100% 0% 92% 0% 0% 0%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0.998655462184874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0.99981273408239701</c:v>
                </c:pt>
                <c:pt idx="8">
                  <c:v>0</c:v>
                </c:pt>
                <c:pt idx="9">
                  <c:v>0.91635139008311828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0.58228417266187049</c:v>
                </c:pt>
                <c:pt idx="14">
                  <c:v>0.99982585981715277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1">
                  <c:v>REAR COVER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24V</c:v>
                </c:pt>
                <c:pt idx="10">
                  <c:v>BASE</c:v>
                </c:pt>
                <c:pt idx="11">
                  <c:v>LEAD IN</c:v>
                </c:pt>
                <c:pt idx="12">
                  <c:v>PUNCH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0.49979530792196081</c:v>
                </c:pt>
                <c:pt idx="1">
                  <c:v>0.49979530792196081</c:v>
                </c:pt>
                <c:pt idx="2">
                  <c:v>0.49979530792196081</c:v>
                </c:pt>
                <c:pt idx="3">
                  <c:v>0.49979530792196081</c:v>
                </c:pt>
                <c:pt idx="4">
                  <c:v>0.49979530792196081</c:v>
                </c:pt>
                <c:pt idx="5">
                  <c:v>0.49979530792196081</c:v>
                </c:pt>
                <c:pt idx="6">
                  <c:v>0.49979530792196081</c:v>
                </c:pt>
                <c:pt idx="7">
                  <c:v>0.49979530792196081</c:v>
                </c:pt>
                <c:pt idx="8">
                  <c:v>0.49979530792196081</c:v>
                </c:pt>
                <c:pt idx="9">
                  <c:v>0.49979530792196081</c:v>
                </c:pt>
                <c:pt idx="10">
                  <c:v>0.49979530792196081</c:v>
                </c:pt>
                <c:pt idx="11">
                  <c:v>0.49979530792196081</c:v>
                </c:pt>
                <c:pt idx="12">
                  <c:v>0.49979530792196081</c:v>
                </c:pt>
                <c:pt idx="13">
                  <c:v>0.49979530792196081</c:v>
                </c:pt>
                <c:pt idx="14">
                  <c:v>0.49979530792196081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794752"/>
        <c:axId val="4894656"/>
      </c:lineChart>
      <c:catAx>
        <c:axId val="30279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94656"/>
        <c:crosses val="autoZero"/>
        <c:auto val="1"/>
        <c:lblAlgn val="ctr"/>
        <c:lblOffset val="100"/>
        <c:noMultiLvlLbl val="0"/>
      </c:catAx>
      <c:valAx>
        <c:axId val="4894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794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795264"/>
        <c:axId val="48969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795264"/>
        <c:axId val="4896960"/>
      </c:lineChart>
      <c:catAx>
        <c:axId val="302795264"/>
        <c:scaling>
          <c:orientation val="minMax"/>
        </c:scaling>
        <c:delete val="0"/>
        <c:axPos val="b"/>
        <c:majorTickMark val="out"/>
        <c:minorTickMark val="none"/>
        <c:tickLblPos val="nextTo"/>
        <c:crossAx val="4896960"/>
        <c:crosses val="autoZero"/>
        <c:auto val="1"/>
        <c:lblAlgn val="ctr"/>
        <c:lblOffset val="100"/>
        <c:noMultiLvlLbl val="0"/>
      </c:catAx>
      <c:valAx>
        <c:axId val="48969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27952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0">
                  <c:v>2366</c:v>
                </c:pt>
                <c:pt idx="1">
                  <c:v>1556</c:v>
                </c:pt>
                <c:pt idx="2">
                  <c:v>2889</c:v>
                </c:pt>
                <c:pt idx="3">
                  <c:v>1997</c:v>
                </c:pt>
                <c:pt idx="4">
                  <c:v>5174</c:v>
                </c:pt>
                <c:pt idx="5">
                  <c:v>4727</c:v>
                </c:pt>
                <c:pt idx="8">
                  <c:v>3089</c:v>
                </c:pt>
                <c:pt idx="10">
                  <c:v>21724</c:v>
                </c:pt>
                <c:pt idx="14">
                  <c:v>4927</c:v>
                </c:pt>
                <c:pt idx="15">
                  <c:v>39076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2370</c:v>
                </c:pt>
                <c:pt idx="1">
                  <c:v>1560</c:v>
                </c:pt>
                <c:pt idx="2">
                  <c:v>2890</c:v>
                </c:pt>
                <c:pt idx="3">
                  <c:v>2000</c:v>
                </c:pt>
                <c:pt idx="4">
                  <c:v>5180</c:v>
                </c:pt>
                <c:pt idx="5">
                  <c:v>4730</c:v>
                </c:pt>
                <c:pt idx="6">
                  <c:v>5004</c:v>
                </c:pt>
                <c:pt idx="7">
                  <c:v>2283</c:v>
                </c:pt>
                <c:pt idx="8">
                  <c:v>3090</c:v>
                </c:pt>
                <c:pt idx="9">
                  <c:v>610</c:v>
                </c:pt>
                <c:pt idx="10">
                  <c:v>21730</c:v>
                </c:pt>
                <c:pt idx="11">
                  <c:v>706</c:v>
                </c:pt>
                <c:pt idx="12">
                  <c:v>2420</c:v>
                </c:pt>
                <c:pt idx="13">
                  <c:v>3115</c:v>
                </c:pt>
                <c:pt idx="14">
                  <c:v>4930</c:v>
                </c:pt>
                <c:pt idx="15">
                  <c:v>39080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796288"/>
        <c:axId val="5006464"/>
      </c:lineChart>
      <c:catAx>
        <c:axId val="3027962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06464"/>
        <c:crosses val="autoZero"/>
        <c:auto val="1"/>
        <c:lblAlgn val="ctr"/>
        <c:lblOffset val="100"/>
        <c:noMultiLvlLbl val="0"/>
      </c:catAx>
      <c:valAx>
        <c:axId val="5006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796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"/>
                <c:pt idx="0">
                  <c:v>83% 33% 62% 33% 100% 92% 0% 0% 75% 0% 100% 0% 0% 0% 100% 92%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0.83192686357243317</c:v>
                </c:pt>
                <c:pt idx="1">
                  <c:v>0.33247863247863246</c:v>
                </c:pt>
                <c:pt idx="2">
                  <c:v>0.62478373702422141</c:v>
                </c:pt>
                <c:pt idx="3">
                  <c:v>0.33283333333333331</c:v>
                </c:pt>
                <c:pt idx="4">
                  <c:v>0.99884169884169882</c:v>
                </c:pt>
                <c:pt idx="5">
                  <c:v>0.91608527131782946</c:v>
                </c:pt>
                <c:pt idx="6">
                  <c:v>0</c:v>
                </c:pt>
                <c:pt idx="7">
                  <c:v>0</c:v>
                </c:pt>
                <c:pt idx="8">
                  <c:v>0.74975728155339805</c:v>
                </c:pt>
                <c:pt idx="9">
                  <c:v>0</c:v>
                </c:pt>
                <c:pt idx="10">
                  <c:v>0.9997238840312932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0.9993914807302231</c:v>
                </c:pt>
                <c:pt idx="15">
                  <c:v>0.9165728420334357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0.5134930016610999</c:v>
                </c:pt>
                <c:pt idx="1">
                  <c:v>0.5134930016610999</c:v>
                </c:pt>
                <c:pt idx="2">
                  <c:v>0.5134930016610999</c:v>
                </c:pt>
                <c:pt idx="3">
                  <c:v>0.5134930016610999</c:v>
                </c:pt>
                <c:pt idx="4">
                  <c:v>0.5134930016610999</c:v>
                </c:pt>
                <c:pt idx="5">
                  <c:v>0.5134930016610999</c:v>
                </c:pt>
                <c:pt idx="6">
                  <c:v>0.5134930016610999</c:v>
                </c:pt>
                <c:pt idx="7">
                  <c:v>0.5134930016610999</c:v>
                </c:pt>
                <c:pt idx="8">
                  <c:v>0.5134930016610999</c:v>
                </c:pt>
                <c:pt idx="9">
                  <c:v>0.5134930016610999</c:v>
                </c:pt>
                <c:pt idx="10">
                  <c:v>0.5134930016610999</c:v>
                </c:pt>
                <c:pt idx="11">
                  <c:v>0.5134930016610999</c:v>
                </c:pt>
                <c:pt idx="12">
                  <c:v>0.5134930016610999</c:v>
                </c:pt>
                <c:pt idx="13">
                  <c:v>0.5134930016610999</c:v>
                </c:pt>
                <c:pt idx="14">
                  <c:v>0.5134930016610999</c:v>
                </c:pt>
                <c:pt idx="15">
                  <c:v>0.5134930016610999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238080"/>
        <c:axId val="5008192"/>
      </c:lineChart>
      <c:catAx>
        <c:axId val="30423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08192"/>
        <c:crosses val="autoZero"/>
        <c:auto val="1"/>
        <c:lblAlgn val="ctr"/>
        <c:lblOffset val="100"/>
        <c:noMultiLvlLbl val="0"/>
      </c:catAx>
      <c:valAx>
        <c:axId val="50081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4238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0">
                  <c:v>2366</c:v>
                </c:pt>
                <c:pt idx="1">
                  <c:v>1556</c:v>
                </c:pt>
                <c:pt idx="2">
                  <c:v>2889</c:v>
                </c:pt>
                <c:pt idx="3">
                  <c:v>1997</c:v>
                </c:pt>
                <c:pt idx="4">
                  <c:v>5174</c:v>
                </c:pt>
                <c:pt idx="5">
                  <c:v>4727</c:v>
                </c:pt>
                <c:pt idx="8">
                  <c:v>3089</c:v>
                </c:pt>
                <c:pt idx="10">
                  <c:v>21724</c:v>
                </c:pt>
                <c:pt idx="14">
                  <c:v>4927</c:v>
                </c:pt>
                <c:pt idx="15">
                  <c:v>39076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2370</c:v>
                </c:pt>
                <c:pt idx="1">
                  <c:v>1560</c:v>
                </c:pt>
                <c:pt idx="2">
                  <c:v>2890</c:v>
                </c:pt>
                <c:pt idx="3">
                  <c:v>2000</c:v>
                </c:pt>
                <c:pt idx="4">
                  <c:v>5180</c:v>
                </c:pt>
                <c:pt idx="5">
                  <c:v>4730</c:v>
                </c:pt>
                <c:pt idx="6">
                  <c:v>5004</c:v>
                </c:pt>
                <c:pt idx="7">
                  <c:v>2283</c:v>
                </c:pt>
                <c:pt idx="8">
                  <c:v>3090</c:v>
                </c:pt>
                <c:pt idx="9">
                  <c:v>610</c:v>
                </c:pt>
                <c:pt idx="10">
                  <c:v>21730</c:v>
                </c:pt>
                <c:pt idx="11">
                  <c:v>706</c:v>
                </c:pt>
                <c:pt idx="12">
                  <c:v>2420</c:v>
                </c:pt>
                <c:pt idx="13">
                  <c:v>3115</c:v>
                </c:pt>
                <c:pt idx="14">
                  <c:v>4930</c:v>
                </c:pt>
                <c:pt idx="15">
                  <c:v>39080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029120"/>
        <c:axId val="5010496"/>
      </c:lineChart>
      <c:catAx>
        <c:axId val="3050291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10496"/>
        <c:crosses val="autoZero"/>
        <c:auto val="1"/>
        <c:lblAlgn val="ctr"/>
        <c:lblOffset val="100"/>
        <c:noMultiLvlLbl val="0"/>
      </c:catAx>
      <c:valAx>
        <c:axId val="50104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5029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"/>
                <c:pt idx="0">
                  <c:v>83% 33% 62% 33% 100% 92% 0% 0% 75% 0% 100% 0% 0% 0% 100% 92%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0.83192686357243317</c:v>
                </c:pt>
                <c:pt idx="1">
                  <c:v>0.33247863247863246</c:v>
                </c:pt>
                <c:pt idx="2">
                  <c:v>0.62478373702422141</c:v>
                </c:pt>
                <c:pt idx="3">
                  <c:v>0.33283333333333331</c:v>
                </c:pt>
                <c:pt idx="4">
                  <c:v>0.99884169884169882</c:v>
                </c:pt>
                <c:pt idx="5">
                  <c:v>0.91608527131782946</c:v>
                </c:pt>
                <c:pt idx="6">
                  <c:v>0</c:v>
                </c:pt>
                <c:pt idx="7">
                  <c:v>0</c:v>
                </c:pt>
                <c:pt idx="8">
                  <c:v>0.74975728155339805</c:v>
                </c:pt>
                <c:pt idx="9">
                  <c:v>0</c:v>
                </c:pt>
                <c:pt idx="10">
                  <c:v>0.9997238840312932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0.9993914807302231</c:v>
                </c:pt>
                <c:pt idx="15">
                  <c:v>0.9165728420334357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'29'!$D$6:$D$21</c:f>
              <c:strCache>
                <c:ptCount val="15"/>
                <c:pt idx="1">
                  <c:v>COVER</c:v>
                </c:pt>
                <c:pt idx="2">
                  <c:v>COVER</c:v>
                </c:pt>
                <c:pt idx="3">
                  <c:v>COVER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24V</c:v>
                </c:pt>
                <c:pt idx="11">
                  <c:v>BASE</c:v>
                </c:pt>
                <c:pt idx="12">
                  <c:v>LEAD IN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0.5134930016610999</c:v>
                </c:pt>
                <c:pt idx="1">
                  <c:v>0.5134930016610999</c:v>
                </c:pt>
                <c:pt idx="2">
                  <c:v>0.5134930016610999</c:v>
                </c:pt>
                <c:pt idx="3">
                  <c:v>0.5134930016610999</c:v>
                </c:pt>
                <c:pt idx="4">
                  <c:v>0.5134930016610999</c:v>
                </c:pt>
                <c:pt idx="5">
                  <c:v>0.5134930016610999</c:v>
                </c:pt>
                <c:pt idx="6">
                  <c:v>0.5134930016610999</c:v>
                </c:pt>
                <c:pt idx="7">
                  <c:v>0.5134930016610999</c:v>
                </c:pt>
                <c:pt idx="8">
                  <c:v>0.5134930016610999</c:v>
                </c:pt>
                <c:pt idx="9">
                  <c:v>0.5134930016610999</c:v>
                </c:pt>
                <c:pt idx="10">
                  <c:v>0.5134930016610999</c:v>
                </c:pt>
                <c:pt idx="11">
                  <c:v>0.5134930016610999</c:v>
                </c:pt>
                <c:pt idx="12">
                  <c:v>0.5134930016610999</c:v>
                </c:pt>
                <c:pt idx="13">
                  <c:v>0.5134930016610999</c:v>
                </c:pt>
                <c:pt idx="14">
                  <c:v>0.5134930016610999</c:v>
                </c:pt>
                <c:pt idx="15">
                  <c:v>0.5134930016610999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030656"/>
        <c:axId val="5012224"/>
      </c:lineChart>
      <c:catAx>
        <c:axId val="30503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12224"/>
        <c:crosses val="autoZero"/>
        <c:auto val="1"/>
        <c:lblAlgn val="ctr"/>
        <c:lblOffset val="100"/>
        <c:noMultiLvlLbl val="0"/>
      </c:catAx>
      <c:valAx>
        <c:axId val="50122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5030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5031168"/>
        <c:axId val="5063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031168"/>
        <c:axId val="5063808"/>
      </c:lineChart>
      <c:catAx>
        <c:axId val="305031168"/>
        <c:scaling>
          <c:orientation val="minMax"/>
        </c:scaling>
        <c:delete val="0"/>
        <c:axPos val="b"/>
        <c:majorTickMark val="out"/>
        <c:minorTickMark val="none"/>
        <c:tickLblPos val="nextTo"/>
        <c:crossAx val="5063808"/>
        <c:crosses val="autoZero"/>
        <c:auto val="1"/>
        <c:lblAlgn val="ctr"/>
        <c:lblOffset val="100"/>
        <c:noMultiLvlLbl val="0"/>
      </c:catAx>
      <c:valAx>
        <c:axId val="5063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50311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5345</c:v>
                </c:pt>
                <c:pt idx="3">
                  <c:v>5154</c:v>
                </c:pt>
                <c:pt idx="4">
                  <c:v>4049</c:v>
                </c:pt>
                <c:pt idx="7">
                  <c:v>1597</c:v>
                </c:pt>
                <c:pt idx="8">
                  <c:v>803</c:v>
                </c:pt>
                <c:pt idx="10">
                  <c:v>21368</c:v>
                </c:pt>
                <c:pt idx="12">
                  <c:v>4315</c:v>
                </c:pt>
                <c:pt idx="14">
                  <c:v>920</c:v>
                </c:pt>
                <c:pt idx="15">
                  <c:v>45072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2370</c:v>
                </c:pt>
                <c:pt idx="1">
                  <c:v>1560</c:v>
                </c:pt>
                <c:pt idx="2">
                  <c:v>5350</c:v>
                </c:pt>
                <c:pt idx="3">
                  <c:v>5160</c:v>
                </c:pt>
                <c:pt idx="4">
                  <c:v>4050</c:v>
                </c:pt>
                <c:pt idx="5">
                  <c:v>5004</c:v>
                </c:pt>
                <c:pt idx="6">
                  <c:v>2283</c:v>
                </c:pt>
                <c:pt idx="7">
                  <c:v>1600</c:v>
                </c:pt>
                <c:pt idx="8">
                  <c:v>810</c:v>
                </c:pt>
                <c:pt idx="9">
                  <c:v>610</c:v>
                </c:pt>
                <c:pt idx="10">
                  <c:v>21400</c:v>
                </c:pt>
                <c:pt idx="11">
                  <c:v>706</c:v>
                </c:pt>
                <c:pt idx="12">
                  <c:v>4320</c:v>
                </c:pt>
                <c:pt idx="13">
                  <c:v>3115</c:v>
                </c:pt>
                <c:pt idx="14">
                  <c:v>920</c:v>
                </c:pt>
                <c:pt idx="15">
                  <c:v>45080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217344"/>
        <c:axId val="5066688"/>
      </c:lineChart>
      <c:catAx>
        <c:axId val="3082173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66688"/>
        <c:crosses val="autoZero"/>
        <c:auto val="1"/>
        <c:lblAlgn val="ctr"/>
        <c:lblOffset val="100"/>
        <c:noMultiLvlLbl val="0"/>
      </c:catAx>
      <c:valAx>
        <c:axId val="50666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8217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"/>
                <c:pt idx="0">
                  <c:v>0% 0% 100% 100% 100% 0% 0% 29% 17% 0% 100% 0% 0% 0% 17%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0.99906542056074765</c:v>
                </c:pt>
                <c:pt idx="3">
                  <c:v>0.99883720930232556</c:v>
                </c:pt>
                <c:pt idx="4">
                  <c:v>0.99975308641975313</c:v>
                </c:pt>
                <c:pt idx="5">
                  <c:v>0</c:v>
                </c:pt>
                <c:pt idx="6">
                  <c:v>0</c:v>
                </c:pt>
                <c:pt idx="7">
                  <c:v>0.29111979166666668</c:v>
                </c:pt>
                <c:pt idx="8">
                  <c:v>0.16522633744855966</c:v>
                </c:pt>
                <c:pt idx="9">
                  <c:v>0</c:v>
                </c:pt>
                <c:pt idx="10">
                  <c:v>0.99850467289719624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0.16666666666666666</c:v>
                </c:pt>
                <c:pt idx="15">
                  <c:v>0.99982253771073648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0.3745997148448435</c:v>
                </c:pt>
                <c:pt idx="1">
                  <c:v>0.3745997148448435</c:v>
                </c:pt>
                <c:pt idx="2">
                  <c:v>0.3745997148448435</c:v>
                </c:pt>
                <c:pt idx="3">
                  <c:v>0.3745997148448435</c:v>
                </c:pt>
                <c:pt idx="4">
                  <c:v>0.3745997148448435</c:v>
                </c:pt>
                <c:pt idx="5">
                  <c:v>0.3745997148448435</c:v>
                </c:pt>
                <c:pt idx="6">
                  <c:v>0.3745997148448435</c:v>
                </c:pt>
                <c:pt idx="7">
                  <c:v>0.3745997148448435</c:v>
                </c:pt>
                <c:pt idx="8">
                  <c:v>0.3745997148448435</c:v>
                </c:pt>
                <c:pt idx="9">
                  <c:v>0.3745997148448435</c:v>
                </c:pt>
                <c:pt idx="10">
                  <c:v>0.3745997148448435</c:v>
                </c:pt>
                <c:pt idx="11">
                  <c:v>0.3745997148448435</c:v>
                </c:pt>
                <c:pt idx="12">
                  <c:v>0.3745997148448435</c:v>
                </c:pt>
                <c:pt idx="13">
                  <c:v>0.3745997148448435</c:v>
                </c:pt>
                <c:pt idx="14">
                  <c:v>0.3745997148448435</c:v>
                </c:pt>
                <c:pt idx="15">
                  <c:v>0.3745997148448435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219392"/>
        <c:axId val="5068416"/>
      </c:lineChart>
      <c:catAx>
        <c:axId val="30821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68416"/>
        <c:crosses val="autoZero"/>
        <c:auto val="1"/>
        <c:lblAlgn val="ctr"/>
        <c:lblOffset val="100"/>
        <c:noMultiLvlLbl val="0"/>
      </c:catAx>
      <c:valAx>
        <c:axId val="5068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8219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5345</c:v>
                </c:pt>
                <c:pt idx="3">
                  <c:v>5154</c:v>
                </c:pt>
                <c:pt idx="4">
                  <c:v>4049</c:v>
                </c:pt>
                <c:pt idx="7">
                  <c:v>1597</c:v>
                </c:pt>
                <c:pt idx="8">
                  <c:v>803</c:v>
                </c:pt>
                <c:pt idx="10">
                  <c:v>21368</c:v>
                </c:pt>
                <c:pt idx="12">
                  <c:v>4315</c:v>
                </c:pt>
                <c:pt idx="14">
                  <c:v>920</c:v>
                </c:pt>
                <c:pt idx="15">
                  <c:v>45072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2370</c:v>
                </c:pt>
                <c:pt idx="1">
                  <c:v>1560</c:v>
                </c:pt>
                <c:pt idx="2">
                  <c:v>5350</c:v>
                </c:pt>
                <c:pt idx="3">
                  <c:v>5160</c:v>
                </c:pt>
                <c:pt idx="4">
                  <c:v>4050</c:v>
                </c:pt>
                <c:pt idx="5">
                  <c:v>5004</c:v>
                </c:pt>
                <c:pt idx="6">
                  <c:v>2283</c:v>
                </c:pt>
                <c:pt idx="7">
                  <c:v>1600</c:v>
                </c:pt>
                <c:pt idx="8">
                  <c:v>810</c:v>
                </c:pt>
                <c:pt idx="9">
                  <c:v>610</c:v>
                </c:pt>
                <c:pt idx="10">
                  <c:v>21400</c:v>
                </c:pt>
                <c:pt idx="11">
                  <c:v>706</c:v>
                </c:pt>
                <c:pt idx="12">
                  <c:v>4320</c:v>
                </c:pt>
                <c:pt idx="13">
                  <c:v>3115</c:v>
                </c:pt>
                <c:pt idx="14">
                  <c:v>920</c:v>
                </c:pt>
                <c:pt idx="15">
                  <c:v>45080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762368"/>
        <c:axId val="4399104"/>
      </c:lineChart>
      <c:catAx>
        <c:axId val="3127623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399104"/>
        <c:crosses val="autoZero"/>
        <c:auto val="1"/>
        <c:lblAlgn val="ctr"/>
        <c:lblOffset val="100"/>
        <c:noMultiLvlLbl val="0"/>
      </c:catAx>
      <c:valAx>
        <c:axId val="43991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2762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"/>
                <c:pt idx="0">
                  <c:v>0% 0% 100% 100% 100% 0% 0% 29% 17% 0% 100% 0% 0% 0% 17%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0.99906542056074765</c:v>
                </c:pt>
                <c:pt idx="3">
                  <c:v>0.99883720930232556</c:v>
                </c:pt>
                <c:pt idx="4">
                  <c:v>0.99975308641975313</c:v>
                </c:pt>
                <c:pt idx="5">
                  <c:v>0</c:v>
                </c:pt>
                <c:pt idx="6">
                  <c:v>0</c:v>
                </c:pt>
                <c:pt idx="7">
                  <c:v>0.29111979166666668</c:v>
                </c:pt>
                <c:pt idx="8">
                  <c:v>0.16522633744855966</c:v>
                </c:pt>
                <c:pt idx="9">
                  <c:v>0</c:v>
                </c:pt>
                <c:pt idx="10">
                  <c:v>0.99850467289719624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0.16666666666666666</c:v>
                </c:pt>
                <c:pt idx="15">
                  <c:v>0.99982253771073648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BASE</c:v>
                </c:pt>
                <c:pt idx="12">
                  <c:v>ADAPTER</c:v>
                </c:pt>
                <c:pt idx="13">
                  <c:v>PUNCH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0.3745997148448435</c:v>
                </c:pt>
                <c:pt idx="1">
                  <c:v>0.3745997148448435</c:v>
                </c:pt>
                <c:pt idx="2">
                  <c:v>0.3745997148448435</c:v>
                </c:pt>
                <c:pt idx="3">
                  <c:v>0.3745997148448435</c:v>
                </c:pt>
                <c:pt idx="4">
                  <c:v>0.3745997148448435</c:v>
                </c:pt>
                <c:pt idx="5">
                  <c:v>0.3745997148448435</c:v>
                </c:pt>
                <c:pt idx="6">
                  <c:v>0.3745997148448435</c:v>
                </c:pt>
                <c:pt idx="7">
                  <c:v>0.3745997148448435</c:v>
                </c:pt>
                <c:pt idx="8">
                  <c:v>0.3745997148448435</c:v>
                </c:pt>
                <c:pt idx="9">
                  <c:v>0.3745997148448435</c:v>
                </c:pt>
                <c:pt idx="10">
                  <c:v>0.3745997148448435</c:v>
                </c:pt>
                <c:pt idx="11">
                  <c:v>0.3745997148448435</c:v>
                </c:pt>
                <c:pt idx="12">
                  <c:v>0.3745997148448435</c:v>
                </c:pt>
                <c:pt idx="13">
                  <c:v>0.3745997148448435</c:v>
                </c:pt>
                <c:pt idx="14">
                  <c:v>0.3745997148448435</c:v>
                </c:pt>
                <c:pt idx="15">
                  <c:v>0.3745997148448435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763392"/>
        <c:axId val="4400832"/>
      </c:lineChart>
      <c:catAx>
        <c:axId val="31276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400832"/>
        <c:crosses val="autoZero"/>
        <c:auto val="1"/>
        <c:lblAlgn val="ctr"/>
        <c:lblOffset val="100"/>
        <c:noMultiLvlLbl val="0"/>
      </c:catAx>
      <c:valAx>
        <c:axId val="4400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276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7770880"/>
        <c:axId val="44031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770880"/>
        <c:axId val="4403136"/>
      </c:lineChart>
      <c:catAx>
        <c:axId val="30777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4403136"/>
        <c:crosses val="autoZero"/>
        <c:auto val="1"/>
        <c:lblAlgn val="ctr"/>
        <c:lblOffset val="100"/>
        <c:noMultiLvlLbl val="0"/>
      </c:catAx>
      <c:valAx>
        <c:axId val="44031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77708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5611</c:v>
                </c:pt>
                <c:pt idx="6">
                  <c:v>2166</c:v>
                </c:pt>
                <c:pt idx="7">
                  <c:v>3565</c:v>
                </c:pt>
                <c:pt idx="9">
                  <c:v>18248</c:v>
                </c:pt>
                <c:pt idx="11">
                  <c:v>1842</c:v>
                </c:pt>
                <c:pt idx="13">
                  <c:v>3258</c:v>
                </c:pt>
                <c:pt idx="14">
                  <c:v>18364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1560</c:v>
                </c:pt>
                <c:pt idx="2">
                  <c:v>5611</c:v>
                </c:pt>
                <c:pt idx="3">
                  <c:v>5160</c:v>
                </c:pt>
                <c:pt idx="4">
                  <c:v>4050</c:v>
                </c:pt>
                <c:pt idx="5">
                  <c:v>5004</c:v>
                </c:pt>
                <c:pt idx="6">
                  <c:v>2170</c:v>
                </c:pt>
                <c:pt idx="7">
                  <c:v>3565</c:v>
                </c:pt>
                <c:pt idx="8">
                  <c:v>610</c:v>
                </c:pt>
                <c:pt idx="9">
                  <c:v>18250</c:v>
                </c:pt>
                <c:pt idx="10">
                  <c:v>706</c:v>
                </c:pt>
                <c:pt idx="11">
                  <c:v>1850</c:v>
                </c:pt>
                <c:pt idx="12">
                  <c:v>3115</c:v>
                </c:pt>
                <c:pt idx="13">
                  <c:v>3260</c:v>
                </c:pt>
                <c:pt idx="14">
                  <c:v>18370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46208"/>
        <c:axId val="4406016"/>
      </c:lineChart>
      <c:catAx>
        <c:axId val="3132462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06016"/>
        <c:crosses val="autoZero"/>
        <c:auto val="1"/>
        <c:lblAlgn val="ctr"/>
        <c:lblOffset val="100"/>
        <c:noMultiLvlLbl val="0"/>
      </c:catAx>
      <c:valAx>
        <c:axId val="44060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3246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100% 0% 0% 0% 54% 88% 0% 100% 0% 41% 0% 58%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0.54066820276497696</c:v>
                </c:pt>
                <c:pt idx="7">
                  <c:v>0.875</c:v>
                </c:pt>
                <c:pt idx="8">
                  <c:v>0</c:v>
                </c:pt>
                <c:pt idx="9">
                  <c:v>0.99989041095890407</c:v>
                </c:pt>
                <c:pt idx="10">
                  <c:v>0</c:v>
                </c:pt>
                <c:pt idx="11">
                  <c:v>0.4148648648648649</c:v>
                </c:pt>
                <c:pt idx="12">
                  <c:v>0</c:v>
                </c:pt>
                <c:pt idx="13">
                  <c:v>0.58297546012269941</c:v>
                </c:pt>
                <c:pt idx="14">
                  <c:v>0.49983669025585192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0.32754904193115314</c:v>
                </c:pt>
                <c:pt idx="1">
                  <c:v>0.32754904193115314</c:v>
                </c:pt>
                <c:pt idx="2">
                  <c:v>0.32754904193115314</c:v>
                </c:pt>
                <c:pt idx="3">
                  <c:v>0.32754904193115314</c:v>
                </c:pt>
                <c:pt idx="4">
                  <c:v>0.32754904193115314</c:v>
                </c:pt>
                <c:pt idx="5">
                  <c:v>0.32754904193115314</c:v>
                </c:pt>
                <c:pt idx="6">
                  <c:v>0.32754904193115314</c:v>
                </c:pt>
                <c:pt idx="7">
                  <c:v>0.32754904193115314</c:v>
                </c:pt>
                <c:pt idx="8">
                  <c:v>0.32754904193115314</c:v>
                </c:pt>
                <c:pt idx="9">
                  <c:v>0.32754904193115314</c:v>
                </c:pt>
                <c:pt idx="10">
                  <c:v>0.32754904193115314</c:v>
                </c:pt>
                <c:pt idx="11">
                  <c:v>0.32754904193115314</c:v>
                </c:pt>
                <c:pt idx="12">
                  <c:v>0.32754904193115314</c:v>
                </c:pt>
                <c:pt idx="13">
                  <c:v>0.32754904193115314</c:v>
                </c:pt>
                <c:pt idx="14">
                  <c:v>0.32754904193115314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48256"/>
        <c:axId val="3777088"/>
      </c:lineChart>
      <c:catAx>
        <c:axId val="31324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77088"/>
        <c:crosses val="autoZero"/>
        <c:auto val="1"/>
        <c:lblAlgn val="ctr"/>
        <c:lblOffset val="100"/>
        <c:noMultiLvlLbl val="0"/>
      </c:catAx>
      <c:valAx>
        <c:axId val="3777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3248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5611</c:v>
                </c:pt>
                <c:pt idx="6">
                  <c:v>2166</c:v>
                </c:pt>
                <c:pt idx="7">
                  <c:v>3565</c:v>
                </c:pt>
                <c:pt idx="9">
                  <c:v>18248</c:v>
                </c:pt>
                <c:pt idx="11">
                  <c:v>1842</c:v>
                </c:pt>
                <c:pt idx="13">
                  <c:v>3258</c:v>
                </c:pt>
                <c:pt idx="14">
                  <c:v>18364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1560</c:v>
                </c:pt>
                <c:pt idx="2">
                  <c:v>5611</c:v>
                </c:pt>
                <c:pt idx="3">
                  <c:v>5160</c:v>
                </c:pt>
                <c:pt idx="4">
                  <c:v>4050</c:v>
                </c:pt>
                <c:pt idx="5">
                  <c:v>5004</c:v>
                </c:pt>
                <c:pt idx="6">
                  <c:v>2170</c:v>
                </c:pt>
                <c:pt idx="7">
                  <c:v>3565</c:v>
                </c:pt>
                <c:pt idx="8">
                  <c:v>610</c:v>
                </c:pt>
                <c:pt idx="9">
                  <c:v>18250</c:v>
                </c:pt>
                <c:pt idx="10">
                  <c:v>706</c:v>
                </c:pt>
                <c:pt idx="11">
                  <c:v>1850</c:v>
                </c:pt>
                <c:pt idx="12">
                  <c:v>3115</c:v>
                </c:pt>
                <c:pt idx="13">
                  <c:v>3260</c:v>
                </c:pt>
                <c:pt idx="14">
                  <c:v>18370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48768"/>
        <c:axId val="3779392"/>
      </c:lineChart>
      <c:catAx>
        <c:axId val="3132487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779392"/>
        <c:crosses val="autoZero"/>
        <c:auto val="1"/>
        <c:lblAlgn val="ctr"/>
        <c:lblOffset val="100"/>
        <c:noMultiLvlLbl val="0"/>
      </c:catAx>
      <c:valAx>
        <c:axId val="37793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3248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100% 0% 0% 0% 54% 88% 0% 100% 0% 41% 0% 58%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0.54066820276497696</c:v>
                </c:pt>
                <c:pt idx="7">
                  <c:v>0.875</c:v>
                </c:pt>
                <c:pt idx="8">
                  <c:v>0</c:v>
                </c:pt>
                <c:pt idx="9">
                  <c:v>0.99989041095890407</c:v>
                </c:pt>
                <c:pt idx="10">
                  <c:v>0</c:v>
                </c:pt>
                <c:pt idx="11">
                  <c:v>0.4148648648648649</c:v>
                </c:pt>
                <c:pt idx="12">
                  <c:v>0</c:v>
                </c:pt>
                <c:pt idx="13">
                  <c:v>0.58297546012269941</c:v>
                </c:pt>
                <c:pt idx="14">
                  <c:v>0.49983669025585192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PUNCH</c:v>
                </c:pt>
                <c:pt idx="13">
                  <c:v>SPACER A,B,C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0.32754904193115314</c:v>
                </c:pt>
                <c:pt idx="1">
                  <c:v>0.32754904193115314</c:v>
                </c:pt>
                <c:pt idx="2">
                  <c:v>0.32754904193115314</c:v>
                </c:pt>
                <c:pt idx="3">
                  <c:v>0.32754904193115314</c:v>
                </c:pt>
                <c:pt idx="4">
                  <c:v>0.32754904193115314</c:v>
                </c:pt>
                <c:pt idx="5">
                  <c:v>0.32754904193115314</c:v>
                </c:pt>
                <c:pt idx="6">
                  <c:v>0.32754904193115314</c:v>
                </c:pt>
                <c:pt idx="7">
                  <c:v>0.32754904193115314</c:v>
                </c:pt>
                <c:pt idx="8">
                  <c:v>0.32754904193115314</c:v>
                </c:pt>
                <c:pt idx="9">
                  <c:v>0.32754904193115314</c:v>
                </c:pt>
                <c:pt idx="10">
                  <c:v>0.32754904193115314</c:v>
                </c:pt>
                <c:pt idx="11">
                  <c:v>0.32754904193115314</c:v>
                </c:pt>
                <c:pt idx="12">
                  <c:v>0.32754904193115314</c:v>
                </c:pt>
                <c:pt idx="13">
                  <c:v>0.32754904193115314</c:v>
                </c:pt>
                <c:pt idx="14">
                  <c:v>0.32754904193115314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610240"/>
        <c:axId val="3781120"/>
      </c:lineChart>
      <c:catAx>
        <c:axId val="31361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81120"/>
        <c:crosses val="autoZero"/>
        <c:auto val="1"/>
        <c:lblAlgn val="ctr"/>
        <c:lblOffset val="100"/>
        <c:noMultiLvlLbl val="0"/>
      </c:catAx>
      <c:valAx>
        <c:axId val="3781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3610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0.48276880193363958</c:v>
                </c:pt>
                <c:pt idx="2">
                  <c:v>0.48015944995001791</c:v>
                </c:pt>
                <c:pt idx="3">
                  <c:v>0.62951488800261546</c:v>
                </c:pt>
                <c:pt idx="4">
                  <c:v>0.6550352971244584</c:v>
                </c:pt>
                <c:pt idx="7">
                  <c:v>0.50480710434402642</c:v>
                </c:pt>
                <c:pt idx="8">
                  <c:v>0.13751947519475197</c:v>
                </c:pt>
                <c:pt idx="9">
                  <c:v>0.29142775355401762</c:v>
                </c:pt>
                <c:pt idx="10">
                  <c:v>0.26372775342596078</c:v>
                </c:pt>
                <c:pt idx="11">
                  <c:v>0.05</c:v>
                </c:pt>
                <c:pt idx="14">
                  <c:v>2.777777777777778E-2</c:v>
                </c:pt>
                <c:pt idx="15">
                  <c:v>6.9383680555555563E-2</c:v>
                </c:pt>
                <c:pt idx="16">
                  <c:v>0.61922515757543195</c:v>
                </c:pt>
                <c:pt idx="17">
                  <c:v>0.55802480570841906</c:v>
                </c:pt>
                <c:pt idx="18">
                  <c:v>0.53306079213944335</c:v>
                </c:pt>
                <c:pt idx="21">
                  <c:v>0.36061140026848781</c:v>
                </c:pt>
                <c:pt idx="22">
                  <c:v>0.41363538523072835</c:v>
                </c:pt>
                <c:pt idx="23">
                  <c:v>0.35254957453428915</c:v>
                </c:pt>
                <c:pt idx="24">
                  <c:v>0.38586393558577198</c:v>
                </c:pt>
                <c:pt idx="25">
                  <c:v>0.49979530792196081</c:v>
                </c:pt>
                <c:pt idx="28">
                  <c:v>0.5134930016610999</c:v>
                </c:pt>
                <c:pt idx="29">
                  <c:v>0.3745997148448435</c:v>
                </c:pt>
                <c:pt idx="30">
                  <c:v>0.32754904193115314</c:v>
                </c:pt>
                <c:pt idx="31">
                  <c:v>0.27517839029885321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610752"/>
        <c:axId val="37834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610752"/>
        <c:axId val="3783424"/>
      </c:lineChart>
      <c:catAx>
        <c:axId val="31361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783424"/>
        <c:crosses val="autoZero"/>
        <c:auto val="1"/>
        <c:lblAlgn val="ctr"/>
        <c:lblOffset val="100"/>
        <c:noMultiLvlLbl val="0"/>
      </c:catAx>
      <c:valAx>
        <c:axId val="37834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36107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92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H8" sqref="AH8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6" style="75" customWidth="1"/>
    <col min="19" max="33" width="5.5" style="75" bestFit="1" customWidth="1"/>
    <col min="34" max="16384" width="9" style="75"/>
  </cols>
  <sheetData>
    <row r="1" spans="1:33" ht="33.75" customHeight="1" thickBot="1">
      <c r="A1" s="354" t="s">
        <v>162</v>
      </c>
      <c r="B1" s="354"/>
      <c r="C1" s="354"/>
      <c r="D1" s="354"/>
      <c r="E1" s="354"/>
      <c r="F1" s="354"/>
      <c r="G1" s="354"/>
      <c r="H1" s="354"/>
    </row>
    <row r="2" spans="1:33" ht="21.75" customHeight="1" thickBot="1">
      <c r="A2" s="96" t="s">
        <v>59</v>
      </c>
      <c r="B2" s="98" t="s">
        <v>74</v>
      </c>
      <c r="C2" s="99" t="s">
        <v>75</v>
      </c>
      <c r="D2" s="99" t="s">
        <v>76</v>
      </c>
      <c r="E2" s="99" t="s">
        <v>77</v>
      </c>
      <c r="F2" s="99" t="s">
        <v>78</v>
      </c>
      <c r="G2" s="99" t="s">
        <v>79</v>
      </c>
      <c r="H2" s="99" t="s">
        <v>80</v>
      </c>
      <c r="I2" s="99" t="s">
        <v>81</v>
      </c>
      <c r="J2" s="99" t="s">
        <v>82</v>
      </c>
      <c r="K2" s="99" t="s">
        <v>83</v>
      </c>
      <c r="L2" s="99" t="s">
        <v>84</v>
      </c>
      <c r="M2" s="99" t="s">
        <v>85</v>
      </c>
      <c r="N2" s="99" t="s">
        <v>86</v>
      </c>
      <c r="O2" s="99" t="s">
        <v>87</v>
      </c>
      <c r="P2" s="99" t="s">
        <v>88</v>
      </c>
      <c r="Q2" s="99" t="s">
        <v>89</v>
      </c>
      <c r="R2" s="99" t="s">
        <v>90</v>
      </c>
      <c r="S2" s="99" t="s">
        <v>91</v>
      </c>
      <c r="T2" s="99" t="s">
        <v>92</v>
      </c>
      <c r="U2" s="99" t="s">
        <v>93</v>
      </c>
      <c r="V2" s="99" t="s">
        <v>94</v>
      </c>
      <c r="W2" s="99" t="s">
        <v>95</v>
      </c>
      <c r="X2" s="99" t="s">
        <v>96</v>
      </c>
      <c r="Y2" s="99" t="s">
        <v>97</v>
      </c>
      <c r="Z2" s="99" t="s">
        <v>98</v>
      </c>
      <c r="AA2" s="99" t="s">
        <v>99</v>
      </c>
      <c r="AB2" s="99" t="s">
        <v>100</v>
      </c>
      <c r="AC2" s="99" t="s">
        <v>101</v>
      </c>
      <c r="AD2" s="99" t="s">
        <v>102</v>
      </c>
      <c r="AE2" s="99" t="s">
        <v>103</v>
      </c>
      <c r="AF2" s="100" t="s">
        <v>104</v>
      </c>
      <c r="AG2" s="96" t="s">
        <v>106</v>
      </c>
    </row>
    <row r="3" spans="1:33" ht="21.75" customHeight="1">
      <c r="A3" s="116" t="s">
        <v>60</v>
      </c>
      <c r="B3" s="111"/>
      <c r="C3" s="111">
        <f>'02'!AD6</f>
        <v>0</v>
      </c>
      <c r="D3" s="104">
        <f>'03'!AD6</f>
        <v>0</v>
      </c>
      <c r="E3" s="104">
        <f>'04'!AD6</f>
        <v>0.66528258362168391</v>
      </c>
      <c r="F3" s="104">
        <f>'05'!AD6</f>
        <v>0.99816933638443939</v>
      </c>
      <c r="G3" s="104"/>
      <c r="H3" s="104"/>
      <c r="I3" s="104">
        <f>'08'!AD6</f>
        <v>0</v>
      </c>
      <c r="J3" s="104">
        <f>'09'!AD6</f>
        <v>0</v>
      </c>
      <c r="K3" s="104">
        <f>'10'!AD6</f>
        <v>0</v>
      </c>
      <c r="L3" s="104">
        <f>'11'!AD6</f>
        <v>0</v>
      </c>
      <c r="M3" s="104">
        <f>'12'!AD6</f>
        <v>0</v>
      </c>
      <c r="N3" s="122"/>
      <c r="O3" s="104"/>
      <c r="P3" s="104">
        <f>'15'!AD6</f>
        <v>0</v>
      </c>
      <c r="Q3" s="104">
        <f>'16'!AD6</f>
        <v>0</v>
      </c>
      <c r="R3" s="104">
        <f>'17'!AD6</f>
        <v>0.83333333333333337</v>
      </c>
      <c r="S3" s="104">
        <f>'18'!AD6</f>
        <v>1</v>
      </c>
      <c r="T3" s="104">
        <f>'19'!AD6</f>
        <v>1</v>
      </c>
      <c r="U3" s="104"/>
      <c r="V3" s="104"/>
      <c r="W3" s="122">
        <f>'22'!AD6</f>
        <v>0</v>
      </c>
      <c r="X3" s="104">
        <f>'23'!AD6</f>
        <v>0</v>
      </c>
      <c r="Y3" s="104">
        <f>'24'!AD6</f>
        <v>0</v>
      </c>
      <c r="Z3" s="104">
        <f>'25'!AD6</f>
        <v>0.625</v>
      </c>
      <c r="AA3" s="104">
        <f>'26'!AD6</f>
        <v>1</v>
      </c>
      <c r="AB3" s="104"/>
      <c r="AC3" s="104"/>
      <c r="AD3" s="104">
        <f>'29'!AD6</f>
        <v>0.83192686357243317</v>
      </c>
      <c r="AE3" s="104">
        <f>'30'!AD6</f>
        <v>0</v>
      </c>
      <c r="AF3" s="105">
        <f>'31'!AD6</f>
        <v>0</v>
      </c>
      <c r="AG3" s="107">
        <f>SUM(B3:AF3)/31</f>
        <v>0.22431329409393194</v>
      </c>
    </row>
    <row r="4" spans="1:33" ht="21.75" customHeight="1">
      <c r="A4" s="117" t="s">
        <v>61</v>
      </c>
      <c r="B4" s="112"/>
      <c r="C4" s="112">
        <f>'02'!AD7</f>
        <v>0.99917355371900829</v>
      </c>
      <c r="D4" s="81">
        <f>'03'!AD7</f>
        <v>1</v>
      </c>
      <c r="E4" s="81">
        <f>'04'!AD7</f>
        <v>0.99904580152671751</v>
      </c>
      <c r="F4" s="81">
        <f>'05'!AD7</f>
        <v>0.91598639455782316</v>
      </c>
      <c r="G4" s="81"/>
      <c r="H4" s="81"/>
      <c r="I4" s="81">
        <f>'08'!AD7</f>
        <v>0.37326158940397353</v>
      </c>
      <c r="J4" s="81">
        <f>'09'!AD7</f>
        <v>0</v>
      </c>
      <c r="K4" s="81">
        <f>'10'!AD7</f>
        <v>0</v>
      </c>
      <c r="L4" s="81">
        <f>'11'!AD7</f>
        <v>0</v>
      </c>
      <c r="M4" s="81">
        <f>'12'!AD7</f>
        <v>0</v>
      </c>
      <c r="N4" s="81"/>
      <c r="O4" s="81"/>
      <c r="P4" s="81">
        <f>'15'!AD7</f>
        <v>0</v>
      </c>
      <c r="Q4" s="81">
        <f>'16'!AD7</f>
        <v>0.41666666666666669</v>
      </c>
      <c r="R4" s="81">
        <f>'17'!AD7</f>
        <v>0.99941219691403382</v>
      </c>
      <c r="S4" s="81">
        <f>'18'!AD7</f>
        <v>0.375</v>
      </c>
      <c r="T4" s="81">
        <f>'19'!AD7</f>
        <v>0</v>
      </c>
      <c r="U4" s="81"/>
      <c r="V4" s="81"/>
      <c r="W4" s="81">
        <f>'22'!AD7</f>
        <v>0</v>
      </c>
      <c r="X4" s="81">
        <f>'23'!AD7</f>
        <v>0</v>
      </c>
      <c r="Y4" s="81">
        <f>'24'!AD7</f>
        <v>0</v>
      </c>
      <c r="Z4" s="81">
        <f>'25'!AD7</f>
        <v>0</v>
      </c>
      <c r="AA4" s="81">
        <f>'26'!AD7</f>
        <v>0</v>
      </c>
      <c r="AB4" s="81"/>
      <c r="AC4" s="81"/>
      <c r="AD4" s="81">
        <f>'29'!AD7</f>
        <v>0.33247863247863246</v>
      </c>
      <c r="AE4" s="81">
        <f>'30'!AD7</f>
        <v>0</v>
      </c>
      <c r="AF4" s="82">
        <f>'31'!AD7</f>
        <v>0</v>
      </c>
      <c r="AG4" s="83">
        <f t="shared" ref="AG4:AG18" si="0">SUM(B4:AF4)/31</f>
        <v>0.20680725275054374</v>
      </c>
    </row>
    <row r="5" spans="1:33" ht="21.75" customHeight="1">
      <c r="A5" s="118" t="s">
        <v>62</v>
      </c>
      <c r="B5" s="113"/>
      <c r="C5" s="113">
        <f>'02'!AD8</f>
        <v>0.95786240786240784</v>
      </c>
      <c r="D5" s="84">
        <f>'03'!AD8</f>
        <v>0</v>
      </c>
      <c r="E5" s="84">
        <f>'04'!AD8</f>
        <v>0.24978070175438596</v>
      </c>
      <c r="F5" s="84">
        <f>'05'!AD8</f>
        <v>0</v>
      </c>
      <c r="G5" s="84"/>
      <c r="H5" s="84"/>
      <c r="I5" s="84">
        <f>'08'!AD8</f>
        <v>0.79065495207667724</v>
      </c>
      <c r="J5" s="84">
        <f>'09'!AD8</f>
        <v>0</v>
      </c>
      <c r="K5" s="84">
        <f>'10'!AD8</f>
        <v>0.79020061728395052</v>
      </c>
      <c r="L5" s="84">
        <f>'11'!AD8</f>
        <v>0</v>
      </c>
      <c r="M5" s="84">
        <f>'12'!AD8</f>
        <v>0</v>
      </c>
      <c r="N5" s="84"/>
      <c r="O5" s="84"/>
      <c r="P5" s="84">
        <f>'15'!AD8</f>
        <v>0</v>
      </c>
      <c r="Q5" s="84">
        <f>'16'!AD8</f>
        <v>0</v>
      </c>
      <c r="R5" s="84">
        <f>'17'!AD8</f>
        <v>0.79142530487804874</v>
      </c>
      <c r="S5" s="84">
        <f>'18'!AD8</f>
        <v>0.16643192488262909</v>
      </c>
      <c r="T5" s="84">
        <f>'19'!AD8</f>
        <v>1</v>
      </c>
      <c r="U5" s="84"/>
      <c r="V5" s="84"/>
      <c r="W5" s="123">
        <f>'22'!AD8</f>
        <v>0.99864077669902918</v>
      </c>
      <c r="X5" s="84">
        <f>'23'!AD8</f>
        <v>1</v>
      </c>
      <c r="Y5" s="84">
        <f>'24'!AD8</f>
        <v>0.91649173027989816</v>
      </c>
      <c r="Z5" s="84">
        <f>'25'!AD8+'25'!AD9</f>
        <v>0.95833333333333337</v>
      </c>
      <c r="AA5" s="84">
        <f>'26'!AD8</f>
        <v>0.998655462184874</v>
      </c>
      <c r="AB5" s="84"/>
      <c r="AC5" s="84"/>
      <c r="AD5" s="84">
        <f>'29'!AD8+'29'!AD9</f>
        <v>0.95761707035755472</v>
      </c>
      <c r="AE5" s="84">
        <f>'30'!AD8</f>
        <v>0.99906542056074765</v>
      </c>
      <c r="AF5" s="85">
        <f>'31'!AD8</f>
        <v>1</v>
      </c>
      <c r="AG5" s="86">
        <f t="shared" si="0"/>
        <v>0.40565031297269477</v>
      </c>
    </row>
    <row r="6" spans="1:33" ht="21.75" customHeight="1">
      <c r="A6" s="119" t="s">
        <v>63</v>
      </c>
      <c r="B6" s="114"/>
      <c r="C6" s="114">
        <f>'02'!AD9+'02'!AD10</f>
        <v>0.95794842186297147</v>
      </c>
      <c r="D6" s="87">
        <f>'03'!AD9</f>
        <v>0.99857651245551604</v>
      </c>
      <c r="E6" s="87">
        <f>'04'!AD9</f>
        <v>0.99859402460456947</v>
      </c>
      <c r="F6" s="87">
        <f>'05'!AD9</f>
        <v>0.99907749077490771</v>
      </c>
      <c r="G6" s="87"/>
      <c r="H6" s="87"/>
      <c r="I6" s="87">
        <f>'08'!AD9</f>
        <v>0</v>
      </c>
      <c r="J6" s="87">
        <f>'09'!AD9</f>
        <v>2.1125461254612544E-2</v>
      </c>
      <c r="K6" s="87">
        <f>'10'!AD9</f>
        <v>0.74941253263707575</v>
      </c>
      <c r="L6" s="87">
        <f>'11'!AD9</f>
        <v>0.16666666666666666</v>
      </c>
      <c r="M6" s="87">
        <f>'12'!AD9</f>
        <v>0</v>
      </c>
      <c r="N6" s="87"/>
      <c r="O6" s="87"/>
      <c r="P6" s="87">
        <f>'15'!AD9</f>
        <v>0</v>
      </c>
      <c r="Q6" s="87">
        <f>'16'!AD9</f>
        <v>0</v>
      </c>
      <c r="R6" s="87">
        <f>'17'!AD9</f>
        <v>0</v>
      </c>
      <c r="S6" s="87">
        <f>'18'!AD9</f>
        <v>0.66469864698646985</v>
      </c>
      <c r="T6" s="87">
        <f>'19'!AD9</f>
        <v>0.75</v>
      </c>
      <c r="U6" s="87"/>
      <c r="V6" s="87"/>
      <c r="W6" s="87">
        <f>'22'!AD9</f>
        <v>0.99846743295019158</v>
      </c>
      <c r="X6" s="87">
        <f>'23'!AD9</f>
        <v>0.99855072463768113</v>
      </c>
      <c r="Y6" s="87">
        <f>'24'!AD9</f>
        <v>0.74807073954983916</v>
      </c>
      <c r="Z6" s="87">
        <f>'25'!AD10</f>
        <v>0.99840707964601771</v>
      </c>
      <c r="AA6" s="87">
        <f>'26'!AD9</f>
        <v>1</v>
      </c>
      <c r="AB6" s="87"/>
      <c r="AC6" s="87"/>
      <c r="AD6" s="87">
        <f>'29'!AD10</f>
        <v>0.99884169884169882</v>
      </c>
      <c r="AE6" s="87">
        <f>'30'!AD9</f>
        <v>0.99883720930232556</v>
      </c>
      <c r="AF6" s="88">
        <f>'31'!AD9</f>
        <v>0</v>
      </c>
      <c r="AG6" s="89">
        <f t="shared" si="0"/>
        <v>0.42087982716679173</v>
      </c>
    </row>
    <row r="7" spans="1:33" ht="21.75" customHeight="1">
      <c r="A7" s="119" t="s">
        <v>64</v>
      </c>
      <c r="B7" s="114"/>
      <c r="C7" s="114">
        <f>'02'!AD11</f>
        <v>0</v>
      </c>
      <c r="D7" s="87">
        <f>'03'!AD10</f>
        <v>0</v>
      </c>
      <c r="E7" s="87">
        <f>'04'!AD10</f>
        <v>0.58302139037433165</v>
      </c>
      <c r="F7" s="87">
        <f>'05'!AD10</f>
        <v>0.83307223672758923</v>
      </c>
      <c r="G7" s="87"/>
      <c r="H7" s="87"/>
      <c r="I7" s="87">
        <f>'08'!AD10</f>
        <v>0.91666666666666663</v>
      </c>
      <c r="J7" s="87">
        <f>'09'!AD10</f>
        <v>0</v>
      </c>
      <c r="K7" s="87">
        <f>'10'!AD10</f>
        <v>0</v>
      </c>
      <c r="L7" s="87">
        <f>'11'!AD10</f>
        <v>0.83311229000884179</v>
      </c>
      <c r="M7" s="87">
        <f>'12'!AD10</f>
        <v>0</v>
      </c>
      <c r="N7" s="87"/>
      <c r="O7" s="87"/>
      <c r="P7" s="87">
        <f>'15'!AD10</f>
        <v>0</v>
      </c>
      <c r="Q7" s="87">
        <f>'16'!AD10</f>
        <v>0</v>
      </c>
      <c r="R7" s="87">
        <f>'17'!AD10</f>
        <v>0.16666666666666666</v>
      </c>
      <c r="S7" s="87">
        <f>'18'!AD10</f>
        <v>0.99939879759519035</v>
      </c>
      <c r="T7" s="87">
        <f>'19'!AD10</f>
        <v>0.79166666666666663</v>
      </c>
      <c r="U7" s="87"/>
      <c r="V7" s="87"/>
      <c r="W7" s="87">
        <f>'22'!AD10</f>
        <v>0.99939879759519035</v>
      </c>
      <c r="X7" s="87">
        <f>'23'!AD10</f>
        <v>0.87490656700480507</v>
      </c>
      <c r="Y7" s="87">
        <f>'24'!AD10</f>
        <v>0.62419527896995708</v>
      </c>
      <c r="Z7" s="87">
        <f>'25'!AD11</f>
        <v>0</v>
      </c>
      <c r="AA7" s="87">
        <f>'26'!AD10</f>
        <v>0</v>
      </c>
      <c r="AB7" s="87"/>
      <c r="AC7" s="87"/>
      <c r="AD7" s="87">
        <f>'29'!AD11</f>
        <v>0.91608527131782946</v>
      </c>
      <c r="AE7" s="87">
        <f>'30'!AD10</f>
        <v>0.99975308641975313</v>
      </c>
      <c r="AF7" s="88">
        <f>'31'!AD10</f>
        <v>0</v>
      </c>
      <c r="AG7" s="89">
        <f t="shared" si="0"/>
        <v>0.30767560374237063</v>
      </c>
    </row>
    <row r="8" spans="1:33" ht="21.75" customHeight="1">
      <c r="A8" s="119" t="s">
        <v>65</v>
      </c>
      <c r="B8" s="114"/>
      <c r="C8" s="114">
        <f>'02'!AD12</f>
        <v>0.9998154981549815</v>
      </c>
      <c r="D8" s="87">
        <f>'03'!AD11</f>
        <v>1</v>
      </c>
      <c r="E8" s="87">
        <f>'04'!AD11</f>
        <v>0.66536796536796539</v>
      </c>
      <c r="F8" s="87">
        <f>'05'!AD11</f>
        <v>0.66610925306577473</v>
      </c>
      <c r="G8" s="87"/>
      <c r="H8" s="87"/>
      <c r="I8" s="87">
        <f>'08'!AD11</f>
        <v>0.99889298892988931</v>
      </c>
      <c r="J8" s="87">
        <f>'09'!AD11</f>
        <v>0.41666666666666669</v>
      </c>
      <c r="K8" s="87">
        <f>'10'!AD11</f>
        <v>0.91628232005590493</v>
      </c>
      <c r="L8" s="87">
        <f>'11'!AD11</f>
        <v>0.91620833333333329</v>
      </c>
      <c r="M8" s="87">
        <f>'12'!AD11</f>
        <v>0.41666666666666669</v>
      </c>
      <c r="N8" s="87"/>
      <c r="O8" s="87"/>
      <c r="P8" s="87">
        <f>'15'!AD11</f>
        <v>0</v>
      </c>
      <c r="Q8" s="87">
        <f>'16'!AD11</f>
        <v>0</v>
      </c>
      <c r="R8" s="87">
        <f>'17'!AD11</f>
        <v>0.999403578528827</v>
      </c>
      <c r="S8" s="87">
        <f>'18'!AD11</f>
        <v>0.49874476987447697</v>
      </c>
      <c r="T8" s="87">
        <f>'19'!AD11</f>
        <v>0.12468750000000001</v>
      </c>
      <c r="U8" s="87"/>
      <c r="V8" s="87"/>
      <c r="W8" s="87">
        <f>'22'!AD11</f>
        <v>0.8745710784313725</v>
      </c>
      <c r="X8" s="87">
        <f>'23'!AD11+'23'!AD12</f>
        <v>0.95744514106583078</v>
      </c>
      <c r="Y8" s="87">
        <f>'24'!AD11</f>
        <v>0.66645702306079657</v>
      </c>
      <c r="Z8" s="87">
        <f>'25'!AD12</f>
        <v>0.95697811447811454</v>
      </c>
      <c r="AA8" s="87">
        <f>'26'!AD11</f>
        <v>1</v>
      </c>
      <c r="AB8" s="87"/>
      <c r="AC8" s="87"/>
      <c r="AD8" s="87">
        <f>'29'!AD12</f>
        <v>0</v>
      </c>
      <c r="AE8" s="87">
        <f>'30'!AD11</f>
        <v>0</v>
      </c>
      <c r="AF8" s="88">
        <f>'31'!AD11</f>
        <v>0</v>
      </c>
      <c r="AG8" s="89">
        <f t="shared" si="0"/>
        <v>0.42175151282840656</v>
      </c>
    </row>
    <row r="9" spans="1:33" ht="21.75" customHeight="1">
      <c r="A9" s="119" t="s">
        <v>66</v>
      </c>
      <c r="B9" s="114"/>
      <c r="C9" s="114">
        <f>'02'!AD13</f>
        <v>0.54123677248677249</v>
      </c>
      <c r="D9" s="87">
        <f>'03'!AD12</f>
        <v>0.95778466921119598</v>
      </c>
      <c r="E9" s="87">
        <f>'04'!AD12</f>
        <v>0.99964539007092201</v>
      </c>
      <c r="F9" s="87">
        <f>'05'!AD12</f>
        <v>0.99945305378304472</v>
      </c>
      <c r="G9" s="87"/>
      <c r="H9" s="87"/>
      <c r="I9" s="87">
        <f>'08'!AD12</f>
        <v>0.41571246819338425</v>
      </c>
      <c r="J9" s="87">
        <f>'09'!AD12</f>
        <v>0.5</v>
      </c>
      <c r="K9" s="87">
        <f>'10'!AD12</f>
        <v>0</v>
      </c>
      <c r="L9" s="87">
        <f>'11'!AD12</f>
        <v>0</v>
      </c>
      <c r="M9" s="87">
        <f>'12'!AD12</f>
        <v>0</v>
      </c>
      <c r="N9" s="87"/>
      <c r="O9" s="87"/>
      <c r="P9" s="87">
        <f>'15'!AD12</f>
        <v>0</v>
      </c>
      <c r="Q9" s="87">
        <f>'16'!AD12</f>
        <v>0.20833333333333334</v>
      </c>
      <c r="R9" s="87">
        <f>'17'!AD12</f>
        <v>0.58280542986425343</v>
      </c>
      <c r="S9" s="87">
        <f>'18'!AD12</f>
        <v>0.25</v>
      </c>
      <c r="T9" s="87">
        <f>'19'!AD12</f>
        <v>0</v>
      </c>
      <c r="U9" s="87"/>
      <c r="V9" s="87"/>
      <c r="W9" s="87">
        <f>'22'!AD12</f>
        <v>0</v>
      </c>
      <c r="X9" s="87">
        <f>'23'!AD13</f>
        <v>0</v>
      </c>
      <c r="Y9" s="87">
        <f>'24'!AD12</f>
        <v>0.54166666666666663</v>
      </c>
      <c r="Z9" s="87">
        <f>'25'!AD13</f>
        <v>0</v>
      </c>
      <c r="AA9" s="87">
        <f>'26'!AD12</f>
        <v>0</v>
      </c>
      <c r="AB9" s="87"/>
      <c r="AC9" s="87"/>
      <c r="AD9" s="87">
        <f>'29'!AD13</f>
        <v>0</v>
      </c>
      <c r="AE9" s="87">
        <f>'30'!AD12</f>
        <v>0</v>
      </c>
      <c r="AF9" s="88">
        <f>'31'!AD12</f>
        <v>0.54066820276497696</v>
      </c>
      <c r="AG9" s="89">
        <f t="shared" si="0"/>
        <v>0.21088083827014673</v>
      </c>
    </row>
    <row r="10" spans="1:33" ht="21.75" customHeight="1">
      <c r="A10" s="119" t="s">
        <v>67</v>
      </c>
      <c r="B10" s="114"/>
      <c r="C10" s="114">
        <f>'02'!AD14</f>
        <v>0.70456114398422087</v>
      </c>
      <c r="D10" s="87">
        <f>'03'!AD13</f>
        <v>0.16599999999999998</v>
      </c>
      <c r="E10" s="87">
        <f>'04'!AD13</f>
        <v>0</v>
      </c>
      <c r="F10" s="87">
        <f>'05'!AD13</f>
        <v>0.83290322580645171</v>
      </c>
      <c r="G10" s="87"/>
      <c r="H10" s="87"/>
      <c r="I10" s="87">
        <f>'08'!AD13</f>
        <v>0.70575757575757581</v>
      </c>
      <c r="J10" s="87">
        <f>'09'!AD13</f>
        <v>0</v>
      </c>
      <c r="K10" s="87">
        <f>'10'!AD13</f>
        <v>0</v>
      </c>
      <c r="L10" s="87">
        <f>'11'!AD13</f>
        <v>0</v>
      </c>
      <c r="M10" s="87">
        <f>'12'!AD13</f>
        <v>0</v>
      </c>
      <c r="N10" s="87"/>
      <c r="O10" s="87"/>
      <c r="P10" s="87">
        <f>'15'!AD13</f>
        <v>0.41666666666666669</v>
      </c>
      <c r="Q10" s="87">
        <f>'16'!AD13</f>
        <v>0.41575520833333335</v>
      </c>
      <c r="R10" s="87">
        <f>'17'!AD13</f>
        <v>0.79114468864468857</v>
      </c>
      <c r="S10" s="87">
        <f>'18'!AD13</f>
        <v>1</v>
      </c>
      <c r="T10" s="87">
        <f>'19'!AD13+'19'!AD14</f>
        <v>0.91584922797456858</v>
      </c>
      <c r="U10" s="87"/>
      <c r="V10" s="87"/>
      <c r="W10" s="87">
        <f>'22'!AD13</f>
        <v>0.99879275653923538</v>
      </c>
      <c r="X10" s="87">
        <f>'23'!AD14</f>
        <v>1</v>
      </c>
      <c r="Y10" s="87">
        <f>'24'!AD13</f>
        <v>0.79136217948717946</v>
      </c>
      <c r="Z10" s="87">
        <f>'25'!AD14</f>
        <v>0.99924050632911388</v>
      </c>
      <c r="AA10" s="87">
        <f>'26'!AD13</f>
        <v>0.99981273408239701</v>
      </c>
      <c r="AB10" s="87"/>
      <c r="AC10" s="87"/>
      <c r="AD10" s="87">
        <f>'29'!AD14</f>
        <v>0.74975728155339805</v>
      </c>
      <c r="AE10" s="87">
        <f>'30'!AD13+'30'!AD14</f>
        <v>0.45634612911522632</v>
      </c>
      <c r="AF10" s="88">
        <f>'31'!AD13</f>
        <v>0.875</v>
      </c>
      <c r="AG10" s="89">
        <f t="shared" si="0"/>
        <v>0.41351449433142118</v>
      </c>
    </row>
    <row r="11" spans="1:33" ht="21.75" customHeight="1">
      <c r="A11" s="118" t="s">
        <v>68</v>
      </c>
      <c r="B11" s="113"/>
      <c r="C11" s="113">
        <f>'02'!AD15</f>
        <v>0</v>
      </c>
      <c r="D11" s="84">
        <f>'03'!AD14</f>
        <v>0</v>
      </c>
      <c r="E11" s="84">
        <f>'04'!AD14</f>
        <v>0.53704268292682922</v>
      </c>
      <c r="F11" s="84">
        <f>'05'!AD14</f>
        <v>0</v>
      </c>
      <c r="G11" s="84"/>
      <c r="H11" s="84"/>
      <c r="I11" s="84">
        <f>'08'!AD14</f>
        <v>0</v>
      </c>
      <c r="J11" s="84">
        <f>'09'!AD14</f>
        <v>0</v>
      </c>
      <c r="K11" s="84">
        <f>'10'!AD14</f>
        <v>0</v>
      </c>
      <c r="L11" s="84">
        <f>'11'!AD14</f>
        <v>0.33333333333333331</v>
      </c>
      <c r="M11" s="84">
        <f>'12'!AD14</f>
        <v>0</v>
      </c>
      <c r="N11" s="84"/>
      <c r="O11" s="84"/>
      <c r="P11" s="84">
        <f>'15'!AD14</f>
        <v>0</v>
      </c>
      <c r="Q11" s="84">
        <f>'16'!AD14</f>
        <v>0</v>
      </c>
      <c r="R11" s="84">
        <f>'17'!AD14</f>
        <v>0.29166666666666669</v>
      </c>
      <c r="S11" s="84">
        <f>'18'!AD14</f>
        <v>0</v>
      </c>
      <c r="T11" s="84">
        <f>'19'!AD15</f>
        <v>0</v>
      </c>
      <c r="U11" s="84"/>
      <c r="V11" s="84"/>
      <c r="W11" s="84">
        <f>'22'!AD14</f>
        <v>0</v>
      </c>
      <c r="X11" s="84">
        <f>'23'!AD15</f>
        <v>0.24959016393442623</v>
      </c>
      <c r="Y11" s="84">
        <f>'24'!AD14</f>
        <v>0</v>
      </c>
      <c r="Z11" s="84">
        <f>'25'!AD15</f>
        <v>0</v>
      </c>
      <c r="AA11" s="84">
        <f>'26'!AD14</f>
        <v>0</v>
      </c>
      <c r="AB11" s="84"/>
      <c r="AC11" s="84"/>
      <c r="AD11" s="84">
        <f>'29'!AD15</f>
        <v>0</v>
      </c>
      <c r="AE11" s="84">
        <f>'30'!AD15</f>
        <v>0</v>
      </c>
      <c r="AF11" s="85">
        <f>'31'!AD14</f>
        <v>0</v>
      </c>
      <c r="AG11" s="86">
        <f t="shared" si="0"/>
        <v>4.5536543447137277E-2</v>
      </c>
    </row>
    <row r="12" spans="1:33" ht="21.75" customHeight="1">
      <c r="A12" s="118" t="s">
        <v>69</v>
      </c>
      <c r="B12" s="113"/>
      <c r="C12" s="113">
        <f>'02'!AD16</f>
        <v>0</v>
      </c>
      <c r="D12" s="84">
        <f>'03'!AD15</f>
        <v>0</v>
      </c>
      <c r="E12" s="84">
        <f>'04'!AD15</f>
        <v>0</v>
      </c>
      <c r="F12" s="84">
        <f>'05'!AD15</f>
        <v>0</v>
      </c>
      <c r="G12" s="84"/>
      <c r="H12" s="84"/>
      <c r="I12" s="84">
        <f>'08'!AD15</f>
        <v>0</v>
      </c>
      <c r="J12" s="84">
        <f>'09'!AD15</f>
        <v>0</v>
      </c>
      <c r="K12" s="84">
        <f>'10'!AD15</f>
        <v>0</v>
      </c>
      <c r="L12" s="84">
        <f>'11'!AD15</f>
        <v>0</v>
      </c>
      <c r="M12" s="84">
        <f>'12'!AD15</f>
        <v>0</v>
      </c>
      <c r="N12" s="84"/>
      <c r="O12" s="84"/>
      <c r="P12" s="84">
        <f>'15'!AD15</f>
        <v>0</v>
      </c>
      <c r="Q12" s="84">
        <f>'16'!AD15</f>
        <v>0</v>
      </c>
      <c r="R12" s="84">
        <f>'17'!AD15</f>
        <v>0</v>
      </c>
      <c r="S12" s="84">
        <f>'18'!AD15</f>
        <v>0</v>
      </c>
      <c r="T12" s="84">
        <f>'19'!AD16</f>
        <v>0</v>
      </c>
      <c r="U12" s="84"/>
      <c r="V12" s="84"/>
      <c r="W12" s="84">
        <f>'22'!AD15</f>
        <v>0</v>
      </c>
      <c r="X12" s="84">
        <f>'23'!AD16</f>
        <v>0</v>
      </c>
      <c r="Y12" s="84">
        <f>'24'!AD15</f>
        <v>0</v>
      </c>
      <c r="Z12" s="84">
        <f>'25'!AD16</f>
        <v>0</v>
      </c>
      <c r="AA12" s="84">
        <f>'26'!AD15</f>
        <v>0.91635139008311828</v>
      </c>
      <c r="AB12" s="84"/>
      <c r="AC12" s="84"/>
      <c r="AD12" s="84">
        <f>'29'!AD16</f>
        <v>0.9997238840312932</v>
      </c>
      <c r="AE12" s="84">
        <f>'30'!AD16</f>
        <v>0.99850467289719624</v>
      </c>
      <c r="AF12" s="85">
        <f>'31'!AD15</f>
        <v>0.99989041095890407</v>
      </c>
      <c r="AG12" s="86">
        <f t="shared" si="0"/>
        <v>0.12627323735388746</v>
      </c>
    </row>
    <row r="13" spans="1:33" ht="21.75" customHeight="1">
      <c r="A13" s="118" t="s">
        <v>70</v>
      </c>
      <c r="B13" s="113"/>
      <c r="C13" s="113">
        <f>'02'!AD17</f>
        <v>0.58247863247863252</v>
      </c>
      <c r="D13" s="84">
        <f>'03'!AD16</f>
        <v>0.87437350835322203</v>
      </c>
      <c r="E13" s="84">
        <f>'04'!AD16</f>
        <v>0.99908088235294112</v>
      </c>
      <c r="F13" s="84">
        <f>'05'!AD16</f>
        <v>0.83171346292296622</v>
      </c>
      <c r="G13" s="84"/>
      <c r="H13" s="84"/>
      <c r="I13" s="84">
        <f>'08'!AD16</f>
        <v>0.83333333333333337</v>
      </c>
      <c r="J13" s="84">
        <f>'09'!AD16</f>
        <v>0.95833333333333337</v>
      </c>
      <c r="K13" s="84">
        <f>'10'!AD16</f>
        <v>1</v>
      </c>
      <c r="L13" s="84">
        <f>'11'!AD16</f>
        <v>0.79044495884773658</v>
      </c>
      <c r="M13" s="84">
        <f>'12'!AD16</f>
        <v>0</v>
      </c>
      <c r="N13" s="84"/>
      <c r="O13" s="84"/>
      <c r="P13" s="84">
        <f>'15'!AD16</f>
        <v>0</v>
      </c>
      <c r="Q13" s="84">
        <f>'16'!AD16</f>
        <v>0</v>
      </c>
      <c r="R13" s="84">
        <f>'17'!AD16</f>
        <v>0.9991861648016277</v>
      </c>
      <c r="S13" s="84">
        <f>'18'!AD16</f>
        <v>0.9994312796208531</v>
      </c>
      <c r="T13" s="84">
        <f>'19'!AD17</f>
        <v>0.99963931469792611</v>
      </c>
      <c r="U13" s="84"/>
      <c r="V13" s="84"/>
      <c r="W13" s="84">
        <f>'22'!AD16</f>
        <v>0</v>
      </c>
      <c r="X13" s="84">
        <f>'23'!AD17</f>
        <v>0</v>
      </c>
      <c r="Y13" s="84">
        <f>'24'!AD16</f>
        <v>0</v>
      </c>
      <c r="Z13" s="84">
        <f>'25'!AD17</f>
        <v>0.25</v>
      </c>
      <c r="AA13" s="84">
        <f>'26'!AD16</f>
        <v>0</v>
      </c>
      <c r="AB13" s="84"/>
      <c r="AC13" s="84"/>
      <c r="AD13" s="84">
        <f>'29'!AD17</f>
        <v>0</v>
      </c>
      <c r="AE13" s="84">
        <f>'30'!AD17</f>
        <v>0</v>
      </c>
      <c r="AF13" s="85">
        <f>'31'!AD16</f>
        <v>0</v>
      </c>
      <c r="AG13" s="86">
        <f t="shared" si="0"/>
        <v>0.32638757647556682</v>
      </c>
    </row>
    <row r="14" spans="1:33" ht="21.75" customHeight="1">
      <c r="A14" s="118" t="s">
        <v>71</v>
      </c>
      <c r="B14" s="113"/>
      <c r="C14" s="113">
        <f>'02'!AD18</f>
        <v>0.9984555984555985</v>
      </c>
      <c r="D14" s="84">
        <f>'03'!AD17+'03'!AD18</f>
        <v>0.95764150943396231</v>
      </c>
      <c r="E14" s="84">
        <f>'04'!AD17</f>
        <v>0.99951259138911452</v>
      </c>
      <c r="F14" s="84">
        <f>'05'!AD17</f>
        <v>1</v>
      </c>
      <c r="G14" s="84"/>
      <c r="H14" s="84"/>
      <c r="I14" s="84">
        <f>'08'!AD17</f>
        <v>1</v>
      </c>
      <c r="J14" s="84">
        <f>'09'!AD17</f>
        <v>0</v>
      </c>
      <c r="K14" s="84">
        <f>'10'!AD17</f>
        <v>0</v>
      </c>
      <c r="L14" s="84">
        <f>'11'!AD17</f>
        <v>0.91615071919949975</v>
      </c>
      <c r="M14" s="84">
        <f>'12'!AD17</f>
        <v>0.33333333333333331</v>
      </c>
      <c r="N14" s="84"/>
      <c r="O14" s="84"/>
      <c r="P14" s="84">
        <f>'15'!AD17</f>
        <v>0</v>
      </c>
      <c r="Q14" s="84">
        <f>'16'!AD17</f>
        <v>0</v>
      </c>
      <c r="R14" s="84">
        <f>'17'!AD17</f>
        <v>0</v>
      </c>
      <c r="S14" s="84">
        <f>'18'!AD17</f>
        <v>0.58333333333333337</v>
      </c>
      <c r="T14" s="84">
        <f>'19'!AD18</f>
        <v>0.58116391184573002</v>
      </c>
      <c r="U14" s="84"/>
      <c r="V14" s="84"/>
      <c r="W14" s="84">
        <f>'22'!AD17</f>
        <v>0</v>
      </c>
      <c r="X14" s="84">
        <f>'23'!AD18</f>
        <v>0</v>
      </c>
      <c r="Y14" s="84">
        <f>'24'!AD17</f>
        <v>0</v>
      </c>
      <c r="Z14" s="84">
        <f>'25'!AD18</f>
        <v>0</v>
      </c>
      <c r="AA14" s="84">
        <f>'26'!AD17</f>
        <v>0</v>
      </c>
      <c r="AB14" s="84"/>
      <c r="AC14" s="84"/>
      <c r="AD14" s="84">
        <f>'29'!AD18</f>
        <v>0</v>
      </c>
      <c r="AE14" s="84">
        <f>'30'!AD18</f>
        <v>0</v>
      </c>
      <c r="AF14" s="85">
        <f>'31'!AD17</f>
        <v>0.4148648648648649</v>
      </c>
      <c r="AG14" s="86">
        <f t="shared" si="0"/>
        <v>0.25111147941469147</v>
      </c>
    </row>
    <row r="15" spans="1:33" ht="21.75" customHeight="1">
      <c r="A15" s="119" t="s">
        <v>72</v>
      </c>
      <c r="B15" s="114"/>
      <c r="C15" s="114">
        <f>'02'!AD19</f>
        <v>0</v>
      </c>
      <c r="D15" s="87">
        <f>'03'!AD19</f>
        <v>0.58153153153153159</v>
      </c>
      <c r="E15" s="87">
        <f>'04'!AD18+'04'!AD19</f>
        <v>0.91356968257247129</v>
      </c>
      <c r="F15" s="87">
        <f>'05'!AD18</f>
        <v>0.99980353634577601</v>
      </c>
      <c r="G15" s="87"/>
      <c r="H15" s="87"/>
      <c r="I15" s="87">
        <f>'08'!AD18</f>
        <v>0.70590012722646311</v>
      </c>
      <c r="J15" s="87">
        <f>'09'!AD18</f>
        <v>0.16666666666666666</v>
      </c>
      <c r="K15" s="87">
        <f>'10'!AD18</f>
        <v>0.91552083333333334</v>
      </c>
      <c r="L15" s="87">
        <f>'11'!AD18</f>
        <v>0</v>
      </c>
      <c r="M15" s="87">
        <f>'12'!AD18</f>
        <v>0</v>
      </c>
      <c r="N15" s="87"/>
      <c r="O15" s="87"/>
      <c r="P15" s="87">
        <f>'15'!AD18</f>
        <v>0</v>
      </c>
      <c r="Q15" s="87">
        <f>'16'!AD18</f>
        <v>0</v>
      </c>
      <c r="R15" s="87">
        <f>'17'!AD18+'17'!AD19</f>
        <v>0.91666666666666674</v>
      </c>
      <c r="S15" s="87">
        <f>'18'!AD18</f>
        <v>0</v>
      </c>
      <c r="T15" s="87">
        <f>'19'!AD19</f>
        <v>0</v>
      </c>
      <c r="U15" s="87"/>
      <c r="V15" s="87"/>
      <c r="W15" s="87">
        <f>'22'!AD18</f>
        <v>0</v>
      </c>
      <c r="X15" s="87">
        <f>'23'!AD19</f>
        <v>0</v>
      </c>
      <c r="Y15" s="87">
        <f>'24'!AD18</f>
        <v>0</v>
      </c>
      <c r="Z15" s="87">
        <f>'25'!AD19</f>
        <v>0</v>
      </c>
      <c r="AA15" s="87">
        <f>'26'!AD18</f>
        <v>0</v>
      </c>
      <c r="AB15" s="87"/>
      <c r="AC15" s="87"/>
      <c r="AD15" s="87">
        <f>'29'!AD19</f>
        <v>0</v>
      </c>
      <c r="AE15" s="87">
        <f>'30'!AD19</f>
        <v>0</v>
      </c>
      <c r="AF15" s="88">
        <f>'31'!AD18</f>
        <v>0</v>
      </c>
      <c r="AG15" s="89">
        <f t="shared" si="0"/>
        <v>0.16773093691428737</v>
      </c>
    </row>
    <row r="16" spans="1:33" ht="21.75" customHeight="1">
      <c r="A16" s="119" t="s">
        <v>73</v>
      </c>
      <c r="B16" s="114"/>
      <c r="C16" s="114">
        <f>'02'!AD20</f>
        <v>0.5</v>
      </c>
      <c r="D16" s="87">
        <f>'03'!AD20</f>
        <v>0.66648401826484016</v>
      </c>
      <c r="E16" s="87">
        <f>'04'!AD20</f>
        <v>0.83277962347729795</v>
      </c>
      <c r="F16" s="87">
        <f>'05'!AD19</f>
        <v>0.74924146649810364</v>
      </c>
      <c r="G16" s="87"/>
      <c r="H16" s="87"/>
      <c r="I16" s="87">
        <f>'08'!AD19</f>
        <v>0.83192686357243317</v>
      </c>
      <c r="J16" s="87">
        <f>'09'!AD19</f>
        <v>0</v>
      </c>
      <c r="K16" s="87">
        <f>'10'!AD19</f>
        <v>0</v>
      </c>
      <c r="L16" s="87">
        <f>'11'!AD19</f>
        <v>0</v>
      </c>
      <c r="M16" s="87">
        <f>'12'!AD19</f>
        <v>0</v>
      </c>
      <c r="N16" s="87"/>
      <c r="O16" s="87"/>
      <c r="P16" s="87">
        <f>'15'!AD19</f>
        <v>0</v>
      </c>
      <c r="Q16" s="87">
        <f>'16'!AD19</f>
        <v>0</v>
      </c>
      <c r="R16" s="87">
        <f>'17'!AD20</f>
        <v>0.95833333333333337</v>
      </c>
      <c r="S16" s="87">
        <f>'18'!AD19</f>
        <v>0.83333333333333337</v>
      </c>
      <c r="T16" s="87">
        <f>'19'!AD20</f>
        <v>0.99982142857142853</v>
      </c>
      <c r="U16" s="87"/>
      <c r="V16" s="87"/>
      <c r="W16" s="87">
        <f>'22'!AD19</f>
        <v>0.53930016181229767</v>
      </c>
      <c r="X16" s="87">
        <f>'23'!AD20</f>
        <v>0.24931818181818183</v>
      </c>
      <c r="Y16" s="87">
        <f>'24'!AD19</f>
        <v>0</v>
      </c>
      <c r="Z16" s="87">
        <f>'25'!AD20</f>
        <v>0</v>
      </c>
      <c r="AA16" s="87">
        <f>'26'!AD19</f>
        <v>0.58228417266187049</v>
      </c>
      <c r="AB16" s="87"/>
      <c r="AC16" s="87"/>
      <c r="AD16" s="87">
        <f>'29'!AD20</f>
        <v>0.9993914807302231</v>
      </c>
      <c r="AE16" s="87">
        <f>'30'!AD20</f>
        <v>0.16666666666666666</v>
      </c>
      <c r="AF16" s="88">
        <f>'31'!AD19</f>
        <v>0.58297546012269941</v>
      </c>
      <c r="AG16" s="89">
        <f t="shared" si="0"/>
        <v>0.30618890938266802</v>
      </c>
    </row>
    <row r="17" spans="1:33" ht="21.75" customHeight="1" thickBot="1">
      <c r="A17" s="120" t="s">
        <v>111</v>
      </c>
      <c r="B17" s="115"/>
      <c r="C17" s="115">
        <f>'02'!AD21</f>
        <v>0</v>
      </c>
      <c r="D17" s="90">
        <f>'03'!AD21</f>
        <v>0</v>
      </c>
      <c r="E17" s="90">
        <f>'04'!AD21</f>
        <v>0</v>
      </c>
      <c r="F17" s="90">
        <f>'05'!AD20</f>
        <v>0</v>
      </c>
      <c r="G17" s="90"/>
      <c r="H17" s="90"/>
      <c r="I17" s="90">
        <f>'08'!AD20</f>
        <v>0</v>
      </c>
      <c r="J17" s="90">
        <f>'09'!AD20</f>
        <v>0</v>
      </c>
      <c r="K17" s="90">
        <f>'10'!AD20</f>
        <v>0</v>
      </c>
      <c r="L17" s="90">
        <f>'11'!AD20</f>
        <v>0</v>
      </c>
      <c r="M17" s="90">
        <f>'12'!AD20</f>
        <v>0</v>
      </c>
      <c r="N17" s="90"/>
      <c r="O17" s="90"/>
      <c r="P17" s="90">
        <f>'15'!AD20</f>
        <v>0</v>
      </c>
      <c r="Q17" s="90">
        <f>'16'!AD20</f>
        <v>0</v>
      </c>
      <c r="R17" s="90">
        <f>'17'!AD21</f>
        <v>0.95833333333333337</v>
      </c>
      <c r="S17" s="90">
        <f>'18'!AD20</f>
        <v>1</v>
      </c>
      <c r="T17" s="90">
        <f>'19'!AD21</f>
        <v>0.83308383233532945</v>
      </c>
      <c r="U17" s="90"/>
      <c r="V17" s="90"/>
      <c r="W17" s="90">
        <f>'22'!AD20</f>
        <v>0</v>
      </c>
      <c r="X17" s="90">
        <f>'23'!AD21</f>
        <v>0.87472000000000005</v>
      </c>
      <c r="Y17" s="90">
        <f>'24'!AD20</f>
        <v>1</v>
      </c>
      <c r="Z17" s="90">
        <f>'25'!AD21</f>
        <v>1</v>
      </c>
      <c r="AA17" s="90">
        <f>'26'!AD20</f>
        <v>0.99982585981715277</v>
      </c>
      <c r="AB17" s="90"/>
      <c r="AC17" s="90"/>
      <c r="AD17" s="90">
        <f>'29'!AD21</f>
        <v>0.9165728420334357</v>
      </c>
      <c r="AE17" s="90">
        <f>'30'!AD21</f>
        <v>0.99982253771073648</v>
      </c>
      <c r="AF17" s="91">
        <f>'31'!AD20</f>
        <v>0.49983669025585192</v>
      </c>
      <c r="AG17" s="92">
        <f t="shared" si="0"/>
        <v>0.29297403533825289</v>
      </c>
    </row>
    <row r="18" spans="1:33" s="93" customFormat="1" ht="21.75" customHeight="1">
      <c r="A18" s="97" t="s">
        <v>105</v>
      </c>
      <c r="B18" s="101"/>
      <c r="C18" s="101">
        <f>'02'!AD22</f>
        <v>0.48276880193363958</v>
      </c>
      <c r="D18" s="102">
        <f>'03'!AD22</f>
        <v>0.48015944995001791</v>
      </c>
      <c r="E18" s="102">
        <f>'04'!AD22</f>
        <v>0.62951488800261546</v>
      </c>
      <c r="F18" s="102">
        <f>'05'!AD21</f>
        <v>0.6550352971244584</v>
      </c>
      <c r="G18" s="102"/>
      <c r="H18" s="102"/>
      <c r="I18" s="102">
        <f>'08'!AD21</f>
        <v>0.50480710434402642</v>
      </c>
      <c r="J18" s="102">
        <f>'09'!AD21</f>
        <v>0.13751947519475197</v>
      </c>
      <c r="K18" s="102">
        <f>'10'!AD21</f>
        <v>0.29142775355401762</v>
      </c>
      <c r="L18" s="102">
        <f>'11'!AD21</f>
        <v>0.26372775342596078</v>
      </c>
      <c r="M18" s="102">
        <f>'12'!AD21</f>
        <v>0.05</v>
      </c>
      <c r="N18" s="102"/>
      <c r="O18" s="102"/>
      <c r="P18" s="102">
        <f>'15'!AD21</f>
        <v>2.777777777777778E-2</v>
      </c>
      <c r="Q18" s="102">
        <f>'16'!AD21</f>
        <v>6.9383680555555563E-2</v>
      </c>
      <c r="R18" s="102">
        <f>'17'!AD22</f>
        <v>0.61922515757543195</v>
      </c>
      <c r="S18" s="102">
        <f>'18'!AD21</f>
        <v>0.55802480570841906</v>
      </c>
      <c r="T18" s="102">
        <f>'19'!AD22</f>
        <v>0.53306079213944335</v>
      </c>
      <c r="U18" s="102"/>
      <c r="V18" s="102"/>
      <c r="W18" s="102">
        <f>'22'!AD21</f>
        <v>0.36061140026848781</v>
      </c>
      <c r="X18" s="102">
        <f>'23'!AD22</f>
        <v>0.41363538523072835</v>
      </c>
      <c r="Y18" s="102">
        <f>'24'!AD21</f>
        <v>0.35254957453428915</v>
      </c>
      <c r="Z18" s="102">
        <f>'25'!AD22</f>
        <v>0.38586393558577198</v>
      </c>
      <c r="AA18" s="102">
        <f>'26'!AD21</f>
        <v>0.49979530792196081</v>
      </c>
      <c r="AB18" s="102"/>
      <c r="AC18" s="102"/>
      <c r="AD18" s="102">
        <f>'29'!AD22</f>
        <v>0.5134930016610999</v>
      </c>
      <c r="AE18" s="102">
        <f>'30'!AD22</f>
        <v>0.3745997148448435</v>
      </c>
      <c r="AF18" s="103">
        <f>'31'!AD21</f>
        <v>0.32754904193115314</v>
      </c>
      <c r="AG18" s="106">
        <f t="shared" si="0"/>
        <v>0.27517839029885321</v>
      </c>
    </row>
    <row r="19" spans="1:33" ht="21.75" customHeight="1" thickBot="1">
      <c r="A19" s="76" t="s">
        <v>109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F69" sqref="F69:J6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53" t="s">
        <v>161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2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36" t="s">
        <v>17</v>
      </c>
      <c r="L5" s="136" t="s">
        <v>18</v>
      </c>
      <c r="M5" s="136" t="s">
        <v>19</v>
      </c>
      <c r="N5" s="1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2" ht="27" customHeight="1">
      <c r="A6" s="108">
        <v>1</v>
      </c>
      <c r="B6" s="11" t="s">
        <v>57</v>
      </c>
      <c r="C6" s="37" t="s">
        <v>114</v>
      </c>
      <c r="D6" s="55" t="s">
        <v>144</v>
      </c>
      <c r="E6" s="57" t="s">
        <v>145</v>
      </c>
      <c r="F6" s="33" t="s">
        <v>146</v>
      </c>
      <c r="G6" s="12">
        <v>1</v>
      </c>
      <c r="H6" s="13">
        <v>25</v>
      </c>
      <c r="I6" s="34">
        <v>5000</v>
      </c>
      <c r="J6" s="5">
        <v>4040</v>
      </c>
      <c r="K6" s="15">
        <f>L6+4031</f>
        <v>4031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4</v>
      </c>
      <c r="R6" s="7"/>
      <c r="S6" s="6">
        <v>4</v>
      </c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0.48276880193363958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4840</v>
      </c>
      <c r="K7" s="15">
        <f>L7+3814+4589+2667+5183+5596+4810+5162+5299+4227</f>
        <v>46183</v>
      </c>
      <c r="L7" s="15">
        <f>2737+2099</f>
        <v>4836</v>
      </c>
      <c r="M7" s="16">
        <f t="shared" si="0"/>
        <v>4836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0.99917355371900829</v>
      </c>
      <c r="AC7" s="9">
        <f t="shared" si="5"/>
        <v>1</v>
      </c>
      <c r="AD7" s="10">
        <f t="shared" si="6"/>
        <v>0.99917355371900829</v>
      </c>
      <c r="AE7" s="39">
        <f t="shared" si="7"/>
        <v>0.48276880193363958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11" t="s">
        <v>163</v>
      </c>
      <c r="D8" s="55" t="s">
        <v>135</v>
      </c>
      <c r="E8" s="56" t="s">
        <v>164</v>
      </c>
      <c r="F8" s="12" t="s">
        <v>165</v>
      </c>
      <c r="G8" s="12">
        <v>1</v>
      </c>
      <c r="H8" s="13">
        <v>25</v>
      </c>
      <c r="I8" s="34">
        <v>4000</v>
      </c>
      <c r="J8" s="14">
        <v>4070</v>
      </c>
      <c r="K8" s="15">
        <f>L8</f>
        <v>4068</v>
      </c>
      <c r="L8" s="15">
        <f>2417+1651</f>
        <v>4068</v>
      </c>
      <c r="M8" s="16">
        <f t="shared" si="0"/>
        <v>4068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>
        <v>1</v>
      </c>
      <c r="U8" s="17"/>
      <c r="V8" s="18"/>
      <c r="W8" s="19"/>
      <c r="X8" s="17"/>
      <c r="Y8" s="20"/>
      <c r="Z8" s="20"/>
      <c r="AA8" s="21"/>
      <c r="AB8" s="8">
        <f t="shared" si="4"/>
        <v>0.99950859950859949</v>
      </c>
      <c r="AC8" s="9">
        <f t="shared" si="5"/>
        <v>0.95833333333333337</v>
      </c>
      <c r="AD8" s="10">
        <f t="shared" si="6"/>
        <v>0.95786240786240784</v>
      </c>
      <c r="AE8" s="39">
        <f t="shared" si="7"/>
        <v>0.48276880193363958</v>
      </c>
      <c r="AF8" s="94">
        <f>A8</f>
        <v>3</v>
      </c>
    </row>
    <row r="9" spans="1:32" ht="27" customHeight="1">
      <c r="A9" s="110">
        <v>4</v>
      </c>
      <c r="B9" s="11" t="s">
        <v>57</v>
      </c>
      <c r="C9" s="37" t="s">
        <v>166</v>
      </c>
      <c r="D9" s="55" t="s">
        <v>167</v>
      </c>
      <c r="E9" s="57" t="s">
        <v>168</v>
      </c>
      <c r="F9" s="33" t="s">
        <v>169</v>
      </c>
      <c r="G9" s="36">
        <v>1</v>
      </c>
      <c r="H9" s="38">
        <v>25</v>
      </c>
      <c r="I9" s="7">
        <v>4000</v>
      </c>
      <c r="J9" s="5">
        <v>4330</v>
      </c>
      <c r="K9" s="15">
        <f>L9</f>
        <v>4326</v>
      </c>
      <c r="L9" s="15">
        <f>2163*2</f>
        <v>4326</v>
      </c>
      <c r="M9" s="16">
        <f t="shared" si="0"/>
        <v>4326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/>
      <c r="W9" s="19">
        <v>14</v>
      </c>
      <c r="X9" s="17"/>
      <c r="Y9" s="20"/>
      <c r="Z9" s="20"/>
      <c r="AA9" s="21"/>
      <c r="AB9" s="8">
        <f t="shared" si="4"/>
        <v>0.99907621247113165</v>
      </c>
      <c r="AC9" s="9">
        <f t="shared" si="5"/>
        <v>0.41666666666666669</v>
      </c>
      <c r="AD9" s="10">
        <f t="shared" si="6"/>
        <v>0.41628175519630489</v>
      </c>
      <c r="AE9" s="39">
        <f t="shared" si="7"/>
        <v>0.48276880193363958</v>
      </c>
      <c r="AF9" s="94">
        <f t="shared" ref="AF9:AF11" si="9">A9</f>
        <v>4</v>
      </c>
    </row>
    <row r="10" spans="1:32" ht="27" customHeight="1">
      <c r="A10" s="110">
        <v>4</v>
      </c>
      <c r="B10" s="11" t="s">
        <v>57</v>
      </c>
      <c r="C10" s="37" t="s">
        <v>170</v>
      </c>
      <c r="D10" s="55" t="s">
        <v>171</v>
      </c>
      <c r="E10" s="57" t="s">
        <v>172</v>
      </c>
      <c r="F10" s="33" t="s">
        <v>173</v>
      </c>
      <c r="G10" s="36">
        <v>1</v>
      </c>
      <c r="H10" s="38">
        <v>25</v>
      </c>
      <c r="I10" s="7">
        <v>15000</v>
      </c>
      <c r="J10" s="5">
        <v>2560</v>
      </c>
      <c r="K10" s="15">
        <f>L10</f>
        <v>2560</v>
      </c>
      <c r="L10" s="15">
        <f>2560</f>
        <v>2560</v>
      </c>
      <c r="M10" s="16">
        <f t="shared" ref="M10" si="10">L10-N10</f>
        <v>2560</v>
      </c>
      <c r="N10" s="16">
        <v>0</v>
      </c>
      <c r="O10" s="62">
        <f t="shared" ref="O10" si="11">IF(L10=0,"0",N10/L10)</f>
        <v>0</v>
      </c>
      <c r="P10" s="42">
        <f t="shared" ref="P10" si="12">IF(L10=0,"0",(24-Q10))</f>
        <v>13</v>
      </c>
      <c r="Q10" s="43">
        <f t="shared" ref="Q10" si="13">SUM(R10:AA10)</f>
        <v>11</v>
      </c>
      <c r="R10" s="7"/>
      <c r="S10" s="6"/>
      <c r="T10" s="17">
        <v>11</v>
      </c>
      <c r="U10" s="17"/>
      <c r="V10" s="18"/>
      <c r="W10" s="19"/>
      <c r="X10" s="17"/>
      <c r="Y10" s="20"/>
      <c r="Z10" s="20"/>
      <c r="AA10" s="21"/>
      <c r="AB10" s="8">
        <f t="shared" ref="AB10" si="14">IF(J10=0,"0",(L10/J10))</f>
        <v>1</v>
      </c>
      <c r="AC10" s="9">
        <f t="shared" ref="AC10" si="15">IF(P10=0,"0",(P10/24))</f>
        <v>0.54166666666666663</v>
      </c>
      <c r="AD10" s="10">
        <f t="shared" ref="AD10" si="16">AC10*AB10*(1-O10)</f>
        <v>0.54166666666666663</v>
      </c>
      <c r="AE10" s="39">
        <f t="shared" si="7"/>
        <v>0.48276880193363958</v>
      </c>
      <c r="AF10" s="94">
        <f t="shared" ref="AF10" si="17">A10</f>
        <v>4</v>
      </c>
    </row>
    <row r="11" spans="1:32" ht="27" customHeight="1">
      <c r="A11" s="110">
        <v>5</v>
      </c>
      <c r="B11" s="11" t="s">
        <v>57</v>
      </c>
      <c r="C11" s="37" t="s">
        <v>114</v>
      </c>
      <c r="D11" s="55" t="s">
        <v>147</v>
      </c>
      <c r="E11" s="57" t="s">
        <v>148</v>
      </c>
      <c r="F11" s="33" t="s">
        <v>149</v>
      </c>
      <c r="G11" s="36">
        <v>1</v>
      </c>
      <c r="H11" s="38">
        <v>25</v>
      </c>
      <c r="I11" s="7">
        <v>5000</v>
      </c>
      <c r="J11" s="5">
        <v>2580</v>
      </c>
      <c r="K11" s="15">
        <f>L11+3750+2579</f>
        <v>6329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0.48276880193363958</v>
      </c>
      <c r="AF11" s="94">
        <f t="shared" si="9"/>
        <v>5</v>
      </c>
    </row>
    <row r="12" spans="1:32" ht="27" customHeight="1">
      <c r="A12" s="110">
        <v>6</v>
      </c>
      <c r="B12" s="11" t="s">
        <v>57</v>
      </c>
      <c r="C12" s="11" t="s">
        <v>122</v>
      </c>
      <c r="D12" s="55" t="s">
        <v>121</v>
      </c>
      <c r="E12" s="57" t="s">
        <v>136</v>
      </c>
      <c r="F12" s="12" t="s">
        <v>124</v>
      </c>
      <c r="G12" s="12">
        <v>1</v>
      </c>
      <c r="H12" s="13">
        <v>25</v>
      </c>
      <c r="I12" s="34">
        <v>70000</v>
      </c>
      <c r="J12" s="14">
        <v>5420</v>
      </c>
      <c r="K12" s="15">
        <f>L12+2962+5958+4760+5967+6127+5235+6451+3449+6100</f>
        <v>52428</v>
      </c>
      <c r="L12" s="15">
        <f>3126+2293</f>
        <v>5419</v>
      </c>
      <c r="M12" s="16">
        <f t="shared" si="0"/>
        <v>5419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0.9998154981549815</v>
      </c>
      <c r="AC12" s="9">
        <f t="shared" si="5"/>
        <v>1</v>
      </c>
      <c r="AD12" s="10">
        <f t="shared" si="6"/>
        <v>0.9998154981549815</v>
      </c>
      <c r="AE12" s="39">
        <f t="shared" si="7"/>
        <v>0.48276880193363958</v>
      </c>
      <c r="AF12" s="94">
        <f t="shared" si="8"/>
        <v>6</v>
      </c>
    </row>
    <row r="13" spans="1:32" ht="27" customHeight="1">
      <c r="A13" s="110">
        <v>7</v>
      </c>
      <c r="B13" s="11" t="s">
        <v>174</v>
      </c>
      <c r="C13" s="11" t="s">
        <v>123</v>
      </c>
      <c r="D13" s="55" t="s">
        <v>150</v>
      </c>
      <c r="E13" s="57" t="s">
        <v>151</v>
      </c>
      <c r="F13" s="12" t="s">
        <v>152</v>
      </c>
      <c r="G13" s="12">
        <v>1</v>
      </c>
      <c r="H13" s="13">
        <v>25</v>
      </c>
      <c r="I13" s="7">
        <v>4000</v>
      </c>
      <c r="J13" s="14">
        <v>2520</v>
      </c>
      <c r="K13" s="15">
        <f>L13+4071</f>
        <v>6589</v>
      </c>
      <c r="L13" s="15">
        <f>338+2180</f>
        <v>2518</v>
      </c>
      <c r="M13" s="16">
        <f t="shared" si="0"/>
        <v>2518</v>
      </c>
      <c r="N13" s="16">
        <v>0</v>
      </c>
      <c r="O13" s="62">
        <f t="shared" si="1"/>
        <v>0</v>
      </c>
      <c r="P13" s="42">
        <f t="shared" si="2"/>
        <v>13</v>
      </c>
      <c r="Q13" s="43">
        <f t="shared" si="3"/>
        <v>11</v>
      </c>
      <c r="R13" s="7"/>
      <c r="S13" s="6"/>
      <c r="T13" s="17"/>
      <c r="U13" s="17"/>
      <c r="V13" s="18"/>
      <c r="W13" s="19">
        <v>11</v>
      </c>
      <c r="X13" s="17"/>
      <c r="Y13" s="20"/>
      <c r="Z13" s="20"/>
      <c r="AA13" s="21"/>
      <c r="AB13" s="8">
        <f t="shared" si="4"/>
        <v>0.99920634920634921</v>
      </c>
      <c r="AC13" s="9">
        <f t="shared" si="5"/>
        <v>0.54166666666666663</v>
      </c>
      <c r="AD13" s="10">
        <f t="shared" si="6"/>
        <v>0.54123677248677249</v>
      </c>
      <c r="AE13" s="39">
        <f t="shared" si="7"/>
        <v>0.48276880193363958</v>
      </c>
      <c r="AF13" s="94">
        <f t="shared" si="8"/>
        <v>7</v>
      </c>
    </row>
    <row r="14" spans="1:32" ht="27" customHeight="1">
      <c r="A14" s="110">
        <v>8</v>
      </c>
      <c r="B14" s="11" t="s">
        <v>174</v>
      </c>
      <c r="C14" s="11" t="s">
        <v>166</v>
      </c>
      <c r="D14" s="55" t="s">
        <v>175</v>
      </c>
      <c r="E14" s="57" t="s">
        <v>176</v>
      </c>
      <c r="F14" s="12" t="s">
        <v>177</v>
      </c>
      <c r="G14" s="12">
        <v>1</v>
      </c>
      <c r="H14" s="13">
        <v>25</v>
      </c>
      <c r="I14" s="7">
        <v>2000</v>
      </c>
      <c r="J14" s="14">
        <v>1690</v>
      </c>
      <c r="K14" s="15">
        <f>L14</f>
        <v>1681</v>
      </c>
      <c r="L14" s="15">
        <f>1519+162</f>
        <v>1681</v>
      </c>
      <c r="M14" s="16">
        <f t="shared" si="0"/>
        <v>1681</v>
      </c>
      <c r="N14" s="16">
        <v>0</v>
      </c>
      <c r="O14" s="62">
        <f t="shared" si="1"/>
        <v>0</v>
      </c>
      <c r="P14" s="42">
        <f t="shared" si="2"/>
        <v>17</v>
      </c>
      <c r="Q14" s="43">
        <f t="shared" si="3"/>
        <v>7</v>
      </c>
      <c r="R14" s="7"/>
      <c r="S14" s="6"/>
      <c r="T14" s="17">
        <v>7</v>
      </c>
      <c r="U14" s="17"/>
      <c r="V14" s="18"/>
      <c r="W14" s="19"/>
      <c r="X14" s="17"/>
      <c r="Y14" s="20"/>
      <c r="Z14" s="20"/>
      <c r="AA14" s="21"/>
      <c r="AB14" s="8">
        <f t="shared" si="4"/>
        <v>0.9946745562130177</v>
      </c>
      <c r="AC14" s="9">
        <f t="shared" si="5"/>
        <v>0.70833333333333337</v>
      </c>
      <c r="AD14" s="10">
        <f t="shared" si="6"/>
        <v>0.70456114398422087</v>
      </c>
      <c r="AE14" s="39">
        <f t="shared" si="7"/>
        <v>0.48276880193363958</v>
      </c>
      <c r="AF14" s="94">
        <f t="shared" si="8"/>
        <v>8</v>
      </c>
    </row>
    <row r="15" spans="1:32" ht="27" customHeight="1">
      <c r="A15" s="109">
        <v>9</v>
      </c>
      <c r="B15" s="11" t="s">
        <v>57</v>
      </c>
      <c r="C15" s="37" t="s">
        <v>178</v>
      </c>
      <c r="D15" s="55" t="s">
        <v>179</v>
      </c>
      <c r="E15" s="57" t="s">
        <v>180</v>
      </c>
      <c r="F15" s="33" t="s">
        <v>126</v>
      </c>
      <c r="G15" s="36">
        <v>1</v>
      </c>
      <c r="H15" s="38">
        <v>25</v>
      </c>
      <c r="I15" s="7">
        <v>200</v>
      </c>
      <c r="J15" s="5">
        <v>660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0.48276880193363958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131</v>
      </c>
      <c r="D16" s="55" t="s">
        <v>137</v>
      </c>
      <c r="E16" s="57" t="s">
        <v>138</v>
      </c>
      <c r="F16" s="12" t="s">
        <v>139</v>
      </c>
      <c r="G16" s="12">
        <v>3</v>
      </c>
      <c r="H16" s="13">
        <v>24</v>
      </c>
      <c r="I16" s="34">
        <v>30000</v>
      </c>
      <c r="J16" s="14">
        <v>2811</v>
      </c>
      <c r="K16" s="15">
        <f>L16+14277+17994+15387+2811</f>
        <v>50469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0.48276880193363958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122</v>
      </c>
      <c r="D17" s="55" t="s">
        <v>125</v>
      </c>
      <c r="E17" s="56" t="s">
        <v>129</v>
      </c>
      <c r="F17" s="12">
        <v>7301</v>
      </c>
      <c r="G17" s="36">
        <v>1</v>
      </c>
      <c r="H17" s="38">
        <v>25</v>
      </c>
      <c r="I17" s="7">
        <v>70000</v>
      </c>
      <c r="J17" s="14">
        <v>2730</v>
      </c>
      <c r="K17" s="15">
        <f>L17+4579+4501+4174+2520+4543+4907+5427+5521+5837</f>
        <v>44735</v>
      </c>
      <c r="L17" s="15">
        <f>2553+173</f>
        <v>2726</v>
      </c>
      <c r="M17" s="16">
        <f t="shared" si="0"/>
        <v>2726</v>
      </c>
      <c r="N17" s="16">
        <v>0</v>
      </c>
      <c r="O17" s="62">
        <f t="shared" si="1"/>
        <v>0</v>
      </c>
      <c r="P17" s="42">
        <f t="shared" si="2"/>
        <v>14</v>
      </c>
      <c r="Q17" s="43">
        <f t="shared" si="3"/>
        <v>10</v>
      </c>
      <c r="R17" s="7"/>
      <c r="S17" s="6">
        <v>10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0.99853479853479854</v>
      </c>
      <c r="AC17" s="9">
        <f t="shared" si="5"/>
        <v>0.58333333333333337</v>
      </c>
      <c r="AD17" s="10">
        <f t="shared" si="6"/>
        <v>0.58247863247863252</v>
      </c>
      <c r="AE17" s="39">
        <f t="shared" si="7"/>
        <v>0.48276880193363958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123</v>
      </c>
      <c r="D18" s="55" t="s">
        <v>153</v>
      </c>
      <c r="E18" s="56" t="s">
        <v>154</v>
      </c>
      <c r="F18" s="12" t="s">
        <v>155</v>
      </c>
      <c r="G18" s="12">
        <v>1</v>
      </c>
      <c r="H18" s="13">
        <v>25</v>
      </c>
      <c r="I18" s="34">
        <v>4000</v>
      </c>
      <c r="J18" s="5">
        <v>5180</v>
      </c>
      <c r="K18" s="15">
        <f>L18+4117</f>
        <v>9289</v>
      </c>
      <c r="L18" s="15">
        <f>2679+2493</f>
        <v>5172</v>
      </c>
      <c r="M18" s="16">
        <f t="shared" si="0"/>
        <v>5172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0.9984555984555985</v>
      </c>
      <c r="AC18" s="9">
        <f t="shared" si="5"/>
        <v>1</v>
      </c>
      <c r="AD18" s="10">
        <f t="shared" si="6"/>
        <v>0.9984555984555985</v>
      </c>
      <c r="AE18" s="39">
        <f t="shared" si="7"/>
        <v>0.48276880193363958</v>
      </c>
      <c r="AF18" s="94">
        <f t="shared" ref="AF18" si="18">A18</f>
        <v>12</v>
      </c>
    </row>
    <row r="19" spans="1:36" ht="27" customHeight="1">
      <c r="A19" s="110">
        <v>13</v>
      </c>
      <c r="B19" s="11" t="s">
        <v>57</v>
      </c>
      <c r="C19" s="37" t="s">
        <v>114</v>
      </c>
      <c r="D19" s="55" t="s">
        <v>140</v>
      </c>
      <c r="E19" s="57" t="s">
        <v>130</v>
      </c>
      <c r="F19" s="33" t="s">
        <v>128</v>
      </c>
      <c r="G19" s="36">
        <v>1</v>
      </c>
      <c r="H19" s="38">
        <v>25</v>
      </c>
      <c r="I19" s="7">
        <v>10000</v>
      </c>
      <c r="J19" s="5">
        <v>1300</v>
      </c>
      <c r="K19" s="15">
        <f>L19+2799+4894+1300</f>
        <v>8993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0.48276880193363958</v>
      </c>
      <c r="AF19" s="94">
        <f t="shared" si="8"/>
        <v>13</v>
      </c>
    </row>
    <row r="20" spans="1:36" ht="27" customHeight="1">
      <c r="A20" s="110">
        <v>14</v>
      </c>
      <c r="B20" s="11" t="s">
        <v>57</v>
      </c>
      <c r="C20" s="11" t="s">
        <v>166</v>
      </c>
      <c r="D20" s="55" t="s">
        <v>135</v>
      </c>
      <c r="E20" s="57" t="s">
        <v>181</v>
      </c>
      <c r="F20" s="12" t="s">
        <v>169</v>
      </c>
      <c r="G20" s="12">
        <v>1</v>
      </c>
      <c r="H20" s="13">
        <v>25</v>
      </c>
      <c r="I20" s="7">
        <v>2000</v>
      </c>
      <c r="J20" s="14">
        <v>2210</v>
      </c>
      <c r="K20" s="15">
        <f>L20</f>
        <v>2210</v>
      </c>
      <c r="L20" s="15">
        <f>613+1597</f>
        <v>2210</v>
      </c>
      <c r="M20" s="16">
        <f t="shared" si="0"/>
        <v>2210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/>
      <c r="W20" s="19">
        <v>12</v>
      </c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0.48276880193363958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132</v>
      </c>
      <c r="D21" s="55"/>
      <c r="E21" s="56" t="s">
        <v>141</v>
      </c>
      <c r="F21" s="12" t="s">
        <v>133</v>
      </c>
      <c r="G21" s="12">
        <v>4</v>
      </c>
      <c r="H21" s="38">
        <v>20</v>
      </c>
      <c r="I21" s="7">
        <v>200000</v>
      </c>
      <c r="J21" s="14">
        <v>23900</v>
      </c>
      <c r="K21" s="15">
        <f>L21+27152+23896</f>
        <v>51048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0.48276880193363958</v>
      </c>
      <c r="AF21" s="94">
        <f t="shared" si="8"/>
        <v>15</v>
      </c>
    </row>
    <row r="22" spans="1:36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495200</v>
      </c>
      <c r="J22" s="22">
        <f t="shared" si="19"/>
        <v>70841</v>
      </c>
      <c r="K22" s="23">
        <f t="shared" si="19"/>
        <v>294939</v>
      </c>
      <c r="L22" s="24">
        <f t="shared" si="19"/>
        <v>35516</v>
      </c>
      <c r="M22" s="23">
        <f t="shared" si="19"/>
        <v>35516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174</v>
      </c>
      <c r="Q22" s="46">
        <f t="shared" si="20"/>
        <v>190</v>
      </c>
      <c r="R22" s="26">
        <f t="shared" si="20"/>
        <v>0</v>
      </c>
      <c r="S22" s="27">
        <f t="shared" si="20"/>
        <v>38</v>
      </c>
      <c r="T22" s="27">
        <f t="shared" si="20"/>
        <v>19</v>
      </c>
      <c r="U22" s="27">
        <f t="shared" si="20"/>
        <v>0</v>
      </c>
      <c r="V22" s="28">
        <f t="shared" si="20"/>
        <v>0</v>
      </c>
      <c r="W22" s="29">
        <f t="shared" si="20"/>
        <v>133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0.66589634441756573</v>
      </c>
      <c r="AC22" s="4">
        <f>SUM(AC6:AC21)/15</f>
        <v>0.48333333333333328</v>
      </c>
      <c r="AD22" s="4">
        <f>SUM(AD6:AD21)/15</f>
        <v>0.48276880193363958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182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207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135" t="s">
        <v>46</v>
      </c>
      <c r="D51" s="135" t="s">
        <v>47</v>
      </c>
      <c r="E51" s="135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135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170</v>
      </c>
      <c r="B52" s="421"/>
      <c r="C52" s="134" t="s">
        <v>183</v>
      </c>
      <c r="D52" s="131" t="s">
        <v>135</v>
      </c>
      <c r="E52" s="134" t="s">
        <v>164</v>
      </c>
      <c r="F52" s="405" t="s">
        <v>184</v>
      </c>
      <c r="G52" s="405"/>
      <c r="H52" s="405"/>
      <c r="I52" s="405"/>
      <c r="J52" s="405"/>
      <c r="K52" s="405"/>
      <c r="L52" s="405"/>
      <c r="M52" s="415"/>
      <c r="N52" s="137" t="s">
        <v>143</v>
      </c>
      <c r="O52" s="74" t="s">
        <v>208</v>
      </c>
      <c r="P52" s="422" t="s">
        <v>158</v>
      </c>
      <c r="Q52" s="423"/>
      <c r="R52" s="414" t="s">
        <v>159</v>
      </c>
      <c r="S52" s="414"/>
      <c r="T52" s="414"/>
      <c r="U52" s="414"/>
      <c r="V52" s="405" t="s">
        <v>209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156</v>
      </c>
      <c r="B53" s="421"/>
      <c r="C53" s="134" t="s">
        <v>185</v>
      </c>
      <c r="D53" s="131" t="s">
        <v>186</v>
      </c>
      <c r="E53" s="134" t="s">
        <v>187</v>
      </c>
      <c r="F53" s="405" t="s">
        <v>188</v>
      </c>
      <c r="G53" s="405"/>
      <c r="H53" s="405"/>
      <c r="I53" s="405"/>
      <c r="J53" s="405"/>
      <c r="K53" s="405"/>
      <c r="L53" s="405"/>
      <c r="M53" s="415"/>
      <c r="N53" s="130" t="s">
        <v>203</v>
      </c>
      <c r="O53" s="74" t="s">
        <v>204</v>
      </c>
      <c r="P53" s="422" t="s">
        <v>210</v>
      </c>
      <c r="Q53" s="423"/>
      <c r="R53" s="414" t="s">
        <v>205</v>
      </c>
      <c r="S53" s="414"/>
      <c r="T53" s="414"/>
      <c r="U53" s="414"/>
      <c r="V53" s="405" t="s">
        <v>211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189</v>
      </c>
      <c r="B54" s="421"/>
      <c r="C54" s="134" t="s">
        <v>134</v>
      </c>
      <c r="D54" s="131" t="s">
        <v>190</v>
      </c>
      <c r="E54" s="134" t="s">
        <v>191</v>
      </c>
      <c r="F54" s="405" t="s">
        <v>192</v>
      </c>
      <c r="G54" s="405"/>
      <c r="H54" s="405"/>
      <c r="I54" s="405"/>
      <c r="J54" s="405"/>
      <c r="K54" s="405"/>
      <c r="L54" s="405"/>
      <c r="M54" s="415"/>
      <c r="N54" s="137" t="s">
        <v>160</v>
      </c>
      <c r="O54" s="74" t="s">
        <v>212</v>
      </c>
      <c r="P54" s="414" t="s">
        <v>213</v>
      </c>
      <c r="Q54" s="414"/>
      <c r="R54" s="414" t="s">
        <v>214</v>
      </c>
      <c r="S54" s="414"/>
      <c r="T54" s="414"/>
      <c r="U54" s="414"/>
      <c r="V54" s="405" t="s">
        <v>142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189</v>
      </c>
      <c r="B55" s="421"/>
      <c r="C55" s="134" t="s">
        <v>193</v>
      </c>
      <c r="D55" s="131" t="s">
        <v>135</v>
      </c>
      <c r="E55" s="134" t="s">
        <v>194</v>
      </c>
      <c r="F55" s="405" t="s">
        <v>157</v>
      </c>
      <c r="G55" s="405"/>
      <c r="H55" s="405"/>
      <c r="I55" s="405"/>
      <c r="J55" s="405"/>
      <c r="K55" s="405"/>
      <c r="L55" s="405"/>
      <c r="M55" s="415"/>
      <c r="N55" s="137" t="s">
        <v>160</v>
      </c>
      <c r="O55" s="74" t="s">
        <v>212</v>
      </c>
      <c r="P55" s="422" t="s">
        <v>216</v>
      </c>
      <c r="Q55" s="423"/>
      <c r="R55" s="414" t="s">
        <v>215</v>
      </c>
      <c r="S55" s="414"/>
      <c r="T55" s="414"/>
      <c r="U55" s="414"/>
      <c r="V55" s="405" t="s">
        <v>142</v>
      </c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 t="s">
        <v>166</v>
      </c>
      <c r="B56" s="421"/>
      <c r="C56" s="134" t="s">
        <v>195</v>
      </c>
      <c r="D56" s="131" t="s">
        <v>196</v>
      </c>
      <c r="E56" s="134" t="s">
        <v>197</v>
      </c>
      <c r="F56" s="405" t="s">
        <v>157</v>
      </c>
      <c r="G56" s="405"/>
      <c r="H56" s="405"/>
      <c r="I56" s="405"/>
      <c r="J56" s="405"/>
      <c r="K56" s="405"/>
      <c r="L56" s="405"/>
      <c r="M56" s="415"/>
      <c r="N56" s="130" t="s">
        <v>166</v>
      </c>
      <c r="O56" s="74" t="s">
        <v>218</v>
      </c>
      <c r="P56" s="422" t="s">
        <v>219</v>
      </c>
      <c r="Q56" s="423"/>
      <c r="R56" s="414" t="s">
        <v>217</v>
      </c>
      <c r="S56" s="414"/>
      <c r="T56" s="414"/>
      <c r="U56" s="414"/>
      <c r="V56" s="405" t="s">
        <v>142</v>
      </c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 t="s">
        <v>163</v>
      </c>
      <c r="B57" s="421"/>
      <c r="C57" s="134" t="s">
        <v>195</v>
      </c>
      <c r="D57" s="131" t="s">
        <v>198</v>
      </c>
      <c r="E57" s="134" t="s">
        <v>199</v>
      </c>
      <c r="F57" s="405" t="s">
        <v>157</v>
      </c>
      <c r="G57" s="405"/>
      <c r="H57" s="405"/>
      <c r="I57" s="405"/>
      <c r="J57" s="405"/>
      <c r="K57" s="405"/>
      <c r="L57" s="405"/>
      <c r="M57" s="415"/>
      <c r="N57" s="130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 t="s">
        <v>163</v>
      </c>
      <c r="B58" s="421"/>
      <c r="C58" s="134" t="s">
        <v>200</v>
      </c>
      <c r="D58" s="131" t="s">
        <v>201</v>
      </c>
      <c r="E58" s="134" t="s">
        <v>202</v>
      </c>
      <c r="F58" s="405" t="s">
        <v>206</v>
      </c>
      <c r="G58" s="405"/>
      <c r="H58" s="405"/>
      <c r="I58" s="405"/>
      <c r="J58" s="405"/>
      <c r="K58" s="405"/>
      <c r="L58" s="405"/>
      <c r="M58" s="415"/>
      <c r="N58" s="130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 t="s">
        <v>203</v>
      </c>
      <c r="B59" s="421"/>
      <c r="C59" s="134" t="s">
        <v>204</v>
      </c>
      <c r="D59" s="131" t="s">
        <v>179</v>
      </c>
      <c r="E59" s="134" t="s">
        <v>205</v>
      </c>
      <c r="F59" s="405" t="s">
        <v>206</v>
      </c>
      <c r="G59" s="405"/>
      <c r="H59" s="405"/>
      <c r="I59" s="405"/>
      <c r="J59" s="405"/>
      <c r="K59" s="405"/>
      <c r="L59" s="405"/>
      <c r="M59" s="415"/>
      <c r="N59" s="130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131"/>
      <c r="D60" s="131"/>
      <c r="E60" s="131"/>
      <c r="F60" s="405"/>
      <c r="G60" s="405"/>
      <c r="H60" s="405"/>
      <c r="I60" s="405"/>
      <c r="J60" s="405"/>
      <c r="K60" s="405"/>
      <c r="L60" s="405"/>
      <c r="M60" s="415"/>
      <c r="N60" s="130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133"/>
      <c r="D61" s="133"/>
      <c r="E61" s="133"/>
      <c r="F61" s="418"/>
      <c r="G61" s="418"/>
      <c r="H61" s="418"/>
      <c r="I61" s="418"/>
      <c r="J61" s="418"/>
      <c r="K61" s="418"/>
      <c r="L61" s="418"/>
      <c r="M61" s="419"/>
      <c r="N61" s="132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220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129" t="s">
        <v>2</v>
      </c>
      <c r="D63" s="129" t="s">
        <v>37</v>
      </c>
      <c r="E63" s="129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129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221</v>
      </c>
      <c r="D64" s="125"/>
      <c r="E64" s="128" t="s">
        <v>222</v>
      </c>
      <c r="F64" s="403" t="s">
        <v>223</v>
      </c>
      <c r="G64" s="395"/>
      <c r="H64" s="395"/>
      <c r="I64" s="395"/>
      <c r="J64" s="395"/>
      <c r="K64" s="395">
        <v>8301</v>
      </c>
      <c r="L64" s="395"/>
      <c r="M64" s="54" t="s">
        <v>224</v>
      </c>
      <c r="N64" s="395">
        <v>5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 t="s">
        <v>225</v>
      </c>
      <c r="D65" s="125"/>
      <c r="E65" s="128" t="s">
        <v>201</v>
      </c>
      <c r="F65" s="403" t="s">
        <v>228</v>
      </c>
      <c r="G65" s="395"/>
      <c r="H65" s="395"/>
      <c r="I65" s="395"/>
      <c r="J65" s="395"/>
      <c r="K65" s="395" t="s">
        <v>231</v>
      </c>
      <c r="L65" s="395"/>
      <c r="M65" s="54" t="s">
        <v>224</v>
      </c>
      <c r="N65" s="395">
        <v>8</v>
      </c>
      <c r="O65" s="395"/>
      <c r="P65" s="404">
        <v>250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 t="s">
        <v>225</v>
      </c>
      <c r="D66" s="125"/>
      <c r="E66" s="128" t="s">
        <v>226</v>
      </c>
      <c r="F66" s="403" t="s">
        <v>229</v>
      </c>
      <c r="G66" s="395"/>
      <c r="H66" s="395"/>
      <c r="I66" s="395"/>
      <c r="J66" s="395"/>
      <c r="K66" s="395" t="s">
        <v>232</v>
      </c>
      <c r="L66" s="395"/>
      <c r="M66" s="54" t="s">
        <v>224</v>
      </c>
      <c r="N66" s="395">
        <v>5</v>
      </c>
      <c r="O66" s="395"/>
      <c r="P66" s="404">
        <v>250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 t="s">
        <v>225</v>
      </c>
      <c r="D67" s="125"/>
      <c r="E67" s="128" t="s">
        <v>227</v>
      </c>
      <c r="F67" s="403" t="s">
        <v>230</v>
      </c>
      <c r="G67" s="395"/>
      <c r="H67" s="395"/>
      <c r="I67" s="395"/>
      <c r="J67" s="395"/>
      <c r="K67" s="395" t="s">
        <v>231</v>
      </c>
      <c r="L67" s="395"/>
      <c r="M67" s="54" t="s">
        <v>224</v>
      </c>
      <c r="N67" s="395">
        <v>13</v>
      </c>
      <c r="O67" s="395"/>
      <c r="P67" s="404">
        <v>250</v>
      </c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/>
      <c r="D68" s="125"/>
      <c r="E68" s="128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125"/>
      <c r="E69" s="128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125"/>
      <c r="E70" s="128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125"/>
      <c r="E71" s="128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233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127" t="s">
        <v>2</v>
      </c>
      <c r="D73" s="127" t="s">
        <v>37</v>
      </c>
      <c r="E73" s="127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126" t="s">
        <v>114</v>
      </c>
      <c r="D74" s="126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125" t="s">
        <v>114</v>
      </c>
      <c r="D75" s="125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125"/>
      <c r="D76" s="125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125"/>
      <c r="D77" s="125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125"/>
      <c r="D78" s="125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125"/>
      <c r="D79" s="125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125"/>
      <c r="D80" s="125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125"/>
      <c r="D81" s="125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125"/>
      <c r="D82" s="125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234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F59" sqref="F59:M5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235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49" t="s">
        <v>17</v>
      </c>
      <c r="L5" s="149" t="s">
        <v>18</v>
      </c>
      <c r="M5" s="149" t="s">
        <v>19</v>
      </c>
      <c r="N5" s="14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114</v>
      </c>
      <c r="D6" s="55" t="s">
        <v>144</v>
      </c>
      <c r="E6" s="57" t="s">
        <v>145</v>
      </c>
      <c r="F6" s="33" t="s">
        <v>146</v>
      </c>
      <c r="G6" s="12">
        <v>1</v>
      </c>
      <c r="H6" s="13">
        <v>25</v>
      </c>
      <c r="I6" s="34">
        <v>5000</v>
      </c>
      <c r="J6" s="5">
        <v>4040</v>
      </c>
      <c r="K6" s="15">
        <f>L6+4031</f>
        <v>4031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0.48015944995001791</v>
      </c>
      <c r="AF6" s="94">
        <f t="shared" ref="AF6:AF21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5210</v>
      </c>
      <c r="K7" s="15">
        <f>L7+3814+4589+2667+5183+5596+4810+5162+5299+4227+4836</f>
        <v>51393</v>
      </c>
      <c r="L7" s="15">
        <f>2730+2480</f>
        <v>5210</v>
      </c>
      <c r="M7" s="16">
        <f t="shared" si="0"/>
        <v>5210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1</v>
      </c>
      <c r="AD7" s="10">
        <f t="shared" si="6"/>
        <v>1</v>
      </c>
      <c r="AE7" s="39">
        <f t="shared" si="7"/>
        <v>0.48015944995001791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163</v>
      </c>
      <c r="D8" s="55" t="s">
        <v>135</v>
      </c>
      <c r="E8" s="56" t="s">
        <v>164</v>
      </c>
      <c r="F8" s="12" t="s">
        <v>165</v>
      </c>
      <c r="G8" s="12">
        <v>1</v>
      </c>
      <c r="H8" s="13">
        <v>25</v>
      </c>
      <c r="I8" s="34">
        <v>4000</v>
      </c>
      <c r="J8" s="14">
        <v>4070</v>
      </c>
      <c r="K8" s="15">
        <f>L8+4068</f>
        <v>4068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0.48015944995001791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170</v>
      </c>
      <c r="D9" s="55" t="s">
        <v>171</v>
      </c>
      <c r="E9" s="57" t="s">
        <v>172</v>
      </c>
      <c r="F9" s="33" t="s">
        <v>173</v>
      </c>
      <c r="G9" s="36">
        <v>1</v>
      </c>
      <c r="H9" s="38">
        <v>25</v>
      </c>
      <c r="I9" s="7">
        <v>15000</v>
      </c>
      <c r="J9" s="5">
        <v>5620</v>
      </c>
      <c r="K9" s="15">
        <f>L9+2560</f>
        <v>8172</v>
      </c>
      <c r="L9" s="15">
        <f>2957+2655</f>
        <v>5612</v>
      </c>
      <c r="M9" s="16">
        <f t="shared" si="0"/>
        <v>5612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0.99857651245551604</v>
      </c>
      <c r="AC9" s="9">
        <f t="shared" si="5"/>
        <v>1</v>
      </c>
      <c r="AD9" s="10">
        <f t="shared" si="6"/>
        <v>0.99857651245551604</v>
      </c>
      <c r="AE9" s="39">
        <f t="shared" si="7"/>
        <v>0.48015944995001791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147</v>
      </c>
      <c r="E10" s="57" t="s">
        <v>148</v>
      </c>
      <c r="F10" s="33" t="s">
        <v>149</v>
      </c>
      <c r="G10" s="36">
        <v>1</v>
      </c>
      <c r="H10" s="38">
        <v>25</v>
      </c>
      <c r="I10" s="7">
        <v>5000</v>
      </c>
      <c r="J10" s="5">
        <v>2580</v>
      </c>
      <c r="K10" s="15">
        <f>L10+3750+2579</f>
        <v>6329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0.48015944995001791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122</v>
      </c>
      <c r="D11" s="55" t="s">
        <v>121</v>
      </c>
      <c r="E11" s="57" t="s">
        <v>136</v>
      </c>
      <c r="F11" s="12" t="s">
        <v>124</v>
      </c>
      <c r="G11" s="12">
        <v>1</v>
      </c>
      <c r="H11" s="13">
        <v>25</v>
      </c>
      <c r="I11" s="34">
        <v>70000</v>
      </c>
      <c r="J11" s="14">
        <v>5911</v>
      </c>
      <c r="K11" s="15">
        <f>L11+2962+5958+4760+5967+6127+5235+6451+3449+6100+5419</f>
        <v>58339</v>
      </c>
      <c r="L11" s="15">
        <f>3074+2837</f>
        <v>5911</v>
      </c>
      <c r="M11" s="16">
        <f t="shared" si="0"/>
        <v>5911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0.48015944995001791</v>
      </c>
      <c r="AF11" s="94">
        <f t="shared" si="8"/>
        <v>6</v>
      </c>
    </row>
    <row r="12" spans="1:36" ht="27" customHeight="1">
      <c r="A12" s="110">
        <v>7</v>
      </c>
      <c r="B12" s="11" t="s">
        <v>174</v>
      </c>
      <c r="C12" s="11" t="s">
        <v>122</v>
      </c>
      <c r="D12" s="55" t="s">
        <v>150</v>
      </c>
      <c r="E12" s="57" t="s">
        <v>236</v>
      </c>
      <c r="F12" s="12" t="s">
        <v>237</v>
      </c>
      <c r="G12" s="12">
        <v>2</v>
      </c>
      <c r="H12" s="13">
        <v>25</v>
      </c>
      <c r="I12" s="7">
        <v>35000</v>
      </c>
      <c r="J12" s="14">
        <v>10480</v>
      </c>
      <c r="K12" s="15">
        <f>L12</f>
        <v>10474</v>
      </c>
      <c r="L12" s="15">
        <f>3004*2+2233*2</f>
        <v>10474</v>
      </c>
      <c r="M12" s="16">
        <f t="shared" si="0"/>
        <v>10474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0.99942748091603051</v>
      </c>
      <c r="AC12" s="9">
        <f t="shared" si="5"/>
        <v>0.95833333333333337</v>
      </c>
      <c r="AD12" s="10">
        <f t="shared" si="6"/>
        <v>0.95778466921119598</v>
      </c>
      <c r="AE12" s="39">
        <f t="shared" si="7"/>
        <v>0.48015944995001791</v>
      </c>
      <c r="AF12" s="94">
        <f t="shared" si="8"/>
        <v>7</v>
      </c>
    </row>
    <row r="13" spans="1:36" ht="27" customHeight="1">
      <c r="A13" s="110">
        <v>8</v>
      </c>
      <c r="B13" s="11" t="s">
        <v>174</v>
      </c>
      <c r="C13" s="11" t="s">
        <v>166</v>
      </c>
      <c r="D13" s="55" t="s">
        <v>175</v>
      </c>
      <c r="E13" s="57" t="s">
        <v>176</v>
      </c>
      <c r="F13" s="12" t="s">
        <v>177</v>
      </c>
      <c r="G13" s="12">
        <v>1</v>
      </c>
      <c r="H13" s="13">
        <v>25</v>
      </c>
      <c r="I13" s="7">
        <v>2000</v>
      </c>
      <c r="J13" s="14">
        <v>500</v>
      </c>
      <c r="K13" s="15">
        <f>L13+1681</f>
        <v>2179</v>
      </c>
      <c r="L13" s="15">
        <v>498</v>
      </c>
      <c r="M13" s="16">
        <f t="shared" si="0"/>
        <v>498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0.996</v>
      </c>
      <c r="AC13" s="9">
        <f t="shared" si="5"/>
        <v>0.16666666666666666</v>
      </c>
      <c r="AD13" s="10">
        <f t="shared" si="6"/>
        <v>0.16599999999999998</v>
      </c>
      <c r="AE13" s="39">
        <f t="shared" si="7"/>
        <v>0.48015944995001791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178</v>
      </c>
      <c r="D14" s="55" t="s">
        <v>179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660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0.48015944995001791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0.48015944995001791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4190</v>
      </c>
      <c r="K16" s="15">
        <f>L16+4579+4501+4174+2520+4543+4907+5427+5521+5837+2726</f>
        <v>48922</v>
      </c>
      <c r="L16" s="15">
        <f>2827+1360</f>
        <v>4187</v>
      </c>
      <c r="M16" s="16">
        <f t="shared" si="0"/>
        <v>4187</v>
      </c>
      <c r="N16" s="16">
        <v>0</v>
      </c>
      <c r="O16" s="62">
        <f t="shared" si="1"/>
        <v>0</v>
      </c>
      <c r="P16" s="42">
        <f t="shared" si="2"/>
        <v>21</v>
      </c>
      <c r="Q16" s="43">
        <f t="shared" si="3"/>
        <v>3</v>
      </c>
      <c r="R16" s="7"/>
      <c r="S16" s="6">
        <v>3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0.9992840095465394</v>
      </c>
      <c r="AC16" s="9">
        <f t="shared" si="5"/>
        <v>0.875</v>
      </c>
      <c r="AD16" s="10">
        <f t="shared" si="6"/>
        <v>0.87437350835322203</v>
      </c>
      <c r="AE16" s="39">
        <f t="shared" si="7"/>
        <v>0.48015944995001791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240</v>
      </c>
      <c r="E17" s="56" t="s">
        <v>241</v>
      </c>
      <c r="F17" s="12" t="s">
        <v>242</v>
      </c>
      <c r="G17" s="12">
        <v>1</v>
      </c>
      <c r="H17" s="13">
        <v>25</v>
      </c>
      <c r="I17" s="34">
        <v>2000</v>
      </c>
      <c r="J17" s="5">
        <v>2150</v>
      </c>
      <c r="K17" s="15">
        <f>L17</f>
        <v>2150</v>
      </c>
      <c r="L17" s="15">
        <f>2150</f>
        <v>2150</v>
      </c>
      <c r="M17" s="16">
        <f t="shared" ref="M17" si="10">L17-N17</f>
        <v>2150</v>
      </c>
      <c r="N17" s="16">
        <v>0</v>
      </c>
      <c r="O17" s="62">
        <f t="shared" ref="O17" si="11">IF(L17=0,"0",N17/L17)</f>
        <v>0</v>
      </c>
      <c r="P17" s="42">
        <f t="shared" ref="P17" si="12">IF(L17=0,"0",(24-Q17))</f>
        <v>12</v>
      </c>
      <c r="Q17" s="43">
        <f t="shared" ref="Q17" si="13">SUM(R17:AA17)</f>
        <v>12</v>
      </c>
      <c r="R17" s="7"/>
      <c r="S17" s="6"/>
      <c r="T17" s="17"/>
      <c r="U17" s="17"/>
      <c r="V17" s="18"/>
      <c r="W17" s="19">
        <v>12</v>
      </c>
      <c r="X17" s="17"/>
      <c r="Y17" s="20"/>
      <c r="Z17" s="20"/>
      <c r="AA17" s="21"/>
      <c r="AB17" s="8">
        <f t="shared" ref="AB17" si="14">IF(J17=0,"0",(L17/J17))</f>
        <v>1</v>
      </c>
      <c r="AC17" s="9">
        <f t="shared" ref="AC17" si="15">IF(P17=0,"0",(P17/24))</f>
        <v>0.5</v>
      </c>
      <c r="AD17" s="10">
        <f t="shared" ref="AD17" si="16">AC17*AB17*(1-O17)</f>
        <v>0.5</v>
      </c>
      <c r="AE17" s="39">
        <f t="shared" si="7"/>
        <v>0.48015944995001791</v>
      </c>
      <c r="AF17" s="94">
        <f t="shared" ref="AF17" si="17">A17</f>
        <v>12</v>
      </c>
    </row>
    <row r="18" spans="1:32" ht="27" customHeight="1">
      <c r="A18" s="109">
        <v>12</v>
      </c>
      <c r="B18" s="11" t="s">
        <v>57</v>
      </c>
      <c r="C18" s="37" t="s">
        <v>122</v>
      </c>
      <c r="D18" s="55" t="s">
        <v>238</v>
      </c>
      <c r="E18" s="56" t="s">
        <v>239</v>
      </c>
      <c r="F18" s="12" t="s">
        <v>155</v>
      </c>
      <c r="G18" s="12">
        <v>2</v>
      </c>
      <c r="H18" s="13">
        <v>25</v>
      </c>
      <c r="I18" s="34">
        <v>25000</v>
      </c>
      <c r="J18" s="5">
        <v>5300</v>
      </c>
      <c r="K18" s="15">
        <f>L18</f>
        <v>5292</v>
      </c>
      <c r="L18" s="15">
        <f>2646*2</f>
        <v>5292</v>
      </c>
      <c r="M18" s="16">
        <f t="shared" si="0"/>
        <v>5292</v>
      </c>
      <c r="N18" s="16">
        <v>0</v>
      </c>
      <c r="O18" s="62">
        <f t="shared" si="1"/>
        <v>0</v>
      </c>
      <c r="P18" s="42">
        <f t="shared" si="2"/>
        <v>11</v>
      </c>
      <c r="Q18" s="43">
        <f t="shared" si="3"/>
        <v>13</v>
      </c>
      <c r="R18" s="7"/>
      <c r="S18" s="6"/>
      <c r="T18" s="17">
        <v>13</v>
      </c>
      <c r="U18" s="17"/>
      <c r="V18" s="18"/>
      <c r="W18" s="19"/>
      <c r="X18" s="17"/>
      <c r="Y18" s="20"/>
      <c r="Z18" s="20"/>
      <c r="AA18" s="21"/>
      <c r="AB18" s="8">
        <f t="shared" si="4"/>
        <v>0.99849056603773589</v>
      </c>
      <c r="AC18" s="9">
        <f t="shared" si="5"/>
        <v>0.45833333333333331</v>
      </c>
      <c r="AD18" s="10">
        <f t="shared" si="6"/>
        <v>0.45764150943396226</v>
      </c>
      <c r="AE18" s="39">
        <f t="shared" si="7"/>
        <v>0.48015944995001791</v>
      </c>
      <c r="AF18" s="94">
        <f t="shared" ref="AF18" si="18">A18</f>
        <v>12</v>
      </c>
    </row>
    <row r="19" spans="1:32" ht="27" customHeight="1">
      <c r="A19" s="110">
        <v>13</v>
      </c>
      <c r="B19" s="11" t="s">
        <v>57</v>
      </c>
      <c r="C19" s="37" t="s">
        <v>123</v>
      </c>
      <c r="D19" s="55" t="s">
        <v>243</v>
      </c>
      <c r="E19" s="57" t="s">
        <v>244</v>
      </c>
      <c r="F19" s="33" t="s">
        <v>245</v>
      </c>
      <c r="G19" s="36">
        <v>1</v>
      </c>
      <c r="H19" s="38">
        <v>25</v>
      </c>
      <c r="I19" s="7">
        <v>3000</v>
      </c>
      <c r="J19" s="5">
        <v>2590</v>
      </c>
      <c r="K19" s="15">
        <f>L19</f>
        <v>2582</v>
      </c>
      <c r="L19" s="15">
        <v>2582</v>
      </c>
      <c r="M19" s="16">
        <f t="shared" si="0"/>
        <v>2582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0.9969111969111969</v>
      </c>
      <c r="AC19" s="9">
        <f t="shared" si="5"/>
        <v>0.58333333333333337</v>
      </c>
      <c r="AD19" s="10">
        <f t="shared" si="6"/>
        <v>0.58153153153153159</v>
      </c>
      <c r="AE19" s="39">
        <f t="shared" si="7"/>
        <v>0.48015944995001791</v>
      </c>
      <c r="AF19" s="94">
        <f t="shared" si="8"/>
        <v>13</v>
      </c>
    </row>
    <row r="20" spans="1:32" ht="27" customHeight="1">
      <c r="A20" s="110">
        <v>14</v>
      </c>
      <c r="B20" s="11" t="s">
        <v>57</v>
      </c>
      <c r="C20" s="11" t="s">
        <v>123</v>
      </c>
      <c r="D20" s="55" t="s">
        <v>246</v>
      </c>
      <c r="E20" s="57" t="s">
        <v>247</v>
      </c>
      <c r="F20" s="12" t="s">
        <v>248</v>
      </c>
      <c r="G20" s="12">
        <v>2</v>
      </c>
      <c r="H20" s="13">
        <v>25</v>
      </c>
      <c r="I20" s="7">
        <v>8000</v>
      </c>
      <c r="J20" s="14">
        <v>7300</v>
      </c>
      <c r="K20" s="15">
        <f>L20</f>
        <v>7298</v>
      </c>
      <c r="L20" s="15">
        <f>3357*2+292*2</f>
        <v>7298</v>
      </c>
      <c r="M20" s="16">
        <f t="shared" si="0"/>
        <v>7298</v>
      </c>
      <c r="N20" s="16">
        <v>0</v>
      </c>
      <c r="O20" s="62">
        <f t="shared" si="1"/>
        <v>0</v>
      </c>
      <c r="P20" s="42">
        <f t="shared" si="2"/>
        <v>16</v>
      </c>
      <c r="Q20" s="43">
        <f t="shared" si="3"/>
        <v>8</v>
      </c>
      <c r="R20" s="7"/>
      <c r="S20" s="6">
        <v>8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0.99972602739726024</v>
      </c>
      <c r="AC20" s="9">
        <f t="shared" si="5"/>
        <v>0.66666666666666663</v>
      </c>
      <c r="AD20" s="10">
        <f t="shared" si="6"/>
        <v>0.66648401826484016</v>
      </c>
      <c r="AE20" s="39">
        <f t="shared" si="7"/>
        <v>0.48015944995001791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132</v>
      </c>
      <c r="D21" s="55"/>
      <c r="E21" s="56" t="s">
        <v>141</v>
      </c>
      <c r="F21" s="12" t="s">
        <v>133</v>
      </c>
      <c r="G21" s="12">
        <v>4</v>
      </c>
      <c r="H21" s="38">
        <v>20</v>
      </c>
      <c r="I21" s="7">
        <v>200000</v>
      </c>
      <c r="J21" s="14">
        <v>23900</v>
      </c>
      <c r="K21" s="15">
        <f>L21+27152+23896</f>
        <v>51048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0.48015944995001791</v>
      </c>
      <c r="AF21" s="94">
        <f t="shared" si="8"/>
        <v>15</v>
      </c>
    </row>
    <row r="22" spans="1:32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544200</v>
      </c>
      <c r="J22" s="22">
        <f t="shared" si="19"/>
        <v>87312</v>
      </c>
      <c r="K22" s="23">
        <f t="shared" si="19"/>
        <v>312746</v>
      </c>
      <c r="L22" s="24">
        <f t="shared" si="19"/>
        <v>49214</v>
      </c>
      <c r="M22" s="23">
        <f t="shared" si="19"/>
        <v>49214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173</v>
      </c>
      <c r="Q22" s="46">
        <f t="shared" si="20"/>
        <v>211</v>
      </c>
      <c r="R22" s="26">
        <f t="shared" si="20"/>
        <v>0</v>
      </c>
      <c r="S22" s="27">
        <f t="shared" si="20"/>
        <v>45</v>
      </c>
      <c r="T22" s="27">
        <f t="shared" si="20"/>
        <v>14</v>
      </c>
      <c r="U22" s="27">
        <f t="shared" si="20"/>
        <v>0</v>
      </c>
      <c r="V22" s="28">
        <f t="shared" si="20"/>
        <v>0</v>
      </c>
      <c r="W22" s="29">
        <f t="shared" si="20"/>
        <v>152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0.66589438621761865</v>
      </c>
      <c r="AC22" s="4">
        <f>SUM(AC6:AC21)/15</f>
        <v>0.48055555555555551</v>
      </c>
      <c r="AD22" s="4">
        <f>SUM(AD6:AD21)/15</f>
        <v>0.48015944995001791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249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261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148" t="s">
        <v>46</v>
      </c>
      <c r="D51" s="148" t="s">
        <v>47</v>
      </c>
      <c r="E51" s="148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148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250</v>
      </c>
      <c r="B52" s="421"/>
      <c r="C52" s="147" t="s">
        <v>251</v>
      </c>
      <c r="D52" s="144" t="s">
        <v>125</v>
      </c>
      <c r="E52" s="147" t="s">
        <v>252</v>
      </c>
      <c r="F52" s="405" t="s">
        <v>184</v>
      </c>
      <c r="G52" s="405"/>
      <c r="H52" s="405"/>
      <c r="I52" s="405"/>
      <c r="J52" s="405"/>
      <c r="K52" s="405"/>
      <c r="L52" s="405"/>
      <c r="M52" s="415"/>
      <c r="N52" s="143" t="s">
        <v>122</v>
      </c>
      <c r="O52" s="74" t="s">
        <v>263</v>
      </c>
      <c r="P52" s="422" t="s">
        <v>121</v>
      </c>
      <c r="Q52" s="423"/>
      <c r="R52" s="414" t="s">
        <v>262</v>
      </c>
      <c r="S52" s="414"/>
      <c r="T52" s="414"/>
      <c r="U52" s="414"/>
      <c r="V52" s="405" t="s">
        <v>264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156</v>
      </c>
      <c r="B53" s="421"/>
      <c r="C53" s="147" t="s">
        <v>185</v>
      </c>
      <c r="D53" s="144" t="s">
        <v>186</v>
      </c>
      <c r="E53" s="147" t="s">
        <v>187</v>
      </c>
      <c r="F53" s="405" t="s">
        <v>253</v>
      </c>
      <c r="G53" s="405"/>
      <c r="H53" s="405"/>
      <c r="I53" s="405"/>
      <c r="J53" s="405"/>
      <c r="K53" s="405"/>
      <c r="L53" s="405"/>
      <c r="M53" s="415"/>
      <c r="N53" s="143" t="s">
        <v>203</v>
      </c>
      <c r="O53" s="74" t="s">
        <v>204</v>
      </c>
      <c r="P53" s="422" t="s">
        <v>210</v>
      </c>
      <c r="Q53" s="423"/>
      <c r="R53" s="414" t="s">
        <v>205</v>
      </c>
      <c r="S53" s="414"/>
      <c r="T53" s="414"/>
      <c r="U53" s="414"/>
      <c r="V53" s="405" t="s">
        <v>211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189</v>
      </c>
      <c r="B54" s="421"/>
      <c r="C54" s="147" t="s">
        <v>254</v>
      </c>
      <c r="D54" s="144" t="s">
        <v>240</v>
      </c>
      <c r="E54" s="147" t="s">
        <v>255</v>
      </c>
      <c r="F54" s="405" t="s">
        <v>192</v>
      </c>
      <c r="G54" s="405"/>
      <c r="H54" s="405"/>
      <c r="I54" s="405"/>
      <c r="J54" s="405"/>
      <c r="K54" s="405"/>
      <c r="L54" s="405"/>
      <c r="M54" s="415"/>
      <c r="N54" s="143" t="s">
        <v>266</v>
      </c>
      <c r="O54" s="74" t="s">
        <v>267</v>
      </c>
      <c r="P54" s="414" t="s">
        <v>258</v>
      </c>
      <c r="Q54" s="414"/>
      <c r="R54" s="414" t="s">
        <v>265</v>
      </c>
      <c r="S54" s="414"/>
      <c r="T54" s="414"/>
      <c r="U54" s="414"/>
      <c r="V54" s="405" t="s">
        <v>211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189</v>
      </c>
      <c r="B55" s="421"/>
      <c r="C55" s="147" t="s">
        <v>256</v>
      </c>
      <c r="D55" s="144" t="s">
        <v>135</v>
      </c>
      <c r="E55" s="147" t="s">
        <v>239</v>
      </c>
      <c r="F55" s="405" t="s">
        <v>157</v>
      </c>
      <c r="G55" s="405"/>
      <c r="H55" s="405"/>
      <c r="I55" s="405"/>
      <c r="J55" s="405"/>
      <c r="K55" s="405"/>
      <c r="L55" s="405"/>
      <c r="M55" s="415"/>
      <c r="N55" s="143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 t="s">
        <v>163</v>
      </c>
      <c r="B56" s="421"/>
      <c r="C56" s="147" t="s">
        <v>200</v>
      </c>
      <c r="D56" s="144" t="s">
        <v>201</v>
      </c>
      <c r="E56" s="147" t="s">
        <v>202</v>
      </c>
      <c r="F56" s="405" t="s">
        <v>253</v>
      </c>
      <c r="G56" s="405"/>
      <c r="H56" s="405"/>
      <c r="I56" s="405"/>
      <c r="J56" s="405"/>
      <c r="K56" s="405"/>
      <c r="L56" s="405"/>
      <c r="M56" s="415"/>
      <c r="N56" s="143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 t="s">
        <v>123</v>
      </c>
      <c r="B57" s="421"/>
      <c r="C57" s="147" t="s">
        <v>257</v>
      </c>
      <c r="D57" s="144" t="s">
        <v>258</v>
      </c>
      <c r="E57" s="147" t="s">
        <v>259</v>
      </c>
      <c r="F57" s="405" t="s">
        <v>260</v>
      </c>
      <c r="G57" s="405"/>
      <c r="H57" s="405"/>
      <c r="I57" s="405"/>
      <c r="J57" s="405"/>
      <c r="K57" s="405"/>
      <c r="L57" s="405"/>
      <c r="M57" s="415"/>
      <c r="N57" s="143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147"/>
      <c r="D58" s="144"/>
      <c r="E58" s="147"/>
      <c r="F58" s="405"/>
      <c r="G58" s="405"/>
      <c r="H58" s="405"/>
      <c r="I58" s="405"/>
      <c r="J58" s="405"/>
      <c r="K58" s="405"/>
      <c r="L58" s="405"/>
      <c r="M58" s="415"/>
      <c r="N58" s="143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/>
      <c r="B59" s="421"/>
      <c r="C59" s="147"/>
      <c r="D59" s="144"/>
      <c r="E59" s="147"/>
      <c r="F59" s="405"/>
      <c r="G59" s="405"/>
      <c r="H59" s="405"/>
      <c r="I59" s="405"/>
      <c r="J59" s="405"/>
      <c r="K59" s="405"/>
      <c r="L59" s="405"/>
      <c r="M59" s="415"/>
      <c r="N59" s="143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144"/>
      <c r="D60" s="144"/>
      <c r="E60" s="144"/>
      <c r="F60" s="405"/>
      <c r="G60" s="405"/>
      <c r="H60" s="405"/>
      <c r="I60" s="405"/>
      <c r="J60" s="405"/>
      <c r="K60" s="405"/>
      <c r="L60" s="405"/>
      <c r="M60" s="415"/>
      <c r="N60" s="143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146"/>
      <c r="D61" s="146"/>
      <c r="E61" s="146"/>
      <c r="F61" s="418"/>
      <c r="G61" s="418"/>
      <c r="H61" s="418"/>
      <c r="I61" s="418"/>
      <c r="J61" s="418"/>
      <c r="K61" s="418"/>
      <c r="L61" s="418"/>
      <c r="M61" s="419"/>
      <c r="N61" s="145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268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142" t="s">
        <v>2</v>
      </c>
      <c r="D63" s="142" t="s">
        <v>37</v>
      </c>
      <c r="E63" s="142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142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221</v>
      </c>
      <c r="D64" s="138"/>
      <c r="E64" s="141" t="s">
        <v>269</v>
      </c>
      <c r="F64" s="403" t="s">
        <v>270</v>
      </c>
      <c r="G64" s="395"/>
      <c r="H64" s="395"/>
      <c r="I64" s="395"/>
      <c r="J64" s="395"/>
      <c r="K64" s="395" t="s">
        <v>271</v>
      </c>
      <c r="L64" s="395"/>
      <c r="M64" s="54" t="s">
        <v>272</v>
      </c>
      <c r="N64" s="395">
        <v>5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 t="s">
        <v>250</v>
      </c>
      <c r="D65" s="138"/>
      <c r="E65" s="141" t="s">
        <v>273</v>
      </c>
      <c r="F65" s="403" t="s">
        <v>274</v>
      </c>
      <c r="G65" s="395"/>
      <c r="H65" s="395"/>
      <c r="I65" s="395"/>
      <c r="J65" s="395"/>
      <c r="K65" s="395">
        <v>7301</v>
      </c>
      <c r="L65" s="395"/>
      <c r="M65" s="54" t="s">
        <v>275</v>
      </c>
      <c r="N65" s="395">
        <v>3</v>
      </c>
      <c r="O65" s="395"/>
      <c r="P65" s="404">
        <v>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 t="s">
        <v>122</v>
      </c>
      <c r="D66" s="138"/>
      <c r="E66" s="141" t="s">
        <v>276</v>
      </c>
      <c r="F66" s="403" t="s">
        <v>277</v>
      </c>
      <c r="G66" s="395"/>
      <c r="H66" s="395"/>
      <c r="I66" s="395"/>
      <c r="J66" s="395"/>
      <c r="K66" s="395" t="s">
        <v>278</v>
      </c>
      <c r="L66" s="395"/>
      <c r="M66" s="54" t="s">
        <v>272</v>
      </c>
      <c r="N66" s="395">
        <v>8</v>
      </c>
      <c r="O66" s="395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/>
      <c r="D67" s="138"/>
      <c r="E67" s="141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/>
      <c r="D68" s="138"/>
      <c r="E68" s="141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138"/>
      <c r="E69" s="141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138"/>
      <c r="E70" s="141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138"/>
      <c r="E71" s="141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279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140" t="s">
        <v>2</v>
      </c>
      <c r="D73" s="140" t="s">
        <v>37</v>
      </c>
      <c r="E73" s="140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139" t="s">
        <v>114</v>
      </c>
      <c r="D74" s="139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138" t="s">
        <v>114</v>
      </c>
      <c r="D75" s="138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138"/>
      <c r="D76" s="138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138"/>
      <c r="D77" s="138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138"/>
      <c r="D78" s="138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138"/>
      <c r="D79" s="138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138"/>
      <c r="D80" s="138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138"/>
      <c r="D81" s="138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138"/>
      <c r="D82" s="138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280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F56" sqref="F56:M5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281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50" t="s">
        <v>17</v>
      </c>
      <c r="L5" s="150" t="s">
        <v>18</v>
      </c>
      <c r="M5" s="150" t="s">
        <v>19</v>
      </c>
      <c r="N5" s="15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146</v>
      </c>
      <c r="G6" s="12">
        <v>1</v>
      </c>
      <c r="H6" s="13">
        <v>25</v>
      </c>
      <c r="I6" s="34">
        <v>1500</v>
      </c>
      <c r="J6" s="5">
        <v>2890</v>
      </c>
      <c r="K6" s="15">
        <f>L6</f>
        <v>2884</v>
      </c>
      <c r="L6" s="15">
        <f>431+2453</f>
        <v>2884</v>
      </c>
      <c r="M6" s="16">
        <f t="shared" ref="M6:M21" si="0">L6-N6</f>
        <v>2884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16</v>
      </c>
      <c r="Q6" s="43">
        <f t="shared" ref="Q6:Q21" si="3">SUM(R6:AA6)</f>
        <v>8</v>
      </c>
      <c r="R6" s="7"/>
      <c r="S6" s="6"/>
      <c r="T6" s="17">
        <v>8</v>
      </c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0.99792387543252592</v>
      </c>
      <c r="AC6" s="9">
        <f t="shared" ref="AC6:AC21" si="5">IF(P6=0,"0",(P6/24))</f>
        <v>0.66666666666666663</v>
      </c>
      <c r="AD6" s="10">
        <f t="shared" ref="AD6:AD21" si="6">AC6*AB6*(1-O6)</f>
        <v>0.66528258362168391</v>
      </c>
      <c r="AE6" s="39">
        <f t="shared" ref="AE6:AE21" si="7">$AD$22</f>
        <v>0.62951488800261546</v>
      </c>
      <c r="AF6" s="94">
        <f t="shared" ref="AF6:AF21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5240</v>
      </c>
      <c r="K7" s="15">
        <f>L7+3814+4589+2667+5183+5596+4810+5162+5299+4227+4836+5210</f>
        <v>56628</v>
      </c>
      <c r="L7" s="15">
        <f>2733+2502</f>
        <v>5235</v>
      </c>
      <c r="M7" s="16">
        <f t="shared" si="0"/>
        <v>5235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0.99904580152671751</v>
      </c>
      <c r="AC7" s="9">
        <f t="shared" si="5"/>
        <v>1</v>
      </c>
      <c r="AD7" s="10">
        <f t="shared" si="6"/>
        <v>0.99904580152671751</v>
      </c>
      <c r="AE7" s="39">
        <f t="shared" si="7"/>
        <v>0.62951488800261546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284</v>
      </c>
      <c r="F8" s="12" t="s">
        <v>285</v>
      </c>
      <c r="G8" s="12">
        <v>1</v>
      </c>
      <c r="H8" s="13">
        <v>25</v>
      </c>
      <c r="I8" s="34">
        <v>1000</v>
      </c>
      <c r="J8" s="14">
        <v>1140</v>
      </c>
      <c r="K8" s="15">
        <f>L8</f>
        <v>1139</v>
      </c>
      <c r="L8" s="15">
        <v>1139</v>
      </c>
      <c r="M8" s="16">
        <f t="shared" si="0"/>
        <v>1139</v>
      </c>
      <c r="N8" s="16">
        <v>0</v>
      </c>
      <c r="O8" s="62">
        <f t="shared" si="1"/>
        <v>0</v>
      </c>
      <c r="P8" s="42">
        <f t="shared" si="2"/>
        <v>6</v>
      </c>
      <c r="Q8" s="43">
        <f t="shared" si="3"/>
        <v>18</v>
      </c>
      <c r="R8" s="7"/>
      <c r="S8" s="6"/>
      <c r="T8" s="17"/>
      <c r="U8" s="17"/>
      <c r="V8" s="18"/>
      <c r="W8" s="19">
        <v>18</v>
      </c>
      <c r="X8" s="17"/>
      <c r="Y8" s="20"/>
      <c r="Z8" s="20"/>
      <c r="AA8" s="21"/>
      <c r="AB8" s="8">
        <f t="shared" si="4"/>
        <v>0.99912280701754386</v>
      </c>
      <c r="AC8" s="9">
        <f t="shared" si="5"/>
        <v>0.25</v>
      </c>
      <c r="AD8" s="10">
        <f t="shared" si="6"/>
        <v>0.24978070175438596</v>
      </c>
      <c r="AE8" s="39">
        <f t="shared" si="7"/>
        <v>0.62951488800261546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123</v>
      </c>
      <c r="D9" s="55" t="s">
        <v>171</v>
      </c>
      <c r="E9" s="57" t="s">
        <v>172</v>
      </c>
      <c r="F9" s="33" t="s">
        <v>126</v>
      </c>
      <c r="G9" s="36">
        <v>1</v>
      </c>
      <c r="H9" s="38">
        <v>25</v>
      </c>
      <c r="I9" s="7">
        <v>15000</v>
      </c>
      <c r="J9" s="5">
        <v>5690</v>
      </c>
      <c r="K9" s="15">
        <f>L9+2560+5612</f>
        <v>13854</v>
      </c>
      <c r="L9" s="15">
        <f>2979+2703</f>
        <v>5682</v>
      </c>
      <c r="M9" s="16">
        <f t="shared" si="0"/>
        <v>5682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0.99859402460456947</v>
      </c>
      <c r="AC9" s="9">
        <f t="shared" si="5"/>
        <v>1</v>
      </c>
      <c r="AD9" s="10">
        <f t="shared" si="6"/>
        <v>0.99859402460456947</v>
      </c>
      <c r="AE9" s="39">
        <f t="shared" si="7"/>
        <v>0.62951488800261546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286</v>
      </c>
      <c r="D10" s="55" t="s">
        <v>287</v>
      </c>
      <c r="E10" s="57" t="s">
        <v>288</v>
      </c>
      <c r="F10" s="33" t="s">
        <v>289</v>
      </c>
      <c r="G10" s="36">
        <v>3</v>
      </c>
      <c r="H10" s="38">
        <v>25</v>
      </c>
      <c r="I10" s="7">
        <v>6000</v>
      </c>
      <c r="J10" s="5">
        <v>7480</v>
      </c>
      <c r="K10" s="15">
        <f>L10</f>
        <v>7476</v>
      </c>
      <c r="L10" s="15">
        <f>2492*3</f>
        <v>7476</v>
      </c>
      <c r="M10" s="16">
        <f t="shared" si="0"/>
        <v>7476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/>
      <c r="T10" s="17"/>
      <c r="U10" s="17"/>
      <c r="V10" s="18"/>
      <c r="W10" s="19">
        <v>10</v>
      </c>
      <c r="X10" s="17"/>
      <c r="Y10" s="20"/>
      <c r="Z10" s="20"/>
      <c r="AA10" s="21"/>
      <c r="AB10" s="8">
        <f t="shared" si="4"/>
        <v>0.99946524064171127</v>
      </c>
      <c r="AC10" s="9">
        <f t="shared" si="5"/>
        <v>0.58333333333333337</v>
      </c>
      <c r="AD10" s="10">
        <f t="shared" si="6"/>
        <v>0.58302139037433165</v>
      </c>
      <c r="AE10" s="39">
        <f t="shared" si="7"/>
        <v>0.62951488800261546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122</v>
      </c>
      <c r="D11" s="55" t="s">
        <v>121</v>
      </c>
      <c r="E11" s="57" t="s">
        <v>136</v>
      </c>
      <c r="F11" s="12" t="s">
        <v>124</v>
      </c>
      <c r="G11" s="12">
        <v>1</v>
      </c>
      <c r="H11" s="13">
        <v>25</v>
      </c>
      <c r="I11" s="34">
        <v>70000</v>
      </c>
      <c r="J11" s="14">
        <v>3080</v>
      </c>
      <c r="K11" s="15">
        <f>L11+2962+5958+4760+5967+6127+5235+6451+3449+6100+5419+5911</f>
        <v>61413</v>
      </c>
      <c r="L11" s="15">
        <f>3074</f>
        <v>3074</v>
      </c>
      <c r="M11" s="16">
        <f t="shared" si="0"/>
        <v>3074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>
        <v>8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0.99805194805194808</v>
      </c>
      <c r="AC11" s="9">
        <f t="shared" si="5"/>
        <v>0.66666666666666663</v>
      </c>
      <c r="AD11" s="10">
        <f t="shared" si="6"/>
        <v>0.66536796536796539</v>
      </c>
      <c r="AE11" s="39">
        <f t="shared" si="7"/>
        <v>0.62951488800261546</v>
      </c>
      <c r="AF11" s="94">
        <f t="shared" si="8"/>
        <v>6</v>
      </c>
    </row>
    <row r="12" spans="1:36" ht="27" customHeight="1">
      <c r="A12" s="110">
        <v>7</v>
      </c>
      <c r="B12" s="11" t="s">
        <v>174</v>
      </c>
      <c r="C12" s="11" t="s">
        <v>122</v>
      </c>
      <c r="D12" s="55" t="s">
        <v>150</v>
      </c>
      <c r="E12" s="57" t="s">
        <v>236</v>
      </c>
      <c r="F12" s="12" t="s">
        <v>237</v>
      </c>
      <c r="G12" s="12">
        <v>2</v>
      </c>
      <c r="H12" s="13">
        <v>25</v>
      </c>
      <c r="I12" s="7">
        <v>35000</v>
      </c>
      <c r="J12" s="14">
        <v>11280</v>
      </c>
      <c r="K12" s="15">
        <f>L12+10474</f>
        <v>21750</v>
      </c>
      <c r="L12" s="15">
        <f>2988*2+2650*2</f>
        <v>11276</v>
      </c>
      <c r="M12" s="16">
        <f t="shared" si="0"/>
        <v>11276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0.99964539007092201</v>
      </c>
      <c r="AC12" s="9">
        <f t="shared" si="5"/>
        <v>1</v>
      </c>
      <c r="AD12" s="10">
        <f t="shared" si="6"/>
        <v>0.99964539007092201</v>
      </c>
      <c r="AE12" s="39">
        <f t="shared" si="7"/>
        <v>0.62951488800261546</v>
      </c>
      <c r="AF12" s="94">
        <f t="shared" si="8"/>
        <v>7</v>
      </c>
    </row>
    <row r="13" spans="1:36" ht="27" customHeight="1">
      <c r="A13" s="110">
        <v>8</v>
      </c>
      <c r="B13" s="11" t="s">
        <v>174</v>
      </c>
      <c r="C13" s="11" t="s">
        <v>166</v>
      </c>
      <c r="D13" s="55" t="s">
        <v>175</v>
      </c>
      <c r="E13" s="57" t="s">
        <v>176</v>
      </c>
      <c r="F13" s="12" t="s">
        <v>177</v>
      </c>
      <c r="G13" s="12">
        <v>1</v>
      </c>
      <c r="H13" s="13">
        <v>25</v>
      </c>
      <c r="I13" s="7">
        <v>2000</v>
      </c>
      <c r="J13" s="14">
        <v>500</v>
      </c>
      <c r="K13" s="15">
        <f>L13+1681+498</f>
        <v>2179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0.62951488800261546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178</v>
      </c>
      <c r="D14" s="55" t="s">
        <v>179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820</v>
      </c>
      <c r="K14" s="15">
        <f>L14</f>
        <v>813</v>
      </c>
      <c r="L14" s="15">
        <f>343+470</f>
        <v>813</v>
      </c>
      <c r="M14" s="16">
        <f t="shared" si="0"/>
        <v>813</v>
      </c>
      <c r="N14" s="16">
        <v>0</v>
      </c>
      <c r="O14" s="62">
        <f t="shared" si="1"/>
        <v>0</v>
      </c>
      <c r="P14" s="42">
        <f t="shared" si="2"/>
        <v>13</v>
      </c>
      <c r="Q14" s="43">
        <f t="shared" si="3"/>
        <v>11</v>
      </c>
      <c r="R14" s="7"/>
      <c r="S14" s="6">
        <v>11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0.99146341463414633</v>
      </c>
      <c r="AC14" s="9">
        <f t="shared" si="5"/>
        <v>0.54166666666666663</v>
      </c>
      <c r="AD14" s="10">
        <f t="shared" si="6"/>
        <v>0.53704268292682922</v>
      </c>
      <c r="AE14" s="39">
        <f t="shared" si="7"/>
        <v>0.62951488800261546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0.62951488800261546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5440</v>
      </c>
      <c r="K16" s="15">
        <f>L16+4579+4501+4174+2520+4543+4907+5427+5521+5837+2726+4187</f>
        <v>54357</v>
      </c>
      <c r="L16" s="15">
        <f>2832+2603</f>
        <v>5435</v>
      </c>
      <c r="M16" s="16">
        <f t="shared" si="0"/>
        <v>5435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0.99908088235294112</v>
      </c>
      <c r="AC16" s="9">
        <f t="shared" si="5"/>
        <v>1</v>
      </c>
      <c r="AD16" s="10">
        <f t="shared" si="6"/>
        <v>0.99908088235294112</v>
      </c>
      <c r="AE16" s="39">
        <f t="shared" si="7"/>
        <v>0.62951488800261546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238</v>
      </c>
      <c r="E17" s="56" t="s">
        <v>239</v>
      </c>
      <c r="F17" s="12" t="s">
        <v>155</v>
      </c>
      <c r="G17" s="12">
        <v>2</v>
      </c>
      <c r="H17" s="13">
        <v>25</v>
      </c>
      <c r="I17" s="34">
        <v>25000</v>
      </c>
      <c r="J17" s="5">
        <v>12310</v>
      </c>
      <c r="K17" s="15">
        <f>L17+5292</f>
        <v>17596</v>
      </c>
      <c r="L17" s="15">
        <f>3222*2+2930*2</f>
        <v>12304</v>
      </c>
      <c r="M17" s="16">
        <f t="shared" si="0"/>
        <v>12304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0.99951259138911452</v>
      </c>
      <c r="AC17" s="9">
        <f t="shared" si="5"/>
        <v>1</v>
      </c>
      <c r="AD17" s="10">
        <f t="shared" si="6"/>
        <v>0.99951259138911452</v>
      </c>
      <c r="AE17" s="39">
        <f t="shared" si="7"/>
        <v>0.62951488800261546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123</v>
      </c>
      <c r="D18" s="55" t="s">
        <v>243</v>
      </c>
      <c r="E18" s="57" t="s">
        <v>244</v>
      </c>
      <c r="F18" s="33" t="s">
        <v>245</v>
      </c>
      <c r="G18" s="36">
        <v>1</v>
      </c>
      <c r="H18" s="38">
        <v>25</v>
      </c>
      <c r="I18" s="7">
        <v>3000</v>
      </c>
      <c r="J18" s="5">
        <v>2060</v>
      </c>
      <c r="K18" s="15">
        <f>L18+2582</f>
        <v>4633</v>
      </c>
      <c r="L18" s="15">
        <f>2051</f>
        <v>2051</v>
      </c>
      <c r="M18" s="16">
        <f t="shared" si="0"/>
        <v>2051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>
        <v>14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0.99563106796116507</v>
      </c>
      <c r="AC18" s="9">
        <f t="shared" si="5"/>
        <v>0.41666666666666669</v>
      </c>
      <c r="AD18" s="10">
        <f t="shared" si="6"/>
        <v>0.41484627831715215</v>
      </c>
      <c r="AE18" s="39">
        <f t="shared" si="7"/>
        <v>0.62951488800261546</v>
      </c>
      <c r="AF18" s="94">
        <f t="shared" si="8"/>
        <v>13</v>
      </c>
    </row>
    <row r="19" spans="1:32" ht="27" customHeight="1">
      <c r="A19" s="110">
        <v>13</v>
      </c>
      <c r="B19" s="11" t="s">
        <v>57</v>
      </c>
      <c r="C19" s="37" t="s">
        <v>290</v>
      </c>
      <c r="D19" s="55" t="s">
        <v>179</v>
      </c>
      <c r="E19" s="57" t="s">
        <v>291</v>
      </c>
      <c r="F19" s="33" t="s">
        <v>292</v>
      </c>
      <c r="G19" s="36">
        <v>1</v>
      </c>
      <c r="H19" s="38">
        <v>25</v>
      </c>
      <c r="I19" s="7">
        <v>10000</v>
      </c>
      <c r="J19" s="5">
        <v>2350</v>
      </c>
      <c r="K19" s="15">
        <f>L19</f>
        <v>2344</v>
      </c>
      <c r="L19" s="15">
        <f>2344</f>
        <v>2344</v>
      </c>
      <c r="M19" s="16">
        <f t="shared" ref="M19" si="11">L19-N19</f>
        <v>2344</v>
      </c>
      <c r="N19" s="16">
        <v>0</v>
      </c>
      <c r="O19" s="62">
        <f t="shared" ref="O19" si="12">IF(L19=0,"0",N19/L19)</f>
        <v>0</v>
      </c>
      <c r="P19" s="42">
        <f t="shared" ref="P19" si="13">IF(L19=0,"0",(24-Q19))</f>
        <v>12</v>
      </c>
      <c r="Q19" s="43">
        <f t="shared" ref="Q19" si="14">SUM(R19:AA19)</f>
        <v>12</v>
      </c>
      <c r="R19" s="7"/>
      <c r="S19" s="6"/>
      <c r="T19" s="17">
        <v>12</v>
      </c>
      <c r="U19" s="17"/>
      <c r="V19" s="18"/>
      <c r="W19" s="19"/>
      <c r="X19" s="17"/>
      <c r="Y19" s="20"/>
      <c r="Z19" s="20"/>
      <c r="AA19" s="21"/>
      <c r="AB19" s="8">
        <f t="shared" ref="AB19" si="15">IF(J19=0,"0",(L19/J19))</f>
        <v>0.99744680851063827</v>
      </c>
      <c r="AC19" s="9">
        <f t="shared" ref="AC19" si="16">IF(P19=0,"0",(P19/24))</f>
        <v>0.5</v>
      </c>
      <c r="AD19" s="10">
        <f t="shared" ref="AD19" si="17">AC19*AB19*(1-O19)</f>
        <v>0.49872340425531914</v>
      </c>
      <c r="AE19" s="39">
        <f t="shared" si="7"/>
        <v>0.62951488800261546</v>
      </c>
      <c r="AF19" s="94">
        <f t="shared" ref="AF19" si="18">A19</f>
        <v>13</v>
      </c>
    </row>
    <row r="20" spans="1:32" ht="27" customHeight="1">
      <c r="A20" s="110">
        <v>14</v>
      </c>
      <c r="B20" s="11" t="s">
        <v>57</v>
      </c>
      <c r="C20" s="11" t="s">
        <v>123</v>
      </c>
      <c r="D20" s="55" t="s">
        <v>246</v>
      </c>
      <c r="E20" s="57" t="s">
        <v>247</v>
      </c>
      <c r="F20" s="12" t="s">
        <v>248</v>
      </c>
      <c r="G20" s="12">
        <v>2</v>
      </c>
      <c r="H20" s="13">
        <v>25</v>
      </c>
      <c r="I20" s="7">
        <v>8000</v>
      </c>
      <c r="J20" s="14">
        <v>9030</v>
      </c>
      <c r="K20" s="15">
        <f>L20+7298</f>
        <v>16322</v>
      </c>
      <c r="L20" s="15">
        <f>3369*2+1143*2</f>
        <v>9024</v>
      </c>
      <c r="M20" s="16">
        <f t="shared" si="0"/>
        <v>9024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>
        <v>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0.99933554817275749</v>
      </c>
      <c r="AC20" s="9">
        <f t="shared" si="5"/>
        <v>0.83333333333333337</v>
      </c>
      <c r="AD20" s="10">
        <f t="shared" si="6"/>
        <v>0.83277962347729795</v>
      </c>
      <c r="AE20" s="39">
        <f t="shared" si="7"/>
        <v>0.62951488800261546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132</v>
      </c>
      <c r="D21" s="55"/>
      <c r="E21" s="56" t="s">
        <v>141</v>
      </c>
      <c r="F21" s="12" t="s">
        <v>133</v>
      </c>
      <c r="G21" s="12">
        <v>4</v>
      </c>
      <c r="H21" s="38">
        <v>20</v>
      </c>
      <c r="I21" s="7">
        <v>200000</v>
      </c>
      <c r="J21" s="14">
        <v>23900</v>
      </c>
      <c r="K21" s="15">
        <f>L21+27152+23896</f>
        <v>51048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0.62951488800261546</v>
      </c>
      <c r="AF21" s="94">
        <f t="shared" si="8"/>
        <v>15</v>
      </c>
    </row>
    <row r="22" spans="1:32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546700</v>
      </c>
      <c r="J22" s="22">
        <f t="shared" si="19"/>
        <v>96021</v>
      </c>
      <c r="K22" s="23">
        <f t="shared" si="19"/>
        <v>364905</v>
      </c>
      <c r="L22" s="24">
        <f t="shared" si="19"/>
        <v>68737</v>
      </c>
      <c r="M22" s="23">
        <f t="shared" si="19"/>
        <v>68737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227</v>
      </c>
      <c r="Q22" s="46">
        <f t="shared" si="20"/>
        <v>157</v>
      </c>
      <c r="R22" s="26">
        <f t="shared" si="20"/>
        <v>0</v>
      </c>
      <c r="S22" s="27">
        <f t="shared" si="20"/>
        <v>37</v>
      </c>
      <c r="T22" s="27">
        <f t="shared" si="20"/>
        <v>20</v>
      </c>
      <c r="U22" s="27">
        <f t="shared" si="20"/>
        <v>0</v>
      </c>
      <c r="V22" s="28">
        <f t="shared" si="20"/>
        <v>0</v>
      </c>
      <c r="W22" s="29">
        <f t="shared" si="20"/>
        <v>100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0.86495462669111345</v>
      </c>
      <c r="AC22" s="4">
        <f>SUM(AC6:AC21)/15</f>
        <v>0.63055555555555565</v>
      </c>
      <c r="AD22" s="4">
        <f>SUM(AD6:AD21)/15</f>
        <v>0.62951488800261546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293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310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151" t="s">
        <v>46</v>
      </c>
      <c r="D51" s="151" t="s">
        <v>47</v>
      </c>
      <c r="E51" s="151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151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294</v>
      </c>
      <c r="B52" s="421"/>
      <c r="C52" s="152" t="s">
        <v>295</v>
      </c>
      <c r="D52" s="153"/>
      <c r="E52" s="152" t="s">
        <v>283</v>
      </c>
      <c r="F52" s="405" t="s">
        <v>184</v>
      </c>
      <c r="G52" s="405"/>
      <c r="H52" s="405"/>
      <c r="I52" s="405"/>
      <c r="J52" s="405"/>
      <c r="K52" s="405"/>
      <c r="L52" s="405"/>
      <c r="M52" s="415"/>
      <c r="N52" s="157" t="s">
        <v>303</v>
      </c>
      <c r="O52" s="74" t="s">
        <v>304</v>
      </c>
      <c r="P52" s="422" t="s">
        <v>311</v>
      </c>
      <c r="Q52" s="423"/>
      <c r="R52" s="414" t="s">
        <v>313</v>
      </c>
      <c r="S52" s="414"/>
      <c r="T52" s="414"/>
      <c r="U52" s="414"/>
      <c r="V52" s="405" t="s">
        <v>312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122</v>
      </c>
      <c r="B53" s="421"/>
      <c r="C53" s="152" t="s">
        <v>296</v>
      </c>
      <c r="D53" s="153" t="s">
        <v>297</v>
      </c>
      <c r="E53" s="152" t="s">
        <v>298</v>
      </c>
      <c r="F53" s="405" t="s">
        <v>299</v>
      </c>
      <c r="G53" s="405"/>
      <c r="H53" s="405"/>
      <c r="I53" s="405"/>
      <c r="J53" s="405"/>
      <c r="K53" s="405"/>
      <c r="L53" s="405"/>
      <c r="M53" s="415"/>
      <c r="N53" s="157" t="s">
        <v>315</v>
      </c>
      <c r="O53" s="74" t="s">
        <v>134</v>
      </c>
      <c r="P53" s="422" t="s">
        <v>316</v>
      </c>
      <c r="Q53" s="423"/>
      <c r="R53" s="414" t="s">
        <v>314</v>
      </c>
      <c r="S53" s="414"/>
      <c r="T53" s="414"/>
      <c r="U53" s="414"/>
      <c r="V53" s="405" t="s">
        <v>312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300</v>
      </c>
      <c r="B54" s="421"/>
      <c r="C54" s="152" t="s">
        <v>183</v>
      </c>
      <c r="D54" s="153" t="s">
        <v>135</v>
      </c>
      <c r="E54" s="152" t="s">
        <v>284</v>
      </c>
      <c r="F54" s="405" t="s">
        <v>142</v>
      </c>
      <c r="G54" s="405"/>
      <c r="H54" s="405"/>
      <c r="I54" s="405"/>
      <c r="J54" s="405"/>
      <c r="K54" s="405"/>
      <c r="L54" s="405"/>
      <c r="M54" s="415"/>
      <c r="N54" s="157" t="s">
        <v>318</v>
      </c>
      <c r="O54" s="74" t="s">
        <v>185</v>
      </c>
      <c r="P54" s="414" t="s">
        <v>319</v>
      </c>
      <c r="Q54" s="414"/>
      <c r="R54" s="414" t="s">
        <v>317</v>
      </c>
      <c r="S54" s="414"/>
      <c r="T54" s="414"/>
      <c r="U54" s="414"/>
      <c r="V54" s="405" t="s">
        <v>299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189</v>
      </c>
      <c r="B55" s="421"/>
      <c r="C55" s="152" t="s">
        <v>301</v>
      </c>
      <c r="D55" s="153" t="s">
        <v>179</v>
      </c>
      <c r="E55" s="152" t="s">
        <v>291</v>
      </c>
      <c r="F55" s="405" t="s">
        <v>142</v>
      </c>
      <c r="G55" s="405"/>
      <c r="H55" s="405"/>
      <c r="I55" s="405"/>
      <c r="J55" s="405"/>
      <c r="K55" s="405"/>
      <c r="L55" s="405"/>
      <c r="M55" s="415"/>
      <c r="N55" s="157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 t="s">
        <v>123</v>
      </c>
      <c r="B56" s="421"/>
      <c r="C56" s="152" t="s">
        <v>257</v>
      </c>
      <c r="D56" s="153" t="s">
        <v>258</v>
      </c>
      <c r="E56" s="152" t="s">
        <v>259</v>
      </c>
      <c r="F56" s="405" t="s">
        <v>302</v>
      </c>
      <c r="G56" s="405"/>
      <c r="H56" s="405"/>
      <c r="I56" s="405"/>
      <c r="J56" s="405"/>
      <c r="K56" s="405"/>
      <c r="L56" s="405"/>
      <c r="M56" s="415"/>
      <c r="N56" s="157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 t="s">
        <v>303</v>
      </c>
      <c r="B57" s="421"/>
      <c r="C57" s="152" t="s">
        <v>304</v>
      </c>
      <c r="D57" s="153" t="s">
        <v>305</v>
      </c>
      <c r="E57" s="152" t="s">
        <v>306</v>
      </c>
      <c r="F57" s="405" t="s">
        <v>142</v>
      </c>
      <c r="G57" s="405"/>
      <c r="H57" s="405"/>
      <c r="I57" s="405"/>
      <c r="J57" s="405"/>
      <c r="K57" s="405"/>
      <c r="L57" s="405"/>
      <c r="M57" s="415"/>
      <c r="N57" s="157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 t="s">
        <v>307</v>
      </c>
      <c r="B58" s="421"/>
      <c r="C58" s="152" t="s">
        <v>204</v>
      </c>
      <c r="D58" s="153" t="s">
        <v>308</v>
      </c>
      <c r="E58" s="152" t="s">
        <v>309</v>
      </c>
      <c r="F58" s="405" t="s">
        <v>209</v>
      </c>
      <c r="G58" s="405"/>
      <c r="H58" s="405"/>
      <c r="I58" s="405"/>
      <c r="J58" s="405"/>
      <c r="K58" s="405"/>
      <c r="L58" s="405"/>
      <c r="M58" s="415"/>
      <c r="N58" s="157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/>
      <c r="B59" s="421"/>
      <c r="C59" s="152"/>
      <c r="D59" s="153"/>
      <c r="E59" s="152"/>
      <c r="F59" s="405"/>
      <c r="G59" s="405"/>
      <c r="H59" s="405"/>
      <c r="I59" s="405"/>
      <c r="J59" s="405"/>
      <c r="K59" s="405"/>
      <c r="L59" s="405"/>
      <c r="M59" s="415"/>
      <c r="N59" s="157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153"/>
      <c r="D60" s="153"/>
      <c r="E60" s="153"/>
      <c r="F60" s="405"/>
      <c r="G60" s="405"/>
      <c r="H60" s="405"/>
      <c r="I60" s="405"/>
      <c r="J60" s="405"/>
      <c r="K60" s="405"/>
      <c r="L60" s="405"/>
      <c r="M60" s="415"/>
      <c r="N60" s="157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155"/>
      <c r="D61" s="155"/>
      <c r="E61" s="155"/>
      <c r="F61" s="418"/>
      <c r="G61" s="418"/>
      <c r="H61" s="418"/>
      <c r="I61" s="418"/>
      <c r="J61" s="418"/>
      <c r="K61" s="418"/>
      <c r="L61" s="418"/>
      <c r="M61" s="419"/>
      <c r="N61" s="154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320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156" t="s">
        <v>2</v>
      </c>
      <c r="D63" s="156" t="s">
        <v>37</v>
      </c>
      <c r="E63" s="156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156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178</v>
      </c>
      <c r="D64" s="160"/>
      <c r="E64" s="158" t="s">
        <v>321</v>
      </c>
      <c r="F64" s="403" t="s">
        <v>322</v>
      </c>
      <c r="G64" s="395"/>
      <c r="H64" s="395"/>
      <c r="I64" s="395"/>
      <c r="J64" s="395"/>
      <c r="K64" s="395" t="s">
        <v>323</v>
      </c>
      <c r="L64" s="395"/>
      <c r="M64" s="54" t="s">
        <v>272</v>
      </c>
      <c r="N64" s="395">
        <v>8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 t="s">
        <v>178</v>
      </c>
      <c r="D65" s="160"/>
      <c r="E65" s="158" t="s">
        <v>324</v>
      </c>
      <c r="F65" s="403" t="s">
        <v>325</v>
      </c>
      <c r="G65" s="395"/>
      <c r="H65" s="395"/>
      <c r="I65" s="395"/>
      <c r="J65" s="395"/>
      <c r="K65" s="395">
        <v>7301</v>
      </c>
      <c r="L65" s="395"/>
      <c r="M65" s="54" t="s">
        <v>326</v>
      </c>
      <c r="N65" s="395">
        <v>3</v>
      </c>
      <c r="O65" s="395"/>
      <c r="P65" s="404">
        <v>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/>
      <c r="D66" s="160"/>
      <c r="E66" s="158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/>
      <c r="D67" s="160"/>
      <c r="E67" s="158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/>
      <c r="D68" s="160"/>
      <c r="E68" s="158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160"/>
      <c r="E69" s="158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160"/>
      <c r="E70" s="158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160"/>
      <c r="E71" s="158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327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159" t="s">
        <v>2</v>
      </c>
      <c r="D73" s="159" t="s">
        <v>37</v>
      </c>
      <c r="E73" s="159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161" t="s">
        <v>114</v>
      </c>
      <c r="D74" s="161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160" t="s">
        <v>114</v>
      </c>
      <c r="D75" s="160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160"/>
      <c r="D76" s="160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160"/>
      <c r="D77" s="160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160"/>
      <c r="D78" s="160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160"/>
      <c r="D79" s="160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160"/>
      <c r="D80" s="160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160"/>
      <c r="D81" s="160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160"/>
      <c r="D82" s="160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328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329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146</v>
      </c>
      <c r="G6" s="12">
        <v>1</v>
      </c>
      <c r="H6" s="13">
        <v>25</v>
      </c>
      <c r="I6" s="34">
        <v>1500</v>
      </c>
      <c r="J6" s="5">
        <v>4370</v>
      </c>
      <c r="K6" s="15">
        <f>L6+2884</f>
        <v>7246</v>
      </c>
      <c r="L6" s="15">
        <f>2127+2235</f>
        <v>4362</v>
      </c>
      <c r="M6" s="16">
        <f t="shared" ref="M6:M20" si="0">L6-N6</f>
        <v>4362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0.99816933638443939</v>
      </c>
      <c r="AC6" s="9">
        <f t="shared" ref="AC6:AC20" si="5">IF(P6=0,"0",(P6/24))</f>
        <v>1</v>
      </c>
      <c r="AD6" s="10">
        <f t="shared" ref="AD6:AD20" si="6">AC6*AB6*(1-O6)</f>
        <v>0.99816933638443939</v>
      </c>
      <c r="AE6" s="39">
        <f t="shared" ref="AE6:AE20" si="7">$AD$21</f>
        <v>0.6550352971244584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5390</v>
      </c>
      <c r="K7" s="15">
        <f>L7+3814+4589+2667+5183+5596+4810+5162+5299+4227+4836+5210+5235</f>
        <v>62014</v>
      </c>
      <c r="L7" s="15">
        <f>2893+2493</f>
        <v>5386</v>
      </c>
      <c r="M7" s="16">
        <f t="shared" si="0"/>
        <v>5386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/>
      <c r="T7" s="17"/>
      <c r="U7" s="17"/>
      <c r="V7" s="18">
        <v>2</v>
      </c>
      <c r="W7" s="19"/>
      <c r="X7" s="17"/>
      <c r="Y7" s="20"/>
      <c r="Z7" s="20"/>
      <c r="AA7" s="21"/>
      <c r="AB7" s="8">
        <f t="shared" si="4"/>
        <v>0.99925788497217072</v>
      </c>
      <c r="AC7" s="9">
        <f t="shared" si="5"/>
        <v>0.91666666666666663</v>
      </c>
      <c r="AD7" s="10">
        <f t="shared" si="6"/>
        <v>0.91598639455782316</v>
      </c>
      <c r="AE7" s="39">
        <f t="shared" si="7"/>
        <v>0.6550352971244584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284</v>
      </c>
      <c r="F8" s="12" t="s">
        <v>285</v>
      </c>
      <c r="G8" s="12">
        <v>1</v>
      </c>
      <c r="H8" s="13">
        <v>25</v>
      </c>
      <c r="I8" s="34">
        <v>1000</v>
      </c>
      <c r="J8" s="14">
        <v>1140</v>
      </c>
      <c r="K8" s="15">
        <f>L8+1139</f>
        <v>1139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0.6550352971244584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123</v>
      </c>
      <c r="D9" s="55" t="s">
        <v>171</v>
      </c>
      <c r="E9" s="57" t="s">
        <v>172</v>
      </c>
      <c r="F9" s="33" t="s">
        <v>126</v>
      </c>
      <c r="G9" s="36">
        <v>1</v>
      </c>
      <c r="H9" s="38">
        <v>25</v>
      </c>
      <c r="I9" s="7">
        <v>15000</v>
      </c>
      <c r="J9" s="5">
        <v>5420</v>
      </c>
      <c r="K9" s="15">
        <f>L9+2560+5612+5682</f>
        <v>19269</v>
      </c>
      <c r="L9" s="15">
        <f>2717+2698</f>
        <v>5415</v>
      </c>
      <c r="M9" s="16">
        <f t="shared" si="0"/>
        <v>5415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0.99907749077490771</v>
      </c>
      <c r="AC9" s="9">
        <f t="shared" si="5"/>
        <v>1</v>
      </c>
      <c r="AD9" s="10">
        <f t="shared" si="6"/>
        <v>0.99907749077490771</v>
      </c>
      <c r="AE9" s="39">
        <f t="shared" si="7"/>
        <v>0.6550352971244584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286</v>
      </c>
      <c r="D10" s="55" t="s">
        <v>330</v>
      </c>
      <c r="E10" s="57" t="s">
        <v>331</v>
      </c>
      <c r="F10" s="33" t="s">
        <v>289</v>
      </c>
      <c r="G10" s="36">
        <v>4</v>
      </c>
      <c r="H10" s="38">
        <v>25</v>
      </c>
      <c r="I10" s="7">
        <v>20000</v>
      </c>
      <c r="J10" s="5">
        <v>19150</v>
      </c>
      <c r="K10" s="15">
        <f>L10</f>
        <v>19144</v>
      </c>
      <c r="L10" s="15">
        <f>2964*4+1822*4</f>
        <v>19144</v>
      </c>
      <c r="M10" s="16">
        <f t="shared" si="0"/>
        <v>19144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3</v>
      </c>
      <c r="T10" s="17">
        <v>1</v>
      </c>
      <c r="U10" s="17"/>
      <c r="V10" s="18"/>
      <c r="W10" s="19"/>
      <c r="X10" s="17"/>
      <c r="Y10" s="20"/>
      <c r="Z10" s="20"/>
      <c r="AA10" s="21"/>
      <c r="AB10" s="8">
        <f t="shared" si="4"/>
        <v>0.99968668407310701</v>
      </c>
      <c r="AC10" s="9">
        <f t="shared" si="5"/>
        <v>0.83333333333333337</v>
      </c>
      <c r="AD10" s="10">
        <f t="shared" si="6"/>
        <v>0.83307223672758923</v>
      </c>
      <c r="AE10" s="39">
        <f t="shared" si="7"/>
        <v>0.6550352971244584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122</v>
      </c>
      <c r="D11" s="55" t="s">
        <v>121</v>
      </c>
      <c r="E11" s="57" t="s">
        <v>136</v>
      </c>
      <c r="F11" s="12" t="s">
        <v>124</v>
      </c>
      <c r="G11" s="12">
        <v>1</v>
      </c>
      <c r="H11" s="13">
        <v>25</v>
      </c>
      <c r="I11" s="34">
        <v>70000</v>
      </c>
      <c r="J11" s="14">
        <v>5980</v>
      </c>
      <c r="K11" s="15">
        <f>L11+2962+5958+4760+5967+6127+5235+6451+3449+6100+5419+5911+3074</f>
        <v>67388</v>
      </c>
      <c r="L11" s="15">
        <f>3216+2759</f>
        <v>5975</v>
      </c>
      <c r="M11" s="16">
        <f t="shared" si="0"/>
        <v>5975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>
        <v>8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0.99916387959866215</v>
      </c>
      <c r="AC11" s="9">
        <f t="shared" si="5"/>
        <v>0.66666666666666663</v>
      </c>
      <c r="AD11" s="10">
        <f t="shared" si="6"/>
        <v>0.66610925306577473</v>
      </c>
      <c r="AE11" s="39">
        <f t="shared" si="7"/>
        <v>0.6550352971244584</v>
      </c>
      <c r="AF11" s="94">
        <f t="shared" si="8"/>
        <v>6</v>
      </c>
    </row>
    <row r="12" spans="1:36" ht="27" customHeight="1">
      <c r="A12" s="110">
        <v>7</v>
      </c>
      <c r="B12" s="11" t="s">
        <v>174</v>
      </c>
      <c r="C12" s="11" t="s">
        <v>122</v>
      </c>
      <c r="D12" s="55" t="s">
        <v>150</v>
      </c>
      <c r="E12" s="57" t="s">
        <v>236</v>
      </c>
      <c r="F12" s="12" t="s">
        <v>237</v>
      </c>
      <c r="G12" s="12">
        <v>2</v>
      </c>
      <c r="H12" s="13">
        <v>25</v>
      </c>
      <c r="I12" s="7">
        <v>35000</v>
      </c>
      <c r="J12" s="14">
        <v>10970</v>
      </c>
      <c r="K12" s="15">
        <f>L12+10474+11276</f>
        <v>32714</v>
      </c>
      <c r="L12" s="15">
        <f>2751*2+2731*2</f>
        <v>10964</v>
      </c>
      <c r="M12" s="16">
        <f t="shared" si="0"/>
        <v>10964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0.99945305378304472</v>
      </c>
      <c r="AC12" s="9">
        <f t="shared" si="5"/>
        <v>1</v>
      </c>
      <c r="AD12" s="10">
        <f t="shared" si="6"/>
        <v>0.99945305378304472</v>
      </c>
      <c r="AE12" s="39">
        <f t="shared" si="7"/>
        <v>0.6550352971244584</v>
      </c>
      <c r="AF12" s="94">
        <f t="shared" si="8"/>
        <v>7</v>
      </c>
    </row>
    <row r="13" spans="1:36" ht="27" customHeight="1">
      <c r="A13" s="110">
        <v>8</v>
      </c>
      <c r="B13" s="11" t="s">
        <v>174</v>
      </c>
      <c r="C13" s="11" t="s">
        <v>332</v>
      </c>
      <c r="D13" s="55" t="s">
        <v>333</v>
      </c>
      <c r="E13" s="57" t="s">
        <v>334</v>
      </c>
      <c r="F13" s="12" t="s">
        <v>335</v>
      </c>
      <c r="G13" s="12">
        <v>2</v>
      </c>
      <c r="H13" s="13">
        <v>25</v>
      </c>
      <c r="I13" s="7">
        <v>2000</v>
      </c>
      <c r="J13" s="14">
        <v>7750</v>
      </c>
      <c r="K13" s="15">
        <f>L13</f>
        <v>7746</v>
      </c>
      <c r="L13" s="15">
        <f>2564*2+1309*2</f>
        <v>7746</v>
      </c>
      <c r="M13" s="16">
        <f t="shared" si="0"/>
        <v>7746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/>
      <c r="T13" s="17">
        <v>4</v>
      </c>
      <c r="U13" s="17"/>
      <c r="V13" s="18"/>
      <c r="W13" s="19"/>
      <c r="X13" s="17"/>
      <c r="Y13" s="20"/>
      <c r="Z13" s="20"/>
      <c r="AA13" s="21"/>
      <c r="AB13" s="8">
        <f t="shared" si="4"/>
        <v>0.99948387096774194</v>
      </c>
      <c r="AC13" s="9">
        <f t="shared" si="5"/>
        <v>0.83333333333333337</v>
      </c>
      <c r="AD13" s="10">
        <f t="shared" si="6"/>
        <v>0.83290322580645171</v>
      </c>
      <c r="AE13" s="39">
        <f t="shared" si="7"/>
        <v>0.6550352971244584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178</v>
      </c>
      <c r="D14" s="55" t="s">
        <v>179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820</v>
      </c>
      <c r="K14" s="15">
        <f>L14+813</f>
        <v>813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0.6550352971244584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0.6550352971244584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4630</v>
      </c>
      <c r="K16" s="15">
        <f>L16+4579+4501+4174+2520+4543+4907+5427+5521+5837+2726+4187+5435</f>
        <v>58978</v>
      </c>
      <c r="L16" s="15">
        <f>3309+1312</f>
        <v>4621</v>
      </c>
      <c r="M16" s="16">
        <f t="shared" si="0"/>
        <v>4621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>
        <v>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0.99805615550755944</v>
      </c>
      <c r="AC16" s="9">
        <f t="shared" si="5"/>
        <v>0.83333333333333337</v>
      </c>
      <c r="AD16" s="10">
        <f t="shared" si="6"/>
        <v>0.83171346292296622</v>
      </c>
      <c r="AE16" s="39">
        <f t="shared" si="7"/>
        <v>0.6550352971244584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238</v>
      </c>
      <c r="E17" s="56" t="s">
        <v>239</v>
      </c>
      <c r="F17" s="12" t="s">
        <v>155</v>
      </c>
      <c r="G17" s="12">
        <v>2</v>
      </c>
      <c r="H17" s="13">
        <v>25</v>
      </c>
      <c r="I17" s="34">
        <v>25000</v>
      </c>
      <c r="J17" s="5">
        <v>13270</v>
      </c>
      <c r="K17" s="15">
        <f>L17+5292+12304</f>
        <v>30866</v>
      </c>
      <c r="L17" s="15">
        <f>3743*2+2892*2</f>
        <v>13270</v>
      </c>
      <c r="M17" s="16">
        <f t="shared" si="0"/>
        <v>13270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0.6550352971244584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290</v>
      </c>
      <c r="D18" s="55" t="s">
        <v>179</v>
      </c>
      <c r="E18" s="57" t="s">
        <v>291</v>
      </c>
      <c r="F18" s="33" t="s">
        <v>292</v>
      </c>
      <c r="G18" s="36">
        <v>1</v>
      </c>
      <c r="H18" s="38">
        <v>25</v>
      </c>
      <c r="I18" s="7">
        <v>10000</v>
      </c>
      <c r="J18" s="5">
        <v>5090</v>
      </c>
      <c r="K18" s="15">
        <f>L18+2344</f>
        <v>7433</v>
      </c>
      <c r="L18" s="15">
        <f>2757+2332</f>
        <v>5089</v>
      </c>
      <c r="M18" s="16">
        <f t="shared" si="0"/>
        <v>5089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0.99980353634577601</v>
      </c>
      <c r="AC18" s="9">
        <f t="shared" si="5"/>
        <v>1</v>
      </c>
      <c r="AD18" s="10">
        <f t="shared" si="6"/>
        <v>0.99980353634577601</v>
      </c>
      <c r="AE18" s="39">
        <f t="shared" si="7"/>
        <v>0.6550352971244584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123</v>
      </c>
      <c r="D19" s="55" t="s">
        <v>246</v>
      </c>
      <c r="E19" s="57" t="s">
        <v>247</v>
      </c>
      <c r="F19" s="12" t="s">
        <v>248</v>
      </c>
      <c r="G19" s="12">
        <v>2</v>
      </c>
      <c r="H19" s="13">
        <v>25</v>
      </c>
      <c r="I19" s="7">
        <v>8000</v>
      </c>
      <c r="J19" s="14">
        <v>7910</v>
      </c>
      <c r="K19" s="15">
        <f>L19+7298+9024</f>
        <v>24224</v>
      </c>
      <c r="L19" s="15">
        <f>870*2+3081*2</f>
        <v>7902</v>
      </c>
      <c r="M19" s="16">
        <f t="shared" si="0"/>
        <v>7902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/>
      <c r="T19" s="17"/>
      <c r="U19" s="17"/>
      <c r="V19" s="18"/>
      <c r="W19" s="19">
        <v>6</v>
      </c>
      <c r="X19" s="17"/>
      <c r="Y19" s="20"/>
      <c r="Z19" s="20"/>
      <c r="AA19" s="21"/>
      <c r="AB19" s="8">
        <f t="shared" si="4"/>
        <v>0.99898862199747152</v>
      </c>
      <c r="AC19" s="9">
        <f t="shared" si="5"/>
        <v>0.75</v>
      </c>
      <c r="AD19" s="10">
        <f t="shared" si="6"/>
        <v>0.74924146649810364</v>
      </c>
      <c r="AE19" s="39">
        <f t="shared" si="7"/>
        <v>0.6550352971244584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0.6550352971244584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557700</v>
      </c>
      <c r="J21" s="22">
        <f t="shared" si="11"/>
        <v>118601</v>
      </c>
      <c r="K21" s="23">
        <f t="shared" si="11"/>
        <v>440491</v>
      </c>
      <c r="L21" s="24">
        <f t="shared" si="11"/>
        <v>89874</v>
      </c>
      <c r="M21" s="23">
        <f t="shared" si="11"/>
        <v>89874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236</v>
      </c>
      <c r="Q21" s="46">
        <f t="shared" si="12"/>
        <v>124</v>
      </c>
      <c r="R21" s="26">
        <f t="shared" si="12"/>
        <v>0</v>
      </c>
      <c r="S21" s="27">
        <f t="shared" si="12"/>
        <v>15</v>
      </c>
      <c r="T21" s="27">
        <f t="shared" si="12"/>
        <v>5</v>
      </c>
      <c r="U21" s="27">
        <f t="shared" si="12"/>
        <v>0</v>
      </c>
      <c r="V21" s="28">
        <f t="shared" si="12"/>
        <v>2</v>
      </c>
      <c r="W21" s="29">
        <f t="shared" si="12"/>
        <v>102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0.73274270096032545</v>
      </c>
      <c r="AC21" s="4">
        <f>SUM(AC6:AC20)/15</f>
        <v>0.65555555555555545</v>
      </c>
      <c r="AD21" s="4">
        <f>SUM(AD6:AD20)/15</f>
        <v>0.6550352971244584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336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345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172" t="s">
        <v>46</v>
      </c>
      <c r="D50" s="172" t="s">
        <v>47</v>
      </c>
      <c r="E50" s="172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172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303</v>
      </c>
      <c r="B51" s="421"/>
      <c r="C51" s="171" t="s">
        <v>304</v>
      </c>
      <c r="D51" s="168" t="s">
        <v>337</v>
      </c>
      <c r="E51" s="171" t="s">
        <v>331</v>
      </c>
      <c r="F51" s="405" t="s">
        <v>338</v>
      </c>
      <c r="G51" s="405"/>
      <c r="H51" s="405"/>
      <c r="I51" s="405"/>
      <c r="J51" s="405"/>
      <c r="K51" s="405"/>
      <c r="L51" s="405"/>
      <c r="M51" s="415"/>
      <c r="N51" s="167" t="s">
        <v>303</v>
      </c>
      <c r="O51" s="74" t="s">
        <v>304</v>
      </c>
      <c r="P51" s="422" t="s">
        <v>346</v>
      </c>
      <c r="Q51" s="423"/>
      <c r="R51" s="414" t="s">
        <v>347</v>
      </c>
      <c r="S51" s="414"/>
      <c r="T51" s="414"/>
      <c r="U51" s="414"/>
      <c r="V51" s="405" t="s">
        <v>312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332</v>
      </c>
      <c r="B52" s="421"/>
      <c r="C52" s="171" t="s">
        <v>134</v>
      </c>
      <c r="D52" s="168" t="s">
        <v>333</v>
      </c>
      <c r="E52" s="171" t="s">
        <v>334</v>
      </c>
      <c r="F52" s="405" t="s">
        <v>339</v>
      </c>
      <c r="G52" s="405"/>
      <c r="H52" s="405"/>
      <c r="I52" s="405"/>
      <c r="J52" s="405"/>
      <c r="K52" s="405"/>
      <c r="L52" s="405"/>
      <c r="M52" s="415"/>
      <c r="N52" s="167" t="s">
        <v>315</v>
      </c>
      <c r="O52" s="74" t="s">
        <v>134</v>
      </c>
      <c r="P52" s="422" t="s">
        <v>348</v>
      </c>
      <c r="Q52" s="423"/>
      <c r="R52" s="414" t="s">
        <v>349</v>
      </c>
      <c r="S52" s="414"/>
      <c r="T52" s="414"/>
      <c r="U52" s="414"/>
      <c r="V52" s="405" t="s">
        <v>312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340</v>
      </c>
      <c r="B53" s="421"/>
      <c r="C53" s="171" t="s">
        <v>341</v>
      </c>
      <c r="D53" s="168" t="s">
        <v>342</v>
      </c>
      <c r="E53" s="171" t="s">
        <v>343</v>
      </c>
      <c r="F53" s="405" t="s">
        <v>344</v>
      </c>
      <c r="G53" s="405"/>
      <c r="H53" s="405"/>
      <c r="I53" s="405"/>
      <c r="J53" s="405"/>
      <c r="K53" s="405"/>
      <c r="L53" s="405"/>
      <c r="M53" s="415"/>
      <c r="N53" s="167" t="s">
        <v>351</v>
      </c>
      <c r="O53" s="74" t="s">
        <v>352</v>
      </c>
      <c r="P53" s="414" t="s">
        <v>353</v>
      </c>
      <c r="Q53" s="414"/>
      <c r="R53" s="414" t="s">
        <v>350</v>
      </c>
      <c r="S53" s="414"/>
      <c r="T53" s="414"/>
      <c r="U53" s="414"/>
      <c r="V53" s="405" t="s">
        <v>312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/>
      <c r="B54" s="421"/>
      <c r="C54" s="171"/>
      <c r="D54" s="168"/>
      <c r="E54" s="171"/>
      <c r="F54" s="405"/>
      <c r="G54" s="405"/>
      <c r="H54" s="405"/>
      <c r="I54" s="405"/>
      <c r="J54" s="405"/>
      <c r="K54" s="405"/>
      <c r="L54" s="405"/>
      <c r="M54" s="415"/>
      <c r="N54" s="167" t="s">
        <v>355</v>
      </c>
      <c r="O54" s="74" t="s">
        <v>356</v>
      </c>
      <c r="P54" s="422" t="s">
        <v>357</v>
      </c>
      <c r="Q54" s="423"/>
      <c r="R54" s="414" t="s">
        <v>354</v>
      </c>
      <c r="S54" s="414"/>
      <c r="T54" s="414"/>
      <c r="U54" s="414"/>
      <c r="V54" s="405" t="s">
        <v>312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171"/>
      <c r="D55" s="168"/>
      <c r="E55" s="171"/>
      <c r="F55" s="405"/>
      <c r="G55" s="405"/>
      <c r="H55" s="405"/>
      <c r="I55" s="405"/>
      <c r="J55" s="405"/>
      <c r="K55" s="405"/>
      <c r="L55" s="405"/>
      <c r="M55" s="415"/>
      <c r="N55" s="167" t="s">
        <v>114</v>
      </c>
      <c r="O55" s="74" t="s">
        <v>359</v>
      </c>
      <c r="P55" s="422" t="s">
        <v>342</v>
      </c>
      <c r="Q55" s="423"/>
      <c r="R55" s="414" t="s">
        <v>358</v>
      </c>
      <c r="S55" s="414"/>
      <c r="T55" s="414"/>
      <c r="U55" s="414"/>
      <c r="V55" s="405" t="s">
        <v>312</v>
      </c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171"/>
      <c r="D56" s="168"/>
      <c r="E56" s="171"/>
      <c r="F56" s="405"/>
      <c r="G56" s="405"/>
      <c r="H56" s="405"/>
      <c r="I56" s="405"/>
      <c r="J56" s="405"/>
      <c r="K56" s="405"/>
      <c r="L56" s="405"/>
      <c r="M56" s="415"/>
      <c r="N56" s="167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171"/>
      <c r="D57" s="168"/>
      <c r="E57" s="171"/>
      <c r="F57" s="405"/>
      <c r="G57" s="405"/>
      <c r="H57" s="405"/>
      <c r="I57" s="405"/>
      <c r="J57" s="405"/>
      <c r="K57" s="405"/>
      <c r="L57" s="405"/>
      <c r="M57" s="415"/>
      <c r="N57" s="167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171"/>
      <c r="D58" s="168"/>
      <c r="E58" s="171"/>
      <c r="F58" s="405"/>
      <c r="G58" s="405"/>
      <c r="H58" s="405"/>
      <c r="I58" s="405"/>
      <c r="J58" s="405"/>
      <c r="K58" s="405"/>
      <c r="L58" s="405"/>
      <c r="M58" s="415"/>
      <c r="N58" s="167"/>
      <c r="O58" s="74"/>
      <c r="P58" s="414"/>
      <c r="Q58" s="414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168"/>
      <c r="D59" s="168"/>
      <c r="E59" s="168"/>
      <c r="F59" s="405"/>
      <c r="G59" s="405"/>
      <c r="H59" s="405"/>
      <c r="I59" s="405"/>
      <c r="J59" s="405"/>
      <c r="K59" s="405"/>
      <c r="L59" s="405"/>
      <c r="M59" s="415"/>
      <c r="N59" s="167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170"/>
      <c r="D60" s="170"/>
      <c r="E60" s="170"/>
      <c r="F60" s="418"/>
      <c r="G60" s="418"/>
      <c r="H60" s="418"/>
      <c r="I60" s="418"/>
      <c r="J60" s="418"/>
      <c r="K60" s="418"/>
      <c r="L60" s="418"/>
      <c r="M60" s="419"/>
      <c r="N60" s="169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360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166" t="s">
        <v>2</v>
      </c>
      <c r="D62" s="166" t="s">
        <v>37</v>
      </c>
      <c r="E62" s="16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66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361</v>
      </c>
      <c r="D63" s="162"/>
      <c r="E63" s="165"/>
      <c r="F63" s="403" t="s">
        <v>362</v>
      </c>
      <c r="G63" s="395"/>
      <c r="H63" s="395"/>
      <c r="I63" s="395"/>
      <c r="J63" s="395"/>
      <c r="K63" s="395" t="s">
        <v>133</v>
      </c>
      <c r="L63" s="395"/>
      <c r="M63" s="54" t="s">
        <v>363</v>
      </c>
      <c r="N63" s="395">
        <v>3</v>
      </c>
      <c r="O63" s="395"/>
      <c r="P63" s="404">
        <v>100</v>
      </c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/>
      <c r="D64" s="162"/>
      <c r="E64" s="165"/>
      <c r="F64" s="403"/>
      <c r="G64" s="395"/>
      <c r="H64" s="395"/>
      <c r="I64" s="395"/>
      <c r="J64" s="395"/>
      <c r="K64" s="395"/>
      <c r="L64" s="395"/>
      <c r="M64" s="54"/>
      <c r="N64" s="395"/>
      <c r="O64" s="395"/>
      <c r="P64" s="404"/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/>
      <c r="D65" s="162"/>
      <c r="E65" s="165"/>
      <c r="F65" s="403"/>
      <c r="G65" s="395"/>
      <c r="H65" s="395"/>
      <c r="I65" s="395"/>
      <c r="J65" s="395"/>
      <c r="K65" s="395"/>
      <c r="L65" s="395"/>
      <c r="M65" s="54"/>
      <c r="N65" s="395"/>
      <c r="O65" s="395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162"/>
      <c r="E66" s="165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162"/>
      <c r="E67" s="165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162"/>
      <c r="E68" s="165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162"/>
      <c r="E69" s="165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162"/>
      <c r="E70" s="165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364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164" t="s">
        <v>2</v>
      </c>
      <c r="D72" s="164" t="s">
        <v>37</v>
      </c>
      <c r="E72" s="164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163" t="s">
        <v>114</v>
      </c>
      <c r="D73" s="163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162" t="s">
        <v>114</v>
      </c>
      <c r="D74" s="162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162"/>
      <c r="D75" s="162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162"/>
      <c r="D76" s="162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162"/>
      <c r="D77" s="162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162"/>
      <c r="D78" s="162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162"/>
      <c r="D79" s="162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162"/>
      <c r="D80" s="162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162"/>
      <c r="D81" s="162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365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366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126</v>
      </c>
      <c r="G6" s="12">
        <v>1</v>
      </c>
      <c r="H6" s="13">
        <v>25</v>
      </c>
      <c r="I6" s="34">
        <v>1500</v>
      </c>
      <c r="J6" s="5">
        <v>4370</v>
      </c>
      <c r="K6" s="15">
        <f>L6+2884+4362</f>
        <v>7246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0.50480710434402642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1510</v>
      </c>
      <c r="K7" s="15">
        <f>L7+3814+4589+2667+5183+5596+4810+5162+5299+4227+4836+5210+5235+5386</f>
        <v>63517</v>
      </c>
      <c r="L7" s="15">
        <f>1503</f>
        <v>1503</v>
      </c>
      <c r="M7" s="16">
        <f t="shared" si="0"/>
        <v>1503</v>
      </c>
      <c r="N7" s="16">
        <v>0</v>
      </c>
      <c r="O7" s="62">
        <f t="shared" si="1"/>
        <v>0</v>
      </c>
      <c r="P7" s="42">
        <f t="shared" si="2"/>
        <v>9</v>
      </c>
      <c r="Q7" s="43">
        <f t="shared" si="3"/>
        <v>15</v>
      </c>
      <c r="R7" s="7"/>
      <c r="S7" s="6"/>
      <c r="T7" s="17"/>
      <c r="U7" s="17"/>
      <c r="V7" s="18"/>
      <c r="W7" s="19">
        <v>15</v>
      </c>
      <c r="X7" s="17"/>
      <c r="Y7" s="20"/>
      <c r="Z7" s="20"/>
      <c r="AA7" s="21"/>
      <c r="AB7" s="8">
        <f t="shared" si="4"/>
        <v>0.99536423841059607</v>
      </c>
      <c r="AC7" s="9">
        <f t="shared" si="5"/>
        <v>0.375</v>
      </c>
      <c r="AD7" s="10">
        <f t="shared" si="6"/>
        <v>0.37326158940397353</v>
      </c>
      <c r="AE7" s="39">
        <f t="shared" si="7"/>
        <v>0.50480710434402642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123</v>
      </c>
      <c r="D8" s="55" t="s">
        <v>167</v>
      </c>
      <c r="E8" s="56" t="s">
        <v>367</v>
      </c>
      <c r="F8" s="12" t="s">
        <v>285</v>
      </c>
      <c r="G8" s="12">
        <v>2</v>
      </c>
      <c r="H8" s="13">
        <v>25</v>
      </c>
      <c r="I8" s="34">
        <v>1000</v>
      </c>
      <c r="J8" s="14">
        <v>6260</v>
      </c>
      <c r="K8" s="15">
        <f>L8</f>
        <v>6252</v>
      </c>
      <c r="L8" s="15">
        <f>2471*2+655*2</f>
        <v>6252</v>
      </c>
      <c r="M8" s="16">
        <f t="shared" si="0"/>
        <v>6252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/>
      <c r="T8" s="17">
        <v>5</v>
      </c>
      <c r="U8" s="17"/>
      <c r="V8" s="18"/>
      <c r="W8" s="19"/>
      <c r="X8" s="17"/>
      <c r="Y8" s="20"/>
      <c r="Z8" s="20"/>
      <c r="AA8" s="21"/>
      <c r="AB8" s="8">
        <f t="shared" si="4"/>
        <v>0.99872204472843451</v>
      </c>
      <c r="AC8" s="9">
        <f t="shared" si="5"/>
        <v>0.79166666666666663</v>
      </c>
      <c r="AD8" s="10">
        <f t="shared" si="6"/>
        <v>0.79065495207667724</v>
      </c>
      <c r="AE8" s="39">
        <f t="shared" si="7"/>
        <v>0.50480710434402642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123</v>
      </c>
      <c r="D9" s="55" t="s">
        <v>171</v>
      </c>
      <c r="E9" s="57" t="s">
        <v>172</v>
      </c>
      <c r="F9" s="33" t="s">
        <v>126</v>
      </c>
      <c r="G9" s="36">
        <v>1</v>
      </c>
      <c r="H9" s="38">
        <v>25</v>
      </c>
      <c r="I9" s="7">
        <v>15000</v>
      </c>
      <c r="J9" s="5">
        <v>5420</v>
      </c>
      <c r="K9" s="15">
        <f>L9+2560+5612+5682+5415</f>
        <v>19269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0.50480710434402642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131</v>
      </c>
      <c r="D10" s="55" t="s">
        <v>369</v>
      </c>
      <c r="E10" s="57" t="s">
        <v>368</v>
      </c>
      <c r="F10" s="33" t="s">
        <v>289</v>
      </c>
      <c r="G10" s="36">
        <v>4</v>
      </c>
      <c r="H10" s="38">
        <v>25</v>
      </c>
      <c r="I10" s="7">
        <v>20000</v>
      </c>
      <c r="J10" s="5">
        <v>19040</v>
      </c>
      <c r="K10" s="15">
        <f>L10</f>
        <v>19040</v>
      </c>
      <c r="L10" s="15">
        <f>3029*4+1731*4</f>
        <v>19040</v>
      </c>
      <c r="M10" s="16">
        <f t="shared" si="0"/>
        <v>19040</v>
      </c>
      <c r="N10" s="16">
        <v>0</v>
      </c>
      <c r="O10" s="62">
        <f t="shared" si="1"/>
        <v>0</v>
      </c>
      <c r="P10" s="42">
        <f t="shared" si="2"/>
        <v>22</v>
      </c>
      <c r="Q10" s="43">
        <f t="shared" si="3"/>
        <v>2</v>
      </c>
      <c r="R10" s="7"/>
      <c r="S10" s="6"/>
      <c r="T10" s="17">
        <v>2</v>
      </c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0.91666666666666663</v>
      </c>
      <c r="AD10" s="10">
        <f t="shared" si="6"/>
        <v>0.91666666666666663</v>
      </c>
      <c r="AE10" s="39">
        <f t="shared" si="7"/>
        <v>0.50480710434402642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122</v>
      </c>
      <c r="D11" s="55" t="s">
        <v>121</v>
      </c>
      <c r="E11" s="57" t="s">
        <v>136</v>
      </c>
      <c r="F11" s="12" t="s">
        <v>124</v>
      </c>
      <c r="G11" s="12">
        <v>1</v>
      </c>
      <c r="H11" s="13">
        <v>25</v>
      </c>
      <c r="I11" s="34">
        <v>70000</v>
      </c>
      <c r="J11" s="14">
        <v>5420</v>
      </c>
      <c r="K11" s="15">
        <f>L11+2962+5958+4760+5967+6127+5235+6451+3449+6100+5419+5911+3074+5975</f>
        <v>72802</v>
      </c>
      <c r="L11" s="15">
        <f>3133+2281</f>
        <v>5414</v>
      </c>
      <c r="M11" s="16">
        <f t="shared" si="0"/>
        <v>5414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0.99889298892988931</v>
      </c>
      <c r="AC11" s="9">
        <f t="shared" si="5"/>
        <v>1</v>
      </c>
      <c r="AD11" s="10">
        <f t="shared" si="6"/>
        <v>0.99889298892988931</v>
      </c>
      <c r="AE11" s="39">
        <f t="shared" si="7"/>
        <v>0.50480710434402642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357</v>
      </c>
      <c r="E12" s="57" t="s">
        <v>370</v>
      </c>
      <c r="F12" s="12" t="s">
        <v>371</v>
      </c>
      <c r="G12" s="12">
        <v>1</v>
      </c>
      <c r="H12" s="13">
        <v>25</v>
      </c>
      <c r="I12" s="7">
        <v>1000</v>
      </c>
      <c r="J12" s="14">
        <v>1310</v>
      </c>
      <c r="K12" s="15">
        <f>L12</f>
        <v>1307</v>
      </c>
      <c r="L12" s="15">
        <f>1307</f>
        <v>1307</v>
      </c>
      <c r="M12" s="16">
        <f t="shared" si="0"/>
        <v>1307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/>
      <c r="T12" s="17"/>
      <c r="U12" s="17"/>
      <c r="V12" s="18"/>
      <c r="W12" s="19">
        <v>14</v>
      </c>
      <c r="X12" s="17"/>
      <c r="Y12" s="20"/>
      <c r="Z12" s="20"/>
      <c r="AA12" s="21"/>
      <c r="AB12" s="8">
        <f t="shared" si="4"/>
        <v>0.99770992366412214</v>
      </c>
      <c r="AC12" s="9">
        <f t="shared" si="5"/>
        <v>0.41666666666666669</v>
      </c>
      <c r="AD12" s="10">
        <f t="shared" si="6"/>
        <v>0.41571246819338425</v>
      </c>
      <c r="AE12" s="39">
        <f t="shared" si="7"/>
        <v>0.50480710434402642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332</v>
      </c>
      <c r="D13" s="55" t="s">
        <v>372</v>
      </c>
      <c r="E13" s="57" t="s">
        <v>373</v>
      </c>
      <c r="F13" s="12" t="s">
        <v>335</v>
      </c>
      <c r="G13" s="12">
        <v>1</v>
      </c>
      <c r="H13" s="13">
        <v>25</v>
      </c>
      <c r="I13" s="7">
        <v>1000</v>
      </c>
      <c r="J13" s="14">
        <v>1100</v>
      </c>
      <c r="K13" s="15">
        <f>L13</f>
        <v>1096</v>
      </c>
      <c r="L13" s="15">
        <f>535+561</f>
        <v>1096</v>
      </c>
      <c r="M13" s="16">
        <f t="shared" si="0"/>
        <v>1096</v>
      </c>
      <c r="N13" s="16">
        <v>0</v>
      </c>
      <c r="O13" s="62">
        <f t="shared" si="1"/>
        <v>0</v>
      </c>
      <c r="P13" s="42">
        <f t="shared" si="2"/>
        <v>17</v>
      </c>
      <c r="Q13" s="43">
        <f t="shared" si="3"/>
        <v>7</v>
      </c>
      <c r="R13" s="7"/>
      <c r="S13" s="6"/>
      <c r="T13" s="17">
        <v>3</v>
      </c>
      <c r="U13" s="17"/>
      <c r="V13" s="18"/>
      <c r="W13" s="19">
        <v>4</v>
      </c>
      <c r="X13" s="17"/>
      <c r="Y13" s="20"/>
      <c r="Z13" s="20"/>
      <c r="AA13" s="21"/>
      <c r="AB13" s="8">
        <f t="shared" si="4"/>
        <v>0.99636363636363634</v>
      </c>
      <c r="AC13" s="9">
        <f t="shared" si="5"/>
        <v>0.70833333333333337</v>
      </c>
      <c r="AD13" s="10">
        <f t="shared" si="6"/>
        <v>0.70575757575757581</v>
      </c>
      <c r="AE13" s="39">
        <f t="shared" si="7"/>
        <v>0.50480710434402642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820</v>
      </c>
      <c r="K14" s="15">
        <f>L14+813</f>
        <v>813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0.50480710434402642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0.50480710434402642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3330</v>
      </c>
      <c r="K16" s="15">
        <f>L16+4579+4501+4174+2520+4543+4907+5427+5521+5837+2726+4187+5435+4621</f>
        <v>62308</v>
      </c>
      <c r="L16" s="15">
        <f>1121+2209</f>
        <v>3330</v>
      </c>
      <c r="M16" s="16">
        <f t="shared" si="0"/>
        <v>3330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>
        <v>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0.83333333333333337</v>
      </c>
      <c r="AD16" s="10">
        <f t="shared" si="6"/>
        <v>0.83333333333333337</v>
      </c>
      <c r="AE16" s="39">
        <f t="shared" si="7"/>
        <v>0.50480710434402642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135</v>
      </c>
      <c r="E17" s="56" t="s">
        <v>239</v>
      </c>
      <c r="F17" s="12" t="s">
        <v>155</v>
      </c>
      <c r="G17" s="12">
        <v>2</v>
      </c>
      <c r="H17" s="13">
        <v>25</v>
      </c>
      <c r="I17" s="34">
        <v>25000</v>
      </c>
      <c r="J17" s="5">
        <v>10530</v>
      </c>
      <c r="K17" s="15">
        <f>L17+5292+12304+13270</f>
        <v>41396</v>
      </c>
      <c r="L17" s="15">
        <f>2959*2+2306*2</f>
        <v>10530</v>
      </c>
      <c r="M17" s="16">
        <f t="shared" si="0"/>
        <v>10530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0.50480710434402642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158</v>
      </c>
      <c r="E18" s="57" t="s">
        <v>291</v>
      </c>
      <c r="F18" s="33" t="s">
        <v>292</v>
      </c>
      <c r="G18" s="36">
        <v>1</v>
      </c>
      <c r="H18" s="38">
        <v>25</v>
      </c>
      <c r="I18" s="7">
        <v>10000</v>
      </c>
      <c r="J18" s="5">
        <v>2620</v>
      </c>
      <c r="K18" s="15">
        <f>L18+2344+5089</f>
        <v>10044</v>
      </c>
      <c r="L18" s="15">
        <f>907+1704</f>
        <v>2611</v>
      </c>
      <c r="M18" s="16">
        <f t="shared" si="0"/>
        <v>2611</v>
      </c>
      <c r="N18" s="16">
        <v>0</v>
      </c>
      <c r="O18" s="62">
        <f t="shared" si="1"/>
        <v>0</v>
      </c>
      <c r="P18" s="42">
        <f t="shared" si="2"/>
        <v>17</v>
      </c>
      <c r="Q18" s="43">
        <f t="shared" si="3"/>
        <v>7</v>
      </c>
      <c r="R18" s="7"/>
      <c r="S18" s="6"/>
      <c r="T18" s="17"/>
      <c r="U18" s="17"/>
      <c r="V18" s="18"/>
      <c r="W18" s="19">
        <v>7</v>
      </c>
      <c r="X18" s="17"/>
      <c r="Y18" s="20"/>
      <c r="Z18" s="20"/>
      <c r="AA18" s="21"/>
      <c r="AB18" s="8">
        <f t="shared" si="4"/>
        <v>0.99656488549618316</v>
      </c>
      <c r="AC18" s="9">
        <f t="shared" si="5"/>
        <v>0.70833333333333337</v>
      </c>
      <c r="AD18" s="10">
        <f t="shared" si="6"/>
        <v>0.70590012722646311</v>
      </c>
      <c r="AE18" s="39">
        <f t="shared" si="7"/>
        <v>0.50480710434402642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227</v>
      </c>
      <c r="E19" s="57" t="s">
        <v>374</v>
      </c>
      <c r="F19" s="12" t="s">
        <v>375</v>
      </c>
      <c r="G19" s="12">
        <v>2</v>
      </c>
      <c r="H19" s="13">
        <v>25</v>
      </c>
      <c r="I19" s="7">
        <v>4000</v>
      </c>
      <c r="J19" s="14">
        <v>4740</v>
      </c>
      <c r="K19" s="15">
        <f>L19</f>
        <v>4732</v>
      </c>
      <c r="L19" s="15">
        <f>2366*2</f>
        <v>4732</v>
      </c>
      <c r="M19" s="16">
        <f t="shared" si="0"/>
        <v>4732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/>
      <c r="T19" s="17"/>
      <c r="U19" s="17"/>
      <c r="V19" s="18"/>
      <c r="W19" s="19">
        <v>4</v>
      </c>
      <c r="X19" s="17"/>
      <c r="Y19" s="20"/>
      <c r="Z19" s="20"/>
      <c r="AA19" s="21"/>
      <c r="AB19" s="8">
        <f t="shared" si="4"/>
        <v>0.99831223628691979</v>
      </c>
      <c r="AC19" s="9">
        <f t="shared" si="5"/>
        <v>0.83333333333333337</v>
      </c>
      <c r="AD19" s="10">
        <f t="shared" si="6"/>
        <v>0.83192686357243317</v>
      </c>
      <c r="AE19" s="39">
        <f t="shared" si="7"/>
        <v>0.50480710434402642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0.50480710434402642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518700</v>
      </c>
      <c r="J21" s="22">
        <f t="shared" si="11"/>
        <v>93181</v>
      </c>
      <c r="K21" s="23">
        <f t="shared" si="11"/>
        <v>411339</v>
      </c>
      <c r="L21" s="24">
        <f t="shared" si="11"/>
        <v>55815</v>
      </c>
      <c r="M21" s="23">
        <f t="shared" si="11"/>
        <v>55815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182</v>
      </c>
      <c r="Q21" s="46">
        <f t="shared" si="12"/>
        <v>178</v>
      </c>
      <c r="R21" s="26">
        <f t="shared" si="12"/>
        <v>0</v>
      </c>
      <c r="S21" s="27">
        <f t="shared" si="12"/>
        <v>28</v>
      </c>
      <c r="T21" s="27">
        <f t="shared" si="12"/>
        <v>10</v>
      </c>
      <c r="U21" s="27">
        <f t="shared" si="12"/>
        <v>0</v>
      </c>
      <c r="V21" s="28">
        <f t="shared" si="12"/>
        <v>0</v>
      </c>
      <c r="W21" s="29">
        <f t="shared" si="12"/>
        <v>140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0.6654619969253186</v>
      </c>
      <c r="AC21" s="4">
        <f>SUM(AC6:AC20)/15</f>
        <v>0.50555555555555542</v>
      </c>
      <c r="AD21" s="4">
        <f>SUM(AD6:AD20)/15</f>
        <v>0.50480710434402642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376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390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175" t="s">
        <v>46</v>
      </c>
      <c r="D50" s="175" t="s">
        <v>47</v>
      </c>
      <c r="E50" s="175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175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377</v>
      </c>
      <c r="B51" s="421"/>
      <c r="C51" s="176" t="s">
        <v>352</v>
      </c>
      <c r="D51" s="177" t="s">
        <v>167</v>
      </c>
      <c r="E51" s="176" t="s">
        <v>350</v>
      </c>
      <c r="F51" s="405" t="s">
        <v>378</v>
      </c>
      <c r="G51" s="405"/>
      <c r="H51" s="405"/>
      <c r="I51" s="405"/>
      <c r="J51" s="405"/>
      <c r="K51" s="405"/>
      <c r="L51" s="405"/>
      <c r="M51" s="415"/>
      <c r="N51" s="181" t="s">
        <v>392</v>
      </c>
      <c r="O51" s="74" t="s">
        <v>301</v>
      </c>
      <c r="P51" s="422" t="s">
        <v>393</v>
      </c>
      <c r="Q51" s="423"/>
      <c r="R51" s="414" t="s">
        <v>391</v>
      </c>
      <c r="S51" s="414"/>
      <c r="T51" s="414"/>
      <c r="U51" s="414"/>
      <c r="V51" s="405" t="s">
        <v>157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379</v>
      </c>
      <c r="B52" s="421"/>
      <c r="C52" s="176" t="s">
        <v>380</v>
      </c>
      <c r="D52" s="177" t="s">
        <v>381</v>
      </c>
      <c r="E52" s="176" t="s">
        <v>347</v>
      </c>
      <c r="F52" s="405" t="s">
        <v>339</v>
      </c>
      <c r="G52" s="405"/>
      <c r="H52" s="405"/>
      <c r="I52" s="405"/>
      <c r="J52" s="405"/>
      <c r="K52" s="405"/>
      <c r="L52" s="405"/>
      <c r="M52" s="415"/>
      <c r="N52" s="181" t="s">
        <v>114</v>
      </c>
      <c r="O52" s="74" t="s">
        <v>218</v>
      </c>
      <c r="P52" s="422" t="s">
        <v>395</v>
      </c>
      <c r="Q52" s="423"/>
      <c r="R52" s="414" t="s">
        <v>394</v>
      </c>
      <c r="S52" s="414"/>
      <c r="T52" s="414"/>
      <c r="U52" s="414"/>
      <c r="V52" s="405" t="s">
        <v>157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382</v>
      </c>
      <c r="B53" s="421"/>
      <c r="C53" s="176" t="s">
        <v>218</v>
      </c>
      <c r="D53" s="177" t="s">
        <v>383</v>
      </c>
      <c r="E53" s="176" t="s">
        <v>354</v>
      </c>
      <c r="F53" s="405" t="s">
        <v>339</v>
      </c>
      <c r="G53" s="405"/>
      <c r="H53" s="405"/>
      <c r="I53" s="405"/>
      <c r="J53" s="405"/>
      <c r="K53" s="405"/>
      <c r="L53" s="405"/>
      <c r="M53" s="415"/>
      <c r="N53" s="181" t="s">
        <v>114</v>
      </c>
      <c r="O53" s="74" t="s">
        <v>195</v>
      </c>
      <c r="P53" s="414" t="s">
        <v>357</v>
      </c>
      <c r="Q53" s="414"/>
      <c r="R53" s="414" t="s">
        <v>396</v>
      </c>
      <c r="S53" s="414"/>
      <c r="T53" s="414"/>
      <c r="U53" s="414"/>
      <c r="V53" s="405" t="s">
        <v>157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385</v>
      </c>
      <c r="B54" s="421"/>
      <c r="C54" s="176" t="s">
        <v>134</v>
      </c>
      <c r="D54" s="177" t="s">
        <v>158</v>
      </c>
      <c r="E54" s="176" t="s">
        <v>384</v>
      </c>
      <c r="F54" s="405" t="s">
        <v>339</v>
      </c>
      <c r="G54" s="405"/>
      <c r="H54" s="405"/>
      <c r="I54" s="405"/>
      <c r="J54" s="405"/>
      <c r="K54" s="405"/>
      <c r="L54" s="405"/>
      <c r="M54" s="415"/>
      <c r="N54" s="181" t="s">
        <v>355</v>
      </c>
      <c r="O54" s="74" t="s">
        <v>263</v>
      </c>
      <c r="P54" s="422" t="s">
        <v>213</v>
      </c>
      <c r="Q54" s="423"/>
      <c r="R54" s="414" t="s">
        <v>397</v>
      </c>
      <c r="S54" s="414"/>
      <c r="T54" s="414"/>
      <c r="U54" s="414"/>
      <c r="V54" s="405" t="s">
        <v>157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387</v>
      </c>
      <c r="B55" s="421"/>
      <c r="C55" s="176" t="s">
        <v>388</v>
      </c>
      <c r="D55" s="177" t="s">
        <v>389</v>
      </c>
      <c r="E55" s="176" t="s">
        <v>386</v>
      </c>
      <c r="F55" s="405" t="s">
        <v>339</v>
      </c>
      <c r="G55" s="405"/>
      <c r="H55" s="405"/>
      <c r="I55" s="405"/>
      <c r="J55" s="405"/>
      <c r="K55" s="405"/>
      <c r="L55" s="405"/>
      <c r="M55" s="415"/>
      <c r="N55" s="181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176"/>
      <c r="D56" s="177"/>
      <c r="E56" s="176"/>
      <c r="F56" s="405"/>
      <c r="G56" s="405"/>
      <c r="H56" s="405"/>
      <c r="I56" s="405"/>
      <c r="J56" s="405"/>
      <c r="K56" s="405"/>
      <c r="L56" s="405"/>
      <c r="M56" s="415"/>
      <c r="N56" s="181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176"/>
      <c r="D57" s="177"/>
      <c r="E57" s="176"/>
      <c r="F57" s="405"/>
      <c r="G57" s="405"/>
      <c r="H57" s="405"/>
      <c r="I57" s="405"/>
      <c r="J57" s="405"/>
      <c r="K57" s="405"/>
      <c r="L57" s="405"/>
      <c r="M57" s="415"/>
      <c r="N57" s="181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176"/>
      <c r="D58" s="177"/>
      <c r="E58" s="176"/>
      <c r="F58" s="405"/>
      <c r="G58" s="405"/>
      <c r="H58" s="405"/>
      <c r="I58" s="405"/>
      <c r="J58" s="405"/>
      <c r="K58" s="405"/>
      <c r="L58" s="405"/>
      <c r="M58" s="415"/>
      <c r="N58" s="181"/>
      <c r="O58" s="74"/>
      <c r="P58" s="414"/>
      <c r="Q58" s="414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177"/>
      <c r="D59" s="177"/>
      <c r="E59" s="177"/>
      <c r="F59" s="405"/>
      <c r="G59" s="405"/>
      <c r="H59" s="405"/>
      <c r="I59" s="405"/>
      <c r="J59" s="405"/>
      <c r="K59" s="405"/>
      <c r="L59" s="405"/>
      <c r="M59" s="415"/>
      <c r="N59" s="181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179"/>
      <c r="D60" s="179"/>
      <c r="E60" s="179"/>
      <c r="F60" s="418"/>
      <c r="G60" s="418"/>
      <c r="H60" s="418"/>
      <c r="I60" s="418"/>
      <c r="J60" s="418"/>
      <c r="K60" s="418"/>
      <c r="L60" s="418"/>
      <c r="M60" s="419"/>
      <c r="N60" s="178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398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180" t="s">
        <v>2</v>
      </c>
      <c r="D62" s="180" t="s">
        <v>37</v>
      </c>
      <c r="E62" s="18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80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123</v>
      </c>
      <c r="D63" s="184"/>
      <c r="E63" s="182"/>
      <c r="F63" s="403" t="s">
        <v>399</v>
      </c>
      <c r="G63" s="395"/>
      <c r="H63" s="395"/>
      <c r="I63" s="395"/>
      <c r="J63" s="395"/>
      <c r="K63" s="395" t="s">
        <v>133</v>
      </c>
      <c r="L63" s="395"/>
      <c r="M63" s="54" t="s">
        <v>363</v>
      </c>
      <c r="N63" s="395">
        <v>4</v>
      </c>
      <c r="O63" s="395"/>
      <c r="P63" s="404">
        <v>50</v>
      </c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123</v>
      </c>
      <c r="D64" s="184"/>
      <c r="E64" s="182" t="s">
        <v>401</v>
      </c>
      <c r="F64" s="403" t="s">
        <v>400</v>
      </c>
      <c r="G64" s="395"/>
      <c r="H64" s="395"/>
      <c r="I64" s="395"/>
      <c r="J64" s="395"/>
      <c r="K64" s="395" t="s">
        <v>402</v>
      </c>
      <c r="L64" s="395"/>
      <c r="M64" s="54" t="s">
        <v>403</v>
      </c>
      <c r="N64" s="395">
        <v>4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123</v>
      </c>
      <c r="D65" s="184"/>
      <c r="E65" s="182" t="s">
        <v>372</v>
      </c>
      <c r="F65" s="403" t="s">
        <v>404</v>
      </c>
      <c r="G65" s="395"/>
      <c r="H65" s="395"/>
      <c r="I65" s="395"/>
      <c r="J65" s="395"/>
      <c r="K65" s="395" t="s">
        <v>405</v>
      </c>
      <c r="L65" s="395"/>
      <c r="M65" s="54" t="s">
        <v>403</v>
      </c>
      <c r="N65" s="395">
        <v>4</v>
      </c>
      <c r="O65" s="395"/>
      <c r="P65" s="404">
        <v>250</v>
      </c>
      <c r="Q65" s="404"/>
      <c r="R65" s="405" t="s">
        <v>406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 t="s">
        <v>387</v>
      </c>
      <c r="D66" s="184"/>
      <c r="E66" s="182"/>
      <c r="F66" s="403" t="s">
        <v>277</v>
      </c>
      <c r="G66" s="395"/>
      <c r="H66" s="395"/>
      <c r="I66" s="395"/>
      <c r="J66" s="395"/>
      <c r="K66" s="395" t="s">
        <v>407</v>
      </c>
      <c r="L66" s="395"/>
      <c r="M66" s="54" t="s">
        <v>403</v>
      </c>
      <c r="N66" s="395">
        <v>14</v>
      </c>
      <c r="O66" s="395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184"/>
      <c r="E67" s="182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184"/>
      <c r="E68" s="182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184"/>
      <c r="E69" s="182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184"/>
      <c r="E70" s="182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408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183" t="s">
        <v>2</v>
      </c>
      <c r="D72" s="183" t="s">
        <v>37</v>
      </c>
      <c r="E72" s="183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185" t="s">
        <v>114</v>
      </c>
      <c r="D73" s="185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184" t="s">
        <v>114</v>
      </c>
      <c r="D74" s="184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184"/>
      <c r="D75" s="184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184"/>
      <c r="D76" s="184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184"/>
      <c r="D77" s="184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184"/>
      <c r="D78" s="184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184"/>
      <c r="D79" s="184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184"/>
      <c r="D80" s="184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184"/>
      <c r="D81" s="184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409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61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410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126</v>
      </c>
      <c r="G6" s="12">
        <v>1</v>
      </c>
      <c r="H6" s="13">
        <v>25</v>
      </c>
      <c r="I6" s="34">
        <v>1500</v>
      </c>
      <c r="J6" s="5">
        <v>4370</v>
      </c>
      <c r="K6" s="15">
        <f>L6+2884+4362</f>
        <v>7246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0.13751947519475197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1510</v>
      </c>
      <c r="K7" s="15">
        <f>L7+3814+4589+2667+5183+5596+4810+5162+5299+4227+4836+5210+5235+5386+1503</f>
        <v>63517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0.13751947519475197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123</v>
      </c>
      <c r="D8" s="55" t="s">
        <v>167</v>
      </c>
      <c r="E8" s="56" t="s">
        <v>367</v>
      </c>
      <c r="F8" s="12" t="s">
        <v>285</v>
      </c>
      <c r="G8" s="12">
        <v>2</v>
      </c>
      <c r="H8" s="13">
        <v>25</v>
      </c>
      <c r="I8" s="34">
        <v>1000</v>
      </c>
      <c r="J8" s="14">
        <v>6260</v>
      </c>
      <c r="K8" s="15">
        <f>L8+6252</f>
        <v>6252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0.13751947519475197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392</v>
      </c>
      <c r="D9" s="55" t="s">
        <v>411</v>
      </c>
      <c r="E9" s="57" t="s">
        <v>412</v>
      </c>
      <c r="F9" s="33" t="s">
        <v>126</v>
      </c>
      <c r="G9" s="36">
        <v>1</v>
      </c>
      <c r="H9" s="38">
        <v>25</v>
      </c>
      <c r="I9" s="7">
        <v>300</v>
      </c>
      <c r="J9" s="5">
        <v>5420</v>
      </c>
      <c r="K9" s="15">
        <f>L9</f>
        <v>687</v>
      </c>
      <c r="L9" s="15">
        <v>687</v>
      </c>
      <c r="M9" s="16">
        <f t="shared" si="0"/>
        <v>687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0.12675276752767528</v>
      </c>
      <c r="AC9" s="9">
        <f t="shared" si="5"/>
        <v>0.16666666666666666</v>
      </c>
      <c r="AD9" s="10">
        <f t="shared" si="6"/>
        <v>2.1125461254612544E-2</v>
      </c>
      <c r="AE9" s="39">
        <f t="shared" si="7"/>
        <v>0.13751947519475197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413</v>
      </c>
      <c r="E10" s="57" t="s">
        <v>414</v>
      </c>
      <c r="F10" s="33" t="s">
        <v>415</v>
      </c>
      <c r="G10" s="36">
        <v>1</v>
      </c>
      <c r="H10" s="38">
        <v>25</v>
      </c>
      <c r="I10" s="7">
        <v>3000</v>
      </c>
      <c r="J10" s="5">
        <v>19040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>
        <v>24</v>
      </c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0.13751947519475197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122</v>
      </c>
      <c r="D11" s="55" t="s">
        <v>121</v>
      </c>
      <c r="E11" s="57" t="s">
        <v>136</v>
      </c>
      <c r="F11" s="12" t="s">
        <v>124</v>
      </c>
      <c r="G11" s="12">
        <v>1</v>
      </c>
      <c r="H11" s="13">
        <v>25</v>
      </c>
      <c r="I11" s="34">
        <v>70000</v>
      </c>
      <c r="J11" s="14">
        <v>1770</v>
      </c>
      <c r="K11" s="15">
        <f>L11+2962+5958+4760+5967+6127+5235+6451+3449+6100+5419+5911+3074+5975+5414</f>
        <v>74572</v>
      </c>
      <c r="L11" s="15">
        <v>1770</v>
      </c>
      <c r="M11" s="16">
        <f t="shared" si="0"/>
        <v>1770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/>
      <c r="T11" s="17"/>
      <c r="U11" s="17"/>
      <c r="V11" s="18"/>
      <c r="W11" s="19">
        <v>14</v>
      </c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0.13751947519475197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395</v>
      </c>
      <c r="E12" s="57" t="s">
        <v>416</v>
      </c>
      <c r="F12" s="12" t="s">
        <v>371</v>
      </c>
      <c r="G12" s="12">
        <v>1</v>
      </c>
      <c r="H12" s="13">
        <v>25</v>
      </c>
      <c r="I12" s="7">
        <v>1000</v>
      </c>
      <c r="J12" s="14">
        <v>2221</v>
      </c>
      <c r="K12" s="15">
        <f>L12</f>
        <v>2221</v>
      </c>
      <c r="L12" s="15">
        <f>2221</f>
        <v>2221</v>
      </c>
      <c r="M12" s="16">
        <f t="shared" si="0"/>
        <v>2221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/>
      <c r="W12" s="19">
        <v>12</v>
      </c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0.13751947519475197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332</v>
      </c>
      <c r="D13" s="55" t="s">
        <v>372</v>
      </c>
      <c r="E13" s="57" t="s">
        <v>373</v>
      </c>
      <c r="F13" s="12" t="s">
        <v>335</v>
      </c>
      <c r="G13" s="12">
        <v>1</v>
      </c>
      <c r="H13" s="13">
        <v>25</v>
      </c>
      <c r="I13" s="7">
        <v>1000</v>
      </c>
      <c r="J13" s="14">
        <v>1100</v>
      </c>
      <c r="K13" s="15">
        <f>L13+1096</f>
        <v>1096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27</v>
      </c>
      <c r="R13" s="7"/>
      <c r="S13" s="6"/>
      <c r="T13" s="17">
        <v>3</v>
      </c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0.13751947519475197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820</v>
      </c>
      <c r="K14" s="15">
        <f>L14+813</f>
        <v>813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0.13751947519475197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0.13751947519475197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4520</v>
      </c>
      <c r="K16" s="15">
        <f>L16+4579+4501+4174+2520+4543+4907+5427+5521+5837+2726+4187+5435+4621+3330</f>
        <v>66828</v>
      </c>
      <c r="L16" s="15">
        <f>2968+1552</f>
        <v>4520</v>
      </c>
      <c r="M16" s="16">
        <f t="shared" si="0"/>
        <v>4520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>
        <v>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9">
        <f t="shared" si="7"/>
        <v>0.13751947519475197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135</v>
      </c>
      <c r="E17" s="56" t="s">
        <v>239</v>
      </c>
      <c r="F17" s="12" t="s">
        <v>155</v>
      </c>
      <c r="G17" s="12">
        <v>2</v>
      </c>
      <c r="H17" s="13">
        <v>25</v>
      </c>
      <c r="I17" s="34">
        <v>25000</v>
      </c>
      <c r="J17" s="5">
        <v>10530</v>
      </c>
      <c r="K17" s="15">
        <f>L17+5292+12304+13270+10530</f>
        <v>41396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0.13751947519475197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395</v>
      </c>
      <c r="E18" s="57" t="s">
        <v>417</v>
      </c>
      <c r="F18" s="33" t="s">
        <v>418</v>
      </c>
      <c r="G18" s="36">
        <v>1</v>
      </c>
      <c r="H18" s="38">
        <v>25</v>
      </c>
      <c r="I18" s="7">
        <v>300</v>
      </c>
      <c r="J18" s="5">
        <v>685</v>
      </c>
      <c r="K18" s="15">
        <f>L18</f>
        <v>685</v>
      </c>
      <c r="L18" s="15">
        <v>685</v>
      </c>
      <c r="M18" s="16">
        <f t="shared" si="0"/>
        <v>685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/>
      <c r="T18" s="17"/>
      <c r="U18" s="17"/>
      <c r="V18" s="18"/>
      <c r="W18" s="19">
        <v>20</v>
      </c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7"/>
        <v>0.13751947519475197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227</v>
      </c>
      <c r="E19" s="57" t="s">
        <v>374</v>
      </c>
      <c r="F19" s="12" t="s">
        <v>375</v>
      </c>
      <c r="G19" s="12">
        <v>2</v>
      </c>
      <c r="H19" s="13">
        <v>25</v>
      </c>
      <c r="I19" s="7">
        <v>4000</v>
      </c>
      <c r="J19" s="14">
        <v>4740</v>
      </c>
      <c r="K19" s="15">
        <f>L19+4732</f>
        <v>4732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0.13751947519475197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0.13751947519475197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477300</v>
      </c>
      <c r="J21" s="22">
        <f t="shared" si="11"/>
        <v>89697</v>
      </c>
      <c r="K21" s="23">
        <f t="shared" si="11"/>
        <v>371562</v>
      </c>
      <c r="L21" s="24">
        <f t="shared" si="11"/>
        <v>9883</v>
      </c>
      <c r="M21" s="23">
        <f t="shared" si="11"/>
        <v>9883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53</v>
      </c>
      <c r="Q21" s="46">
        <f t="shared" si="12"/>
        <v>310</v>
      </c>
      <c r="R21" s="26">
        <f t="shared" si="12"/>
        <v>0</v>
      </c>
      <c r="S21" s="27">
        <f t="shared" si="12"/>
        <v>25</v>
      </c>
      <c r="T21" s="27">
        <f t="shared" si="12"/>
        <v>27</v>
      </c>
      <c r="U21" s="27">
        <f t="shared" si="12"/>
        <v>0</v>
      </c>
      <c r="V21" s="28">
        <f t="shared" si="12"/>
        <v>0</v>
      </c>
      <c r="W21" s="29">
        <f t="shared" si="12"/>
        <v>258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0.27511685116851164</v>
      </c>
      <c r="AC21" s="4">
        <f>SUM(AC6:AC20)/15</f>
        <v>0.14722222222222223</v>
      </c>
      <c r="AD21" s="4">
        <f>SUM(AD6:AD20)/15</f>
        <v>0.13751947519475197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419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426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175" t="s">
        <v>46</v>
      </c>
      <c r="D50" s="175" t="s">
        <v>47</v>
      </c>
      <c r="E50" s="175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175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382</v>
      </c>
      <c r="B51" s="421"/>
      <c r="C51" s="176" t="s">
        <v>195</v>
      </c>
      <c r="D51" s="177" t="s">
        <v>411</v>
      </c>
      <c r="E51" s="176" t="s">
        <v>412</v>
      </c>
      <c r="F51" s="405" t="s">
        <v>378</v>
      </c>
      <c r="G51" s="405"/>
      <c r="H51" s="405"/>
      <c r="I51" s="405"/>
      <c r="J51" s="405"/>
      <c r="K51" s="405"/>
      <c r="L51" s="405"/>
      <c r="M51" s="415"/>
      <c r="N51" s="181" t="s">
        <v>392</v>
      </c>
      <c r="O51" s="74" t="s">
        <v>352</v>
      </c>
      <c r="P51" s="422" t="s">
        <v>428</v>
      </c>
      <c r="Q51" s="423"/>
      <c r="R51" s="414" t="s">
        <v>427</v>
      </c>
      <c r="S51" s="414"/>
      <c r="T51" s="414"/>
      <c r="U51" s="414"/>
      <c r="V51" s="405" t="s">
        <v>157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382</v>
      </c>
      <c r="B52" s="421"/>
      <c r="C52" s="176" t="s">
        <v>380</v>
      </c>
      <c r="D52" s="177" t="s">
        <v>420</v>
      </c>
      <c r="E52" s="176" t="s">
        <v>414</v>
      </c>
      <c r="F52" s="405" t="s">
        <v>421</v>
      </c>
      <c r="G52" s="405"/>
      <c r="H52" s="405"/>
      <c r="I52" s="405"/>
      <c r="J52" s="405"/>
      <c r="K52" s="405"/>
      <c r="L52" s="405"/>
      <c r="M52" s="415"/>
      <c r="N52" s="181" t="s">
        <v>114</v>
      </c>
      <c r="O52" s="74" t="s">
        <v>195</v>
      </c>
      <c r="P52" s="422" t="s">
        <v>430</v>
      </c>
      <c r="Q52" s="423"/>
      <c r="R52" s="414" t="s">
        <v>429</v>
      </c>
      <c r="S52" s="414"/>
      <c r="T52" s="414"/>
      <c r="U52" s="414"/>
      <c r="V52" s="405" t="s">
        <v>157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382</v>
      </c>
      <c r="B53" s="421"/>
      <c r="C53" s="176" t="s">
        <v>218</v>
      </c>
      <c r="D53" s="177" t="s">
        <v>395</v>
      </c>
      <c r="E53" s="176" t="s">
        <v>416</v>
      </c>
      <c r="F53" s="405" t="s">
        <v>339</v>
      </c>
      <c r="G53" s="405"/>
      <c r="H53" s="405"/>
      <c r="I53" s="405"/>
      <c r="J53" s="405"/>
      <c r="K53" s="405"/>
      <c r="L53" s="405"/>
      <c r="M53" s="415"/>
      <c r="N53" s="181" t="s">
        <v>114</v>
      </c>
      <c r="O53" s="74" t="s">
        <v>263</v>
      </c>
      <c r="P53" s="414" t="s">
        <v>432</v>
      </c>
      <c r="Q53" s="414"/>
      <c r="R53" s="414" t="s">
        <v>431</v>
      </c>
      <c r="S53" s="414"/>
      <c r="T53" s="414"/>
      <c r="U53" s="414"/>
      <c r="V53" s="405" t="s">
        <v>157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422</v>
      </c>
      <c r="B54" s="421"/>
      <c r="C54" s="176" t="s">
        <v>423</v>
      </c>
      <c r="D54" s="177" t="s">
        <v>395</v>
      </c>
      <c r="E54" s="176" t="s">
        <v>424</v>
      </c>
      <c r="F54" s="405" t="s">
        <v>425</v>
      </c>
      <c r="G54" s="405"/>
      <c r="H54" s="405"/>
      <c r="I54" s="405"/>
      <c r="J54" s="405"/>
      <c r="K54" s="405"/>
      <c r="L54" s="405"/>
      <c r="M54" s="415"/>
      <c r="N54" s="181" t="s">
        <v>355</v>
      </c>
      <c r="O54" s="74" t="s">
        <v>263</v>
      </c>
      <c r="P54" s="422" t="s">
        <v>213</v>
      </c>
      <c r="Q54" s="423"/>
      <c r="R54" s="414" t="s">
        <v>397</v>
      </c>
      <c r="S54" s="414"/>
      <c r="T54" s="414"/>
      <c r="U54" s="414"/>
      <c r="V54" s="405" t="s">
        <v>433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382</v>
      </c>
      <c r="B55" s="421"/>
      <c r="C55" s="176" t="s">
        <v>301</v>
      </c>
      <c r="D55" s="177" t="s">
        <v>389</v>
      </c>
      <c r="E55" s="176" t="s">
        <v>417</v>
      </c>
      <c r="F55" s="405" t="s">
        <v>339</v>
      </c>
      <c r="G55" s="405"/>
      <c r="H55" s="405"/>
      <c r="I55" s="405"/>
      <c r="J55" s="405"/>
      <c r="K55" s="405"/>
      <c r="L55" s="405"/>
      <c r="M55" s="415"/>
      <c r="N55" s="181" t="s">
        <v>114</v>
      </c>
      <c r="O55" s="74" t="s">
        <v>435</v>
      </c>
      <c r="P55" s="422" t="s">
        <v>389</v>
      </c>
      <c r="Q55" s="423"/>
      <c r="R55" s="414" t="s">
        <v>434</v>
      </c>
      <c r="S55" s="414"/>
      <c r="T55" s="414"/>
      <c r="U55" s="414"/>
      <c r="V55" s="405" t="s">
        <v>157</v>
      </c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176"/>
      <c r="D56" s="177"/>
      <c r="E56" s="176"/>
      <c r="F56" s="405"/>
      <c r="G56" s="405"/>
      <c r="H56" s="405"/>
      <c r="I56" s="405"/>
      <c r="J56" s="405"/>
      <c r="K56" s="405"/>
      <c r="L56" s="405"/>
      <c r="M56" s="415"/>
      <c r="N56" s="181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176"/>
      <c r="D57" s="177"/>
      <c r="E57" s="176"/>
      <c r="F57" s="405"/>
      <c r="G57" s="405"/>
      <c r="H57" s="405"/>
      <c r="I57" s="405"/>
      <c r="J57" s="405"/>
      <c r="K57" s="405"/>
      <c r="L57" s="405"/>
      <c r="M57" s="415"/>
      <c r="N57" s="181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176"/>
      <c r="D58" s="177"/>
      <c r="E58" s="176"/>
      <c r="F58" s="405"/>
      <c r="G58" s="405"/>
      <c r="H58" s="405"/>
      <c r="I58" s="405"/>
      <c r="J58" s="405"/>
      <c r="K58" s="405"/>
      <c r="L58" s="405"/>
      <c r="M58" s="415"/>
      <c r="N58" s="181"/>
      <c r="O58" s="74"/>
      <c r="P58" s="414"/>
      <c r="Q58" s="414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177"/>
      <c r="D59" s="177"/>
      <c r="E59" s="177"/>
      <c r="F59" s="405"/>
      <c r="G59" s="405"/>
      <c r="H59" s="405"/>
      <c r="I59" s="405"/>
      <c r="J59" s="405"/>
      <c r="K59" s="405"/>
      <c r="L59" s="405"/>
      <c r="M59" s="415"/>
      <c r="N59" s="181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179"/>
      <c r="D60" s="179"/>
      <c r="E60" s="179"/>
      <c r="F60" s="418"/>
      <c r="G60" s="418"/>
      <c r="H60" s="418"/>
      <c r="I60" s="418"/>
      <c r="J60" s="418"/>
      <c r="K60" s="418"/>
      <c r="L60" s="418"/>
      <c r="M60" s="419"/>
      <c r="N60" s="178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436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180" t="s">
        <v>2</v>
      </c>
      <c r="D62" s="180" t="s">
        <v>37</v>
      </c>
      <c r="E62" s="18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80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/>
      <c r="D63" s="184"/>
      <c r="E63" s="182"/>
      <c r="F63" s="403"/>
      <c r="G63" s="395"/>
      <c r="H63" s="395"/>
      <c r="I63" s="395"/>
      <c r="J63" s="395"/>
      <c r="K63" s="395"/>
      <c r="L63" s="395"/>
      <c r="M63" s="54"/>
      <c r="N63" s="395"/>
      <c r="O63" s="395"/>
      <c r="P63" s="404"/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/>
      <c r="D64" s="184"/>
      <c r="E64" s="182"/>
      <c r="F64" s="403"/>
      <c r="G64" s="395"/>
      <c r="H64" s="395"/>
      <c r="I64" s="395"/>
      <c r="J64" s="395"/>
      <c r="K64" s="395"/>
      <c r="L64" s="395"/>
      <c r="M64" s="54"/>
      <c r="N64" s="395"/>
      <c r="O64" s="395"/>
      <c r="P64" s="404"/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/>
      <c r="D65" s="184"/>
      <c r="E65" s="182"/>
      <c r="F65" s="403"/>
      <c r="G65" s="395"/>
      <c r="H65" s="395"/>
      <c r="I65" s="395"/>
      <c r="J65" s="395"/>
      <c r="K65" s="395"/>
      <c r="L65" s="395"/>
      <c r="M65" s="54"/>
      <c r="N65" s="395"/>
      <c r="O65" s="395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184"/>
      <c r="E66" s="182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184"/>
      <c r="E67" s="182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184"/>
      <c r="E68" s="182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184"/>
      <c r="E69" s="182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184"/>
      <c r="E70" s="182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437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183" t="s">
        <v>2</v>
      </c>
      <c r="D72" s="183" t="s">
        <v>37</v>
      </c>
      <c r="E72" s="183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185" t="s">
        <v>114</v>
      </c>
      <c r="D73" s="185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184" t="s">
        <v>114</v>
      </c>
      <c r="D74" s="184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184"/>
      <c r="D75" s="184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184"/>
      <c r="D76" s="184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184"/>
      <c r="D77" s="184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184"/>
      <c r="D78" s="184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184"/>
      <c r="D79" s="184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184"/>
      <c r="D80" s="184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184"/>
      <c r="D81" s="184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438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37" zoomScale="72" zoomScaleNormal="72" zoomScaleSheetLayoutView="70" workbookViewId="0">
      <selection activeCell="F68" sqref="F68:J6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439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126</v>
      </c>
      <c r="G6" s="12">
        <v>1</v>
      </c>
      <c r="H6" s="13">
        <v>25</v>
      </c>
      <c r="I6" s="34">
        <v>1500</v>
      </c>
      <c r="J6" s="5">
        <v>4370</v>
      </c>
      <c r="K6" s="15">
        <f>L6+2884+4362</f>
        <v>7246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0.29142775355401762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1510</v>
      </c>
      <c r="K7" s="15">
        <f>L7+3814+4589+2667+5183+5596+4810+5162+5299+4227+4836+5210+5235+5386+1503</f>
        <v>63517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0.29142775355401762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114</v>
      </c>
      <c r="D8" s="55" t="s">
        <v>135</v>
      </c>
      <c r="E8" s="56" t="s">
        <v>440</v>
      </c>
      <c r="F8" s="12" t="s">
        <v>285</v>
      </c>
      <c r="G8" s="12">
        <v>1</v>
      </c>
      <c r="H8" s="13">
        <v>25</v>
      </c>
      <c r="I8" s="34">
        <v>3000</v>
      </c>
      <c r="J8" s="14">
        <v>3240</v>
      </c>
      <c r="K8" s="15">
        <f>L8</f>
        <v>3234</v>
      </c>
      <c r="L8" s="15">
        <f>1694+1540</f>
        <v>3234</v>
      </c>
      <c r="M8" s="16">
        <f t="shared" si="0"/>
        <v>3234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/>
      <c r="T8" s="17">
        <v>2</v>
      </c>
      <c r="U8" s="17"/>
      <c r="V8" s="18"/>
      <c r="W8" s="19">
        <v>3</v>
      </c>
      <c r="X8" s="17"/>
      <c r="Y8" s="20"/>
      <c r="Z8" s="20"/>
      <c r="AA8" s="21"/>
      <c r="AB8" s="8">
        <f t="shared" si="4"/>
        <v>0.99814814814814812</v>
      </c>
      <c r="AC8" s="9">
        <f t="shared" si="5"/>
        <v>0.79166666666666663</v>
      </c>
      <c r="AD8" s="10">
        <f t="shared" si="6"/>
        <v>0.79020061728395052</v>
      </c>
      <c r="AE8" s="39">
        <f t="shared" si="7"/>
        <v>0.29142775355401762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392</v>
      </c>
      <c r="D9" s="55" t="s">
        <v>411</v>
      </c>
      <c r="E9" s="57" t="s">
        <v>441</v>
      </c>
      <c r="F9" s="33" t="s">
        <v>371</v>
      </c>
      <c r="G9" s="36">
        <v>1</v>
      </c>
      <c r="H9" s="38">
        <v>25</v>
      </c>
      <c r="I9" s="7">
        <v>3000</v>
      </c>
      <c r="J9" s="5">
        <v>3830</v>
      </c>
      <c r="K9" s="15">
        <f>L9</f>
        <v>3827</v>
      </c>
      <c r="L9" s="15">
        <f>3300+527</f>
        <v>3827</v>
      </c>
      <c r="M9" s="16">
        <f t="shared" si="0"/>
        <v>3827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/>
      <c r="T9" s="17">
        <v>6</v>
      </c>
      <c r="U9" s="17"/>
      <c r="V9" s="18"/>
      <c r="W9" s="19"/>
      <c r="X9" s="17"/>
      <c r="Y9" s="20"/>
      <c r="Z9" s="20"/>
      <c r="AA9" s="21"/>
      <c r="AB9" s="8">
        <f t="shared" si="4"/>
        <v>0.99921671018276759</v>
      </c>
      <c r="AC9" s="9">
        <f t="shared" si="5"/>
        <v>0.75</v>
      </c>
      <c r="AD9" s="10">
        <f t="shared" si="6"/>
        <v>0.74941253263707575</v>
      </c>
      <c r="AE9" s="39">
        <f t="shared" si="7"/>
        <v>0.29142775355401762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413</v>
      </c>
      <c r="E10" s="57" t="s">
        <v>414</v>
      </c>
      <c r="F10" s="33" t="s">
        <v>415</v>
      </c>
      <c r="G10" s="36">
        <v>1</v>
      </c>
      <c r="H10" s="38">
        <v>25</v>
      </c>
      <c r="I10" s="7">
        <v>3000</v>
      </c>
      <c r="J10" s="5">
        <v>19040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0.29142775355401762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114</v>
      </c>
      <c r="D11" s="55" t="s">
        <v>432</v>
      </c>
      <c r="E11" s="57" t="s">
        <v>442</v>
      </c>
      <c r="F11" s="12" t="s">
        <v>443</v>
      </c>
      <c r="G11" s="12">
        <v>1</v>
      </c>
      <c r="H11" s="13">
        <v>25</v>
      </c>
      <c r="I11" s="34">
        <v>3000</v>
      </c>
      <c r="J11" s="14">
        <v>4770</v>
      </c>
      <c r="K11" s="15">
        <f>L11</f>
        <v>4768</v>
      </c>
      <c r="L11" s="15">
        <f>2899+1869</f>
        <v>4768</v>
      </c>
      <c r="M11" s="16">
        <f t="shared" si="0"/>
        <v>4768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/>
      <c r="T11" s="17">
        <v>2</v>
      </c>
      <c r="U11" s="17"/>
      <c r="V11" s="18"/>
      <c r="W11" s="19"/>
      <c r="X11" s="17"/>
      <c r="Y11" s="20"/>
      <c r="Z11" s="20"/>
      <c r="AA11" s="21"/>
      <c r="AB11" s="8">
        <f t="shared" si="4"/>
        <v>0.99958071278826</v>
      </c>
      <c r="AC11" s="9">
        <f t="shared" si="5"/>
        <v>0.91666666666666663</v>
      </c>
      <c r="AD11" s="10">
        <f t="shared" si="6"/>
        <v>0.91628232005590493</v>
      </c>
      <c r="AE11" s="39">
        <f t="shared" si="7"/>
        <v>0.29142775355401762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395</v>
      </c>
      <c r="E12" s="57" t="s">
        <v>416</v>
      </c>
      <c r="F12" s="12" t="s">
        <v>371</v>
      </c>
      <c r="G12" s="12">
        <v>1</v>
      </c>
      <c r="H12" s="13">
        <v>25</v>
      </c>
      <c r="I12" s="7">
        <v>1000</v>
      </c>
      <c r="J12" s="14">
        <v>2221</v>
      </c>
      <c r="K12" s="15">
        <f>L12+2221</f>
        <v>2221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0.29142775355401762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332</v>
      </c>
      <c r="D13" s="55" t="s">
        <v>372</v>
      </c>
      <c r="E13" s="57" t="s">
        <v>373</v>
      </c>
      <c r="F13" s="12" t="s">
        <v>335</v>
      </c>
      <c r="G13" s="12">
        <v>1</v>
      </c>
      <c r="H13" s="13">
        <v>25</v>
      </c>
      <c r="I13" s="7">
        <v>1000</v>
      </c>
      <c r="J13" s="14">
        <v>1100</v>
      </c>
      <c r="K13" s="15">
        <f>L13+1096</f>
        <v>1096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0.29142775355401762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820</v>
      </c>
      <c r="K14" s="15">
        <f>L14+813</f>
        <v>813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0.29142775355401762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0.29142775355401762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5370</v>
      </c>
      <c r="K16" s="15">
        <f>L16+4579+4501+4174+2520+4543+4907+5427+5521+5837+2726+4187+5435+4621+3330+4520</f>
        <v>72198</v>
      </c>
      <c r="L16" s="15">
        <f>2506+2864</f>
        <v>5370</v>
      </c>
      <c r="M16" s="16">
        <f t="shared" si="0"/>
        <v>5370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0.29142775355401762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135</v>
      </c>
      <c r="E17" s="56" t="s">
        <v>239</v>
      </c>
      <c r="F17" s="12" t="s">
        <v>155</v>
      </c>
      <c r="G17" s="12">
        <v>2</v>
      </c>
      <c r="H17" s="13">
        <v>25</v>
      </c>
      <c r="I17" s="34">
        <v>25000</v>
      </c>
      <c r="J17" s="5">
        <v>10530</v>
      </c>
      <c r="K17" s="15">
        <f>L17+5292+12304+13270+10530</f>
        <v>41396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0.29142775355401762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395</v>
      </c>
      <c r="E18" s="57" t="s">
        <v>444</v>
      </c>
      <c r="F18" s="33" t="s">
        <v>371</v>
      </c>
      <c r="G18" s="36">
        <v>1</v>
      </c>
      <c r="H18" s="38">
        <v>25</v>
      </c>
      <c r="I18" s="7">
        <v>3000</v>
      </c>
      <c r="J18" s="5">
        <v>3200</v>
      </c>
      <c r="K18" s="15">
        <f>L18</f>
        <v>3196</v>
      </c>
      <c r="L18" s="15">
        <f>1256+1940</f>
        <v>3196</v>
      </c>
      <c r="M18" s="16">
        <f t="shared" si="0"/>
        <v>3196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/>
      <c r="T18" s="17"/>
      <c r="U18" s="17"/>
      <c r="V18" s="18"/>
      <c r="W18" s="19">
        <v>2</v>
      </c>
      <c r="X18" s="17"/>
      <c r="Y18" s="20"/>
      <c r="Z18" s="20"/>
      <c r="AA18" s="21"/>
      <c r="AB18" s="8">
        <f t="shared" si="4"/>
        <v>0.99875000000000003</v>
      </c>
      <c r="AC18" s="9">
        <f t="shared" si="5"/>
        <v>0.91666666666666663</v>
      </c>
      <c r="AD18" s="10">
        <f t="shared" si="6"/>
        <v>0.91552083333333334</v>
      </c>
      <c r="AE18" s="39">
        <f t="shared" si="7"/>
        <v>0.29142775355401762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227</v>
      </c>
      <c r="E19" s="57" t="s">
        <v>374</v>
      </c>
      <c r="F19" s="12" t="s">
        <v>375</v>
      </c>
      <c r="G19" s="12">
        <v>2</v>
      </c>
      <c r="H19" s="13">
        <v>25</v>
      </c>
      <c r="I19" s="7">
        <v>4000</v>
      </c>
      <c r="J19" s="14">
        <v>4740</v>
      </c>
      <c r="K19" s="15">
        <f>L19+4732</f>
        <v>4732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0.29142775355401762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0.29142775355401762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417700</v>
      </c>
      <c r="J21" s="22">
        <f t="shared" si="11"/>
        <v>91452</v>
      </c>
      <c r="K21" s="23">
        <f t="shared" si="11"/>
        <v>309761</v>
      </c>
      <c r="L21" s="24">
        <f t="shared" si="11"/>
        <v>20395</v>
      </c>
      <c r="M21" s="23">
        <f t="shared" si="11"/>
        <v>20395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105</v>
      </c>
      <c r="Q21" s="46">
        <f t="shared" si="12"/>
        <v>255</v>
      </c>
      <c r="R21" s="26">
        <f t="shared" si="12"/>
        <v>0</v>
      </c>
      <c r="S21" s="27">
        <f t="shared" si="12"/>
        <v>48</v>
      </c>
      <c r="T21" s="27">
        <f t="shared" si="12"/>
        <v>10</v>
      </c>
      <c r="U21" s="27">
        <f t="shared" si="12"/>
        <v>0</v>
      </c>
      <c r="V21" s="28">
        <f t="shared" si="12"/>
        <v>0</v>
      </c>
      <c r="W21" s="29">
        <f t="shared" si="12"/>
        <v>197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0.33304637140794502</v>
      </c>
      <c r="AC21" s="4">
        <f>SUM(AC6:AC20)/15</f>
        <v>0.29166666666666669</v>
      </c>
      <c r="AD21" s="4">
        <f>SUM(AD6:AD20)/15</f>
        <v>0.29142775355401762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445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448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175" t="s">
        <v>46</v>
      </c>
      <c r="D50" s="175" t="s">
        <v>47</v>
      </c>
      <c r="E50" s="175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175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382</v>
      </c>
      <c r="B51" s="421"/>
      <c r="C51" s="176" t="s">
        <v>195</v>
      </c>
      <c r="D51" s="177" t="s">
        <v>411</v>
      </c>
      <c r="E51" s="176" t="s">
        <v>441</v>
      </c>
      <c r="F51" s="405" t="s">
        <v>378</v>
      </c>
      <c r="G51" s="405"/>
      <c r="H51" s="405"/>
      <c r="I51" s="405"/>
      <c r="J51" s="405"/>
      <c r="K51" s="405"/>
      <c r="L51" s="405"/>
      <c r="M51" s="415"/>
      <c r="N51" s="181" t="s">
        <v>392</v>
      </c>
      <c r="O51" s="74" t="s">
        <v>380</v>
      </c>
      <c r="P51" s="422" t="s">
        <v>449</v>
      </c>
      <c r="Q51" s="423"/>
      <c r="R51" s="414" t="s">
        <v>397</v>
      </c>
      <c r="S51" s="414"/>
      <c r="T51" s="414"/>
      <c r="U51" s="414"/>
      <c r="V51" s="405" t="s">
        <v>450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382</v>
      </c>
      <c r="B52" s="421"/>
      <c r="C52" s="176" t="s">
        <v>380</v>
      </c>
      <c r="D52" s="177" t="s">
        <v>420</v>
      </c>
      <c r="E52" s="176" t="s">
        <v>414</v>
      </c>
      <c r="F52" s="405" t="s">
        <v>446</v>
      </c>
      <c r="G52" s="405"/>
      <c r="H52" s="405"/>
      <c r="I52" s="405"/>
      <c r="J52" s="405"/>
      <c r="K52" s="405"/>
      <c r="L52" s="405"/>
      <c r="M52" s="415"/>
      <c r="N52" s="181" t="s">
        <v>114</v>
      </c>
      <c r="O52" s="74" t="s">
        <v>263</v>
      </c>
      <c r="P52" s="422" t="s">
        <v>452</v>
      </c>
      <c r="Q52" s="423"/>
      <c r="R52" s="414" t="s">
        <v>451</v>
      </c>
      <c r="S52" s="414"/>
      <c r="T52" s="414"/>
      <c r="U52" s="414"/>
      <c r="V52" s="405" t="s">
        <v>157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382</v>
      </c>
      <c r="B53" s="421"/>
      <c r="C53" s="176" t="s">
        <v>352</v>
      </c>
      <c r="D53" s="177" t="s">
        <v>447</v>
      </c>
      <c r="E53" s="176" t="s">
        <v>440</v>
      </c>
      <c r="F53" s="405" t="s">
        <v>339</v>
      </c>
      <c r="G53" s="405"/>
      <c r="H53" s="405"/>
      <c r="I53" s="405"/>
      <c r="J53" s="405"/>
      <c r="K53" s="405"/>
      <c r="L53" s="405"/>
      <c r="M53" s="415"/>
      <c r="N53" s="181" t="s">
        <v>114</v>
      </c>
      <c r="O53" s="74" t="s">
        <v>204</v>
      </c>
      <c r="P53" s="414" t="s">
        <v>372</v>
      </c>
      <c r="Q53" s="414"/>
      <c r="R53" s="414" t="s">
        <v>453</v>
      </c>
      <c r="S53" s="414"/>
      <c r="T53" s="414"/>
      <c r="U53" s="414"/>
      <c r="V53" s="405" t="s">
        <v>450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382</v>
      </c>
      <c r="B54" s="421"/>
      <c r="C54" s="176" t="s">
        <v>301</v>
      </c>
      <c r="D54" s="177" t="s">
        <v>389</v>
      </c>
      <c r="E54" s="176" t="s">
        <v>444</v>
      </c>
      <c r="F54" s="405" t="s">
        <v>339</v>
      </c>
      <c r="G54" s="405"/>
      <c r="H54" s="405"/>
      <c r="I54" s="405"/>
      <c r="J54" s="405"/>
      <c r="K54" s="405"/>
      <c r="L54" s="405"/>
      <c r="M54" s="415"/>
      <c r="N54" s="181" t="s">
        <v>387</v>
      </c>
      <c r="O54" s="74" t="s">
        <v>455</v>
      </c>
      <c r="P54" s="422"/>
      <c r="Q54" s="423"/>
      <c r="R54" s="414" t="s">
        <v>454</v>
      </c>
      <c r="S54" s="414"/>
      <c r="T54" s="414"/>
      <c r="U54" s="414"/>
      <c r="V54" s="405" t="s">
        <v>157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114</v>
      </c>
      <c r="B55" s="421"/>
      <c r="C55" s="176" t="s">
        <v>263</v>
      </c>
      <c r="D55" s="177" t="s">
        <v>432</v>
      </c>
      <c r="E55" s="176" t="s">
        <v>442</v>
      </c>
      <c r="F55" s="405" t="s">
        <v>339</v>
      </c>
      <c r="G55" s="405"/>
      <c r="H55" s="405"/>
      <c r="I55" s="405"/>
      <c r="J55" s="405"/>
      <c r="K55" s="405"/>
      <c r="L55" s="405"/>
      <c r="M55" s="415"/>
      <c r="N55" s="181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176"/>
      <c r="D56" s="177"/>
      <c r="E56" s="176"/>
      <c r="F56" s="405"/>
      <c r="G56" s="405"/>
      <c r="H56" s="405"/>
      <c r="I56" s="405"/>
      <c r="J56" s="405"/>
      <c r="K56" s="405"/>
      <c r="L56" s="405"/>
      <c r="M56" s="415"/>
      <c r="N56" s="181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176"/>
      <c r="D57" s="177"/>
      <c r="E57" s="176"/>
      <c r="F57" s="405"/>
      <c r="G57" s="405"/>
      <c r="H57" s="405"/>
      <c r="I57" s="405"/>
      <c r="J57" s="405"/>
      <c r="K57" s="405"/>
      <c r="L57" s="405"/>
      <c r="M57" s="415"/>
      <c r="N57" s="181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176"/>
      <c r="D58" s="177"/>
      <c r="E58" s="176"/>
      <c r="F58" s="405"/>
      <c r="G58" s="405"/>
      <c r="H58" s="405"/>
      <c r="I58" s="405"/>
      <c r="J58" s="405"/>
      <c r="K58" s="405"/>
      <c r="L58" s="405"/>
      <c r="M58" s="415"/>
      <c r="N58" s="181"/>
      <c r="O58" s="74"/>
      <c r="P58" s="414"/>
      <c r="Q58" s="414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177"/>
      <c r="D59" s="177"/>
      <c r="E59" s="177"/>
      <c r="F59" s="405"/>
      <c r="G59" s="405"/>
      <c r="H59" s="405"/>
      <c r="I59" s="405"/>
      <c r="J59" s="405"/>
      <c r="K59" s="405"/>
      <c r="L59" s="405"/>
      <c r="M59" s="415"/>
      <c r="N59" s="181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179"/>
      <c r="D60" s="179"/>
      <c r="E60" s="179"/>
      <c r="F60" s="418"/>
      <c r="G60" s="418"/>
      <c r="H60" s="418"/>
      <c r="I60" s="418"/>
      <c r="J60" s="418"/>
      <c r="K60" s="418"/>
      <c r="L60" s="418"/>
      <c r="M60" s="419"/>
      <c r="N60" s="178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456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180" t="s">
        <v>2</v>
      </c>
      <c r="D62" s="180" t="s">
        <v>37</v>
      </c>
      <c r="E62" s="18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80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122</v>
      </c>
      <c r="D63" s="186"/>
      <c r="E63" s="189"/>
      <c r="F63" s="403" t="s">
        <v>277</v>
      </c>
      <c r="G63" s="395"/>
      <c r="H63" s="395"/>
      <c r="I63" s="395"/>
      <c r="J63" s="395"/>
      <c r="K63" s="395" t="s">
        <v>133</v>
      </c>
      <c r="L63" s="395"/>
      <c r="M63" s="54" t="s">
        <v>272</v>
      </c>
      <c r="N63" s="395">
        <v>14</v>
      </c>
      <c r="O63" s="395"/>
      <c r="P63" s="404">
        <v>50</v>
      </c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/>
      <c r="D64" s="184"/>
      <c r="E64" s="182"/>
      <c r="F64" s="403"/>
      <c r="G64" s="395"/>
      <c r="H64" s="395"/>
      <c r="I64" s="395"/>
      <c r="J64" s="395"/>
      <c r="K64" s="395"/>
      <c r="L64" s="395"/>
      <c r="M64" s="54"/>
      <c r="N64" s="395"/>
      <c r="O64" s="395"/>
      <c r="P64" s="404"/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/>
      <c r="D65" s="184"/>
      <c r="E65" s="182"/>
      <c r="F65" s="403"/>
      <c r="G65" s="395"/>
      <c r="H65" s="395"/>
      <c r="I65" s="395"/>
      <c r="J65" s="395"/>
      <c r="K65" s="395"/>
      <c r="L65" s="395"/>
      <c r="M65" s="54"/>
      <c r="N65" s="395"/>
      <c r="O65" s="395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184"/>
      <c r="E66" s="182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184"/>
      <c r="E67" s="182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184"/>
      <c r="E68" s="182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184"/>
      <c r="E69" s="182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184"/>
      <c r="E70" s="182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459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183" t="s">
        <v>2</v>
      </c>
      <c r="D72" s="183" t="s">
        <v>37</v>
      </c>
      <c r="E72" s="183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185" t="s">
        <v>114</v>
      </c>
      <c r="D73" s="185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184" t="s">
        <v>114</v>
      </c>
      <c r="D74" s="184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184"/>
      <c r="D75" s="184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184"/>
      <c r="D76" s="184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184"/>
      <c r="D77" s="184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184"/>
      <c r="D78" s="184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184"/>
      <c r="D79" s="184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184"/>
      <c r="D80" s="184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184"/>
      <c r="D81" s="184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460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461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126</v>
      </c>
      <c r="G6" s="12">
        <v>1</v>
      </c>
      <c r="H6" s="13">
        <v>25</v>
      </c>
      <c r="I6" s="34">
        <v>1500</v>
      </c>
      <c r="J6" s="5">
        <v>4370</v>
      </c>
      <c r="K6" s="15">
        <f>L6+2884+4362</f>
        <v>7246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0.26372775342596078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1510</v>
      </c>
      <c r="K7" s="15">
        <f>L7+3814+4589+2667+5183+5596+4810+5162+5299+4227+4836+5210+5235+5386+1503</f>
        <v>63517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0.26372775342596078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114</v>
      </c>
      <c r="D8" s="55" t="s">
        <v>135</v>
      </c>
      <c r="E8" s="56" t="s">
        <v>427</v>
      </c>
      <c r="F8" s="12" t="s">
        <v>169</v>
      </c>
      <c r="G8" s="12">
        <v>1</v>
      </c>
      <c r="H8" s="13">
        <v>25</v>
      </c>
      <c r="I8" s="34">
        <v>3000</v>
      </c>
      <c r="J8" s="14">
        <v>3240</v>
      </c>
      <c r="K8" s="15">
        <f>L8+3234</f>
        <v>3234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0.26372775342596078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144</v>
      </c>
      <c r="E9" s="57" t="s">
        <v>429</v>
      </c>
      <c r="F9" s="33" t="s">
        <v>371</v>
      </c>
      <c r="G9" s="36">
        <v>1</v>
      </c>
      <c r="H9" s="38">
        <v>25</v>
      </c>
      <c r="I9" s="7">
        <v>3000</v>
      </c>
      <c r="J9" s="5">
        <v>380</v>
      </c>
      <c r="K9" s="15">
        <f>L9+3827</f>
        <v>4207</v>
      </c>
      <c r="L9" s="15">
        <v>380</v>
      </c>
      <c r="M9" s="16">
        <f t="shared" si="0"/>
        <v>380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0.26372775342596078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213</v>
      </c>
      <c r="E10" s="57" t="s">
        <v>397</v>
      </c>
      <c r="F10" s="33" t="s">
        <v>415</v>
      </c>
      <c r="G10" s="36">
        <v>1</v>
      </c>
      <c r="H10" s="38">
        <v>25</v>
      </c>
      <c r="I10" s="7">
        <v>3000</v>
      </c>
      <c r="J10" s="5">
        <v>3770</v>
      </c>
      <c r="K10" s="15">
        <f>L10</f>
        <v>3769</v>
      </c>
      <c r="L10" s="15">
        <f>2819+950</f>
        <v>3769</v>
      </c>
      <c r="M10" s="16">
        <f t="shared" si="0"/>
        <v>3769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/>
      <c r="T10" s="17"/>
      <c r="U10" s="17"/>
      <c r="V10" s="18"/>
      <c r="W10" s="19">
        <v>4</v>
      </c>
      <c r="X10" s="17"/>
      <c r="Y10" s="20"/>
      <c r="Z10" s="20"/>
      <c r="AA10" s="21"/>
      <c r="AB10" s="8">
        <f t="shared" si="4"/>
        <v>0.99973474801061013</v>
      </c>
      <c r="AC10" s="9">
        <f t="shared" si="5"/>
        <v>0.83333333333333337</v>
      </c>
      <c r="AD10" s="10">
        <f t="shared" si="6"/>
        <v>0.83311229000884179</v>
      </c>
      <c r="AE10" s="39">
        <f t="shared" si="7"/>
        <v>0.26372775342596078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114</v>
      </c>
      <c r="D11" s="55" t="s">
        <v>140</v>
      </c>
      <c r="E11" s="57" t="s">
        <v>462</v>
      </c>
      <c r="F11" s="12" t="s">
        <v>443</v>
      </c>
      <c r="G11" s="12">
        <v>1</v>
      </c>
      <c r="H11" s="13">
        <v>25</v>
      </c>
      <c r="I11" s="34">
        <v>1500</v>
      </c>
      <c r="J11" s="14">
        <v>4000</v>
      </c>
      <c r="K11" s="15">
        <f>L11</f>
        <v>3998</v>
      </c>
      <c r="L11" s="15">
        <f>2813+1185</f>
        <v>3998</v>
      </c>
      <c r="M11" s="16">
        <f t="shared" si="0"/>
        <v>3998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/>
      <c r="T11" s="17">
        <v>2</v>
      </c>
      <c r="U11" s="17"/>
      <c r="V11" s="18"/>
      <c r="W11" s="19"/>
      <c r="X11" s="17"/>
      <c r="Y11" s="20"/>
      <c r="Z11" s="20"/>
      <c r="AA11" s="21"/>
      <c r="AB11" s="8">
        <f t="shared" si="4"/>
        <v>0.99950000000000006</v>
      </c>
      <c r="AC11" s="9">
        <f t="shared" si="5"/>
        <v>0.91666666666666663</v>
      </c>
      <c r="AD11" s="10">
        <f t="shared" si="6"/>
        <v>0.91620833333333329</v>
      </c>
      <c r="AE11" s="39">
        <f t="shared" si="7"/>
        <v>0.26372775342596078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186</v>
      </c>
      <c r="E12" s="57" t="s">
        <v>394</v>
      </c>
      <c r="F12" s="12" t="s">
        <v>371</v>
      </c>
      <c r="G12" s="12">
        <v>1</v>
      </c>
      <c r="H12" s="13">
        <v>25</v>
      </c>
      <c r="I12" s="7">
        <v>1000</v>
      </c>
      <c r="J12" s="14">
        <v>2221</v>
      </c>
      <c r="K12" s="15">
        <f>L12+2221</f>
        <v>2221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0.26372775342596078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332</v>
      </c>
      <c r="D13" s="55" t="s">
        <v>372</v>
      </c>
      <c r="E13" s="57" t="s">
        <v>373</v>
      </c>
      <c r="F13" s="12" t="s">
        <v>335</v>
      </c>
      <c r="G13" s="12">
        <v>1</v>
      </c>
      <c r="H13" s="13">
        <v>25</v>
      </c>
      <c r="I13" s="7">
        <v>1000</v>
      </c>
      <c r="J13" s="14">
        <v>1100</v>
      </c>
      <c r="K13" s="15">
        <f>L13+1096</f>
        <v>1096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0.26372775342596078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342</v>
      </c>
      <c r="K14" s="15">
        <f>L14+813</f>
        <v>1155</v>
      </c>
      <c r="L14" s="15">
        <v>342</v>
      </c>
      <c r="M14" s="16">
        <f t="shared" si="0"/>
        <v>342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/>
      <c r="T14" s="17"/>
      <c r="U14" s="17"/>
      <c r="V14" s="18"/>
      <c r="W14" s="19">
        <v>16</v>
      </c>
      <c r="X14" s="17"/>
      <c r="Y14" s="20"/>
      <c r="Z14" s="20"/>
      <c r="AA14" s="21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9">
        <f t="shared" si="7"/>
        <v>0.26372775342596078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0.26372775342596078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3240</v>
      </c>
      <c r="K16" s="15">
        <f>L16+4579+4501+4174+2520+4543+4907+5427+5521+5837+2726+4187+5435+4621+3330+4520+5370</f>
        <v>75433</v>
      </c>
      <c r="L16" s="15">
        <f>643+2592</f>
        <v>3235</v>
      </c>
      <c r="M16" s="16">
        <f t="shared" si="0"/>
        <v>3235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/>
      <c r="T16" s="17"/>
      <c r="U16" s="17"/>
      <c r="V16" s="18"/>
      <c r="W16" s="19">
        <v>5</v>
      </c>
      <c r="X16" s="17"/>
      <c r="Y16" s="20"/>
      <c r="Z16" s="20"/>
      <c r="AA16" s="21"/>
      <c r="AB16" s="8">
        <f t="shared" si="4"/>
        <v>0.99845679012345678</v>
      </c>
      <c r="AC16" s="9">
        <f t="shared" si="5"/>
        <v>0.79166666666666663</v>
      </c>
      <c r="AD16" s="10">
        <f t="shared" si="6"/>
        <v>0.79044495884773658</v>
      </c>
      <c r="AE16" s="39">
        <f t="shared" si="7"/>
        <v>0.26372775342596078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463</v>
      </c>
      <c r="E17" s="56" t="s">
        <v>464</v>
      </c>
      <c r="F17" s="12" t="s">
        <v>155</v>
      </c>
      <c r="G17" s="12">
        <v>2</v>
      </c>
      <c r="H17" s="13">
        <v>25</v>
      </c>
      <c r="I17" s="34">
        <v>1500</v>
      </c>
      <c r="J17" s="5">
        <v>10660</v>
      </c>
      <c r="K17" s="15">
        <f>L17</f>
        <v>10654</v>
      </c>
      <c r="L17" s="15">
        <f>3578*2+1749*2</f>
        <v>10654</v>
      </c>
      <c r="M17" s="16">
        <f t="shared" si="0"/>
        <v>10654</v>
      </c>
      <c r="N17" s="16">
        <v>0</v>
      </c>
      <c r="O17" s="62">
        <f t="shared" si="1"/>
        <v>0</v>
      </c>
      <c r="P17" s="42">
        <f t="shared" si="2"/>
        <v>22</v>
      </c>
      <c r="Q17" s="43">
        <f t="shared" si="3"/>
        <v>2</v>
      </c>
      <c r="R17" s="7"/>
      <c r="S17" s="6"/>
      <c r="T17" s="17">
        <v>2</v>
      </c>
      <c r="U17" s="17"/>
      <c r="V17" s="18"/>
      <c r="W17" s="19"/>
      <c r="X17" s="17"/>
      <c r="Y17" s="20"/>
      <c r="Z17" s="20"/>
      <c r="AA17" s="21"/>
      <c r="AB17" s="8">
        <f t="shared" si="4"/>
        <v>0.99943714821763607</v>
      </c>
      <c r="AC17" s="9">
        <f t="shared" si="5"/>
        <v>0.91666666666666663</v>
      </c>
      <c r="AD17" s="10">
        <f t="shared" si="6"/>
        <v>0.91615071919949975</v>
      </c>
      <c r="AE17" s="39">
        <f t="shared" si="7"/>
        <v>0.26372775342596078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186</v>
      </c>
      <c r="E18" s="57" t="s">
        <v>434</v>
      </c>
      <c r="F18" s="33" t="s">
        <v>371</v>
      </c>
      <c r="G18" s="36">
        <v>1</v>
      </c>
      <c r="H18" s="38">
        <v>25</v>
      </c>
      <c r="I18" s="7">
        <v>3000</v>
      </c>
      <c r="J18" s="5">
        <v>3200</v>
      </c>
      <c r="K18" s="15">
        <f>L18+3196</f>
        <v>3196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0.26372775342596078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186</v>
      </c>
      <c r="E19" s="57" t="s">
        <v>374</v>
      </c>
      <c r="F19" s="12" t="s">
        <v>375</v>
      </c>
      <c r="G19" s="12">
        <v>2</v>
      </c>
      <c r="H19" s="13">
        <v>25</v>
      </c>
      <c r="I19" s="7">
        <v>4000</v>
      </c>
      <c r="J19" s="14">
        <v>4740</v>
      </c>
      <c r="K19" s="15">
        <f>L19+4732</f>
        <v>4732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0.26372775342596078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0.26372775342596078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392700</v>
      </c>
      <c r="J21" s="22">
        <f t="shared" si="11"/>
        <v>69484</v>
      </c>
      <c r="K21" s="23">
        <f t="shared" si="11"/>
        <v>285975</v>
      </c>
      <c r="L21" s="24">
        <f t="shared" si="11"/>
        <v>22378</v>
      </c>
      <c r="M21" s="23">
        <f t="shared" si="11"/>
        <v>22378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95</v>
      </c>
      <c r="Q21" s="46">
        <f t="shared" si="12"/>
        <v>265</v>
      </c>
      <c r="R21" s="26">
        <f t="shared" si="12"/>
        <v>0</v>
      </c>
      <c r="S21" s="27">
        <f t="shared" si="12"/>
        <v>0</v>
      </c>
      <c r="T21" s="27">
        <f t="shared" si="12"/>
        <v>4</v>
      </c>
      <c r="U21" s="27">
        <f t="shared" si="12"/>
        <v>0</v>
      </c>
      <c r="V21" s="28">
        <f t="shared" si="12"/>
        <v>0</v>
      </c>
      <c r="W21" s="29">
        <f t="shared" si="12"/>
        <v>261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0.39980857909011353</v>
      </c>
      <c r="AC21" s="4">
        <f>SUM(AC6:AC20)/15</f>
        <v>0.2638888888888889</v>
      </c>
      <c r="AD21" s="4">
        <f>SUM(AD6:AD20)/15</f>
        <v>0.26372775342596078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465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471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196" t="s">
        <v>46</v>
      </c>
      <c r="D50" s="196" t="s">
        <v>47</v>
      </c>
      <c r="E50" s="196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196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114</v>
      </c>
      <c r="B51" s="421"/>
      <c r="C51" s="195" t="s">
        <v>304</v>
      </c>
      <c r="D51" s="192" t="s">
        <v>213</v>
      </c>
      <c r="E51" s="195" t="s">
        <v>397</v>
      </c>
      <c r="F51" s="405" t="s">
        <v>466</v>
      </c>
      <c r="G51" s="405"/>
      <c r="H51" s="405"/>
      <c r="I51" s="405"/>
      <c r="J51" s="405"/>
      <c r="K51" s="405"/>
      <c r="L51" s="405"/>
      <c r="M51" s="415"/>
      <c r="N51" s="191" t="s">
        <v>114</v>
      </c>
      <c r="O51" s="74" t="s">
        <v>469</v>
      </c>
      <c r="P51" s="422" t="s">
        <v>213</v>
      </c>
      <c r="Q51" s="423"/>
      <c r="R51" s="414" t="s">
        <v>472</v>
      </c>
      <c r="S51" s="414"/>
      <c r="T51" s="414"/>
      <c r="U51" s="414"/>
      <c r="V51" s="405" t="s">
        <v>142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114</v>
      </c>
      <c r="B52" s="421"/>
      <c r="C52" s="195" t="s">
        <v>263</v>
      </c>
      <c r="D52" s="192" t="s">
        <v>140</v>
      </c>
      <c r="E52" s="195" t="s">
        <v>467</v>
      </c>
      <c r="F52" s="405" t="s">
        <v>339</v>
      </c>
      <c r="G52" s="405"/>
      <c r="H52" s="405"/>
      <c r="I52" s="405"/>
      <c r="J52" s="405"/>
      <c r="K52" s="405"/>
      <c r="L52" s="405"/>
      <c r="M52" s="415"/>
      <c r="N52" s="191"/>
      <c r="O52" s="74"/>
      <c r="P52" s="422"/>
      <c r="Q52" s="423"/>
      <c r="R52" s="414"/>
      <c r="S52" s="414"/>
      <c r="T52" s="414"/>
      <c r="U52" s="414"/>
      <c r="V52" s="405"/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468</v>
      </c>
      <c r="B53" s="421"/>
      <c r="C53" s="195" t="s">
        <v>469</v>
      </c>
      <c r="D53" s="192" t="s">
        <v>470</v>
      </c>
      <c r="E53" s="195" t="s">
        <v>464</v>
      </c>
      <c r="F53" s="405" t="s">
        <v>339</v>
      </c>
      <c r="G53" s="405"/>
      <c r="H53" s="405"/>
      <c r="I53" s="405"/>
      <c r="J53" s="405"/>
      <c r="K53" s="405"/>
      <c r="L53" s="405"/>
      <c r="M53" s="415"/>
      <c r="N53" s="191"/>
      <c r="O53" s="74"/>
      <c r="P53" s="414"/>
      <c r="Q53" s="414"/>
      <c r="R53" s="414"/>
      <c r="S53" s="414"/>
      <c r="T53" s="414"/>
      <c r="U53" s="414"/>
      <c r="V53" s="405"/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/>
      <c r="B54" s="421"/>
      <c r="C54" s="195"/>
      <c r="D54" s="192"/>
      <c r="E54" s="195"/>
      <c r="F54" s="405"/>
      <c r="G54" s="405"/>
      <c r="H54" s="405"/>
      <c r="I54" s="405"/>
      <c r="J54" s="405"/>
      <c r="K54" s="405"/>
      <c r="L54" s="405"/>
      <c r="M54" s="415"/>
      <c r="N54" s="191"/>
      <c r="O54" s="74"/>
      <c r="P54" s="422"/>
      <c r="Q54" s="423"/>
      <c r="R54" s="414"/>
      <c r="S54" s="414"/>
      <c r="T54" s="414"/>
      <c r="U54" s="414"/>
      <c r="V54" s="405"/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195"/>
      <c r="D55" s="192"/>
      <c r="E55" s="195"/>
      <c r="F55" s="405"/>
      <c r="G55" s="405"/>
      <c r="H55" s="405"/>
      <c r="I55" s="405"/>
      <c r="J55" s="405"/>
      <c r="K55" s="405"/>
      <c r="L55" s="405"/>
      <c r="M55" s="415"/>
      <c r="N55" s="191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195"/>
      <c r="D56" s="192"/>
      <c r="E56" s="195"/>
      <c r="F56" s="405"/>
      <c r="G56" s="405"/>
      <c r="H56" s="405"/>
      <c r="I56" s="405"/>
      <c r="J56" s="405"/>
      <c r="K56" s="405"/>
      <c r="L56" s="405"/>
      <c r="M56" s="415"/>
      <c r="N56" s="191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195"/>
      <c r="D57" s="192"/>
      <c r="E57" s="195"/>
      <c r="F57" s="405"/>
      <c r="G57" s="405"/>
      <c r="H57" s="405"/>
      <c r="I57" s="405"/>
      <c r="J57" s="405"/>
      <c r="K57" s="405"/>
      <c r="L57" s="405"/>
      <c r="M57" s="415"/>
      <c r="N57" s="191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195"/>
      <c r="D58" s="192"/>
      <c r="E58" s="195"/>
      <c r="F58" s="405"/>
      <c r="G58" s="405"/>
      <c r="H58" s="405"/>
      <c r="I58" s="405"/>
      <c r="J58" s="405"/>
      <c r="K58" s="405"/>
      <c r="L58" s="405"/>
      <c r="M58" s="415"/>
      <c r="N58" s="191"/>
      <c r="O58" s="74"/>
      <c r="P58" s="414"/>
      <c r="Q58" s="414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192"/>
      <c r="D59" s="192"/>
      <c r="E59" s="192"/>
      <c r="F59" s="405"/>
      <c r="G59" s="405"/>
      <c r="H59" s="405"/>
      <c r="I59" s="405"/>
      <c r="J59" s="405"/>
      <c r="K59" s="405"/>
      <c r="L59" s="405"/>
      <c r="M59" s="415"/>
      <c r="N59" s="191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194"/>
      <c r="D60" s="194"/>
      <c r="E60" s="194"/>
      <c r="F60" s="418"/>
      <c r="G60" s="418"/>
      <c r="H60" s="418"/>
      <c r="I60" s="418"/>
      <c r="J60" s="418"/>
      <c r="K60" s="418"/>
      <c r="L60" s="418"/>
      <c r="M60" s="419"/>
      <c r="N60" s="193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473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190" t="s">
        <v>2</v>
      </c>
      <c r="D62" s="190" t="s">
        <v>37</v>
      </c>
      <c r="E62" s="19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90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114</v>
      </c>
      <c r="D63" s="186"/>
      <c r="E63" s="189" t="s">
        <v>144</v>
      </c>
      <c r="F63" s="403" t="s">
        <v>457</v>
      </c>
      <c r="G63" s="395"/>
      <c r="H63" s="395"/>
      <c r="I63" s="395"/>
      <c r="J63" s="395"/>
      <c r="K63" s="395" t="s">
        <v>292</v>
      </c>
      <c r="L63" s="395"/>
      <c r="M63" s="54" t="s">
        <v>272</v>
      </c>
      <c r="N63" s="395">
        <v>8</v>
      </c>
      <c r="O63" s="395"/>
      <c r="P63" s="404">
        <v>50</v>
      </c>
      <c r="Q63" s="404"/>
      <c r="R63" s="405" t="s">
        <v>458</v>
      </c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122</v>
      </c>
      <c r="D64" s="186"/>
      <c r="E64" s="189"/>
      <c r="F64" s="403" t="s">
        <v>277</v>
      </c>
      <c r="G64" s="395"/>
      <c r="H64" s="395"/>
      <c r="I64" s="395"/>
      <c r="J64" s="395"/>
      <c r="K64" s="395" t="s">
        <v>133</v>
      </c>
      <c r="L64" s="395"/>
      <c r="M64" s="54" t="s">
        <v>272</v>
      </c>
      <c r="N64" s="395">
        <v>14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/>
      <c r="D65" s="186"/>
      <c r="E65" s="189"/>
      <c r="F65" s="403"/>
      <c r="G65" s="395"/>
      <c r="H65" s="395"/>
      <c r="I65" s="395"/>
      <c r="J65" s="395"/>
      <c r="K65" s="395"/>
      <c r="L65" s="395"/>
      <c r="M65" s="54"/>
      <c r="N65" s="395"/>
      <c r="O65" s="395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186"/>
      <c r="E66" s="189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186"/>
      <c r="E67" s="189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186"/>
      <c r="E68" s="189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186"/>
      <c r="E69" s="189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186"/>
      <c r="E70" s="189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474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188" t="s">
        <v>2</v>
      </c>
      <c r="D72" s="188" t="s">
        <v>37</v>
      </c>
      <c r="E72" s="188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187" t="s">
        <v>114</v>
      </c>
      <c r="D73" s="187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186" t="s">
        <v>114</v>
      </c>
      <c r="D74" s="186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186"/>
      <c r="D75" s="186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186"/>
      <c r="D76" s="186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186"/>
      <c r="D77" s="186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186"/>
      <c r="D78" s="186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186"/>
      <c r="D79" s="186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186"/>
      <c r="D80" s="186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186"/>
      <c r="D81" s="186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475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476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126</v>
      </c>
      <c r="G6" s="12">
        <v>1</v>
      </c>
      <c r="H6" s="13">
        <v>25</v>
      </c>
      <c r="I6" s="34">
        <v>1500</v>
      </c>
      <c r="J6" s="5">
        <v>4370</v>
      </c>
      <c r="K6" s="15">
        <f>L6+2884+4362</f>
        <v>7246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0.05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1510</v>
      </c>
      <c r="K7" s="15">
        <f>L7+3814+4589+2667+5183+5596+4810+5162+5299+4227+4836+5210+5235+5386+1503</f>
        <v>63517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0.05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114</v>
      </c>
      <c r="D8" s="55" t="s">
        <v>135</v>
      </c>
      <c r="E8" s="56" t="s">
        <v>427</v>
      </c>
      <c r="F8" s="12" t="s">
        <v>169</v>
      </c>
      <c r="G8" s="12">
        <v>1</v>
      </c>
      <c r="H8" s="13">
        <v>25</v>
      </c>
      <c r="I8" s="34">
        <v>3000</v>
      </c>
      <c r="J8" s="14">
        <v>3240</v>
      </c>
      <c r="K8" s="15">
        <f>L8+3234</f>
        <v>3234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0.05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144</v>
      </c>
      <c r="E9" s="57" t="s">
        <v>429</v>
      </c>
      <c r="F9" s="33" t="s">
        <v>371</v>
      </c>
      <c r="G9" s="36">
        <v>1</v>
      </c>
      <c r="H9" s="38">
        <v>25</v>
      </c>
      <c r="I9" s="7">
        <v>3000</v>
      </c>
      <c r="J9" s="5">
        <v>380</v>
      </c>
      <c r="K9" s="15">
        <f>L9+3827+380</f>
        <v>4207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0.05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213</v>
      </c>
      <c r="E10" s="57" t="s">
        <v>397</v>
      </c>
      <c r="F10" s="33" t="s">
        <v>415</v>
      </c>
      <c r="G10" s="36">
        <v>1</v>
      </c>
      <c r="H10" s="38">
        <v>25</v>
      </c>
      <c r="I10" s="7">
        <v>3000</v>
      </c>
      <c r="J10" s="5">
        <v>3770</v>
      </c>
      <c r="K10" s="15">
        <f>L10+3769</f>
        <v>3769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0.05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114</v>
      </c>
      <c r="D11" s="55" t="s">
        <v>140</v>
      </c>
      <c r="E11" s="57" t="s">
        <v>462</v>
      </c>
      <c r="F11" s="12" t="s">
        <v>443</v>
      </c>
      <c r="G11" s="12">
        <v>1</v>
      </c>
      <c r="H11" s="13">
        <v>25</v>
      </c>
      <c r="I11" s="34">
        <v>1500</v>
      </c>
      <c r="J11" s="14">
        <v>1932</v>
      </c>
      <c r="K11" s="15">
        <f>L11+3998</f>
        <v>5930</v>
      </c>
      <c r="L11" s="15">
        <v>1932</v>
      </c>
      <c r="M11" s="16">
        <f t="shared" si="0"/>
        <v>1932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/>
      <c r="T11" s="17"/>
      <c r="U11" s="17"/>
      <c r="V11" s="18"/>
      <c r="W11" s="19">
        <v>14</v>
      </c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0.05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186</v>
      </c>
      <c r="E12" s="57" t="s">
        <v>394</v>
      </c>
      <c r="F12" s="12" t="s">
        <v>371</v>
      </c>
      <c r="G12" s="12">
        <v>1</v>
      </c>
      <c r="H12" s="13">
        <v>25</v>
      </c>
      <c r="I12" s="7">
        <v>1000</v>
      </c>
      <c r="J12" s="14">
        <v>2221</v>
      </c>
      <c r="K12" s="15">
        <f>L12+2221</f>
        <v>2221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0.05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332</v>
      </c>
      <c r="D13" s="55" t="s">
        <v>372</v>
      </c>
      <c r="E13" s="57" t="s">
        <v>373</v>
      </c>
      <c r="F13" s="12" t="s">
        <v>335</v>
      </c>
      <c r="G13" s="12">
        <v>1</v>
      </c>
      <c r="H13" s="13">
        <v>25</v>
      </c>
      <c r="I13" s="7">
        <v>1000</v>
      </c>
      <c r="J13" s="14">
        <v>1100</v>
      </c>
      <c r="K13" s="15">
        <f>L13+1096</f>
        <v>1096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0.05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342</v>
      </c>
      <c r="K14" s="15">
        <f>L14+813+342</f>
        <v>1155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0.05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0.05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3240</v>
      </c>
      <c r="K16" s="15">
        <f>L16+4579+4501+4174+2520+4543+4907+5427+5521+5837+2726+4187+5435+4621+3330+4520+5370+3235</f>
        <v>75433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0.05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114</v>
      </c>
      <c r="D17" s="55" t="s">
        <v>147</v>
      </c>
      <c r="E17" s="56" t="s">
        <v>477</v>
      </c>
      <c r="F17" s="12" t="s">
        <v>415</v>
      </c>
      <c r="G17" s="12">
        <v>1</v>
      </c>
      <c r="H17" s="13">
        <v>25</v>
      </c>
      <c r="I17" s="34">
        <v>1000</v>
      </c>
      <c r="J17" s="5">
        <v>1160</v>
      </c>
      <c r="K17" s="15">
        <f>L17</f>
        <v>1160</v>
      </c>
      <c r="L17" s="15">
        <v>1160</v>
      </c>
      <c r="M17" s="16">
        <f t="shared" si="0"/>
        <v>1160</v>
      </c>
      <c r="N17" s="16">
        <v>0</v>
      </c>
      <c r="O17" s="62">
        <f t="shared" si="1"/>
        <v>0</v>
      </c>
      <c r="P17" s="42">
        <f t="shared" si="2"/>
        <v>8</v>
      </c>
      <c r="Q17" s="43">
        <f t="shared" si="3"/>
        <v>16</v>
      </c>
      <c r="R17" s="7"/>
      <c r="S17" s="6"/>
      <c r="T17" s="17">
        <v>1</v>
      </c>
      <c r="U17" s="17"/>
      <c r="V17" s="18"/>
      <c r="W17" s="19">
        <v>15</v>
      </c>
      <c r="X17" s="17"/>
      <c r="Y17" s="20"/>
      <c r="Z17" s="20"/>
      <c r="AA17" s="21"/>
      <c r="AB17" s="8">
        <f t="shared" si="4"/>
        <v>1</v>
      </c>
      <c r="AC17" s="9">
        <f t="shared" si="5"/>
        <v>0.33333333333333331</v>
      </c>
      <c r="AD17" s="10">
        <f t="shared" si="6"/>
        <v>0.33333333333333331</v>
      </c>
      <c r="AE17" s="39">
        <f t="shared" si="7"/>
        <v>0.05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186</v>
      </c>
      <c r="E18" s="57" t="s">
        <v>434</v>
      </c>
      <c r="F18" s="33" t="s">
        <v>371</v>
      </c>
      <c r="G18" s="36">
        <v>1</v>
      </c>
      <c r="H18" s="38">
        <v>25</v>
      </c>
      <c r="I18" s="7">
        <v>3000</v>
      </c>
      <c r="J18" s="5">
        <v>3200</v>
      </c>
      <c r="K18" s="15">
        <f>L18+3196</f>
        <v>3196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0.05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186</v>
      </c>
      <c r="E19" s="57" t="s">
        <v>374</v>
      </c>
      <c r="F19" s="12" t="s">
        <v>375</v>
      </c>
      <c r="G19" s="12">
        <v>2</v>
      </c>
      <c r="H19" s="13">
        <v>25</v>
      </c>
      <c r="I19" s="7">
        <v>4000</v>
      </c>
      <c r="J19" s="14">
        <v>4740</v>
      </c>
      <c r="K19" s="15">
        <f>L19+4732</f>
        <v>4732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0.05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0.05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392200</v>
      </c>
      <c r="J21" s="22">
        <f t="shared" si="11"/>
        <v>57916</v>
      </c>
      <c r="K21" s="23">
        <f t="shared" si="11"/>
        <v>278413</v>
      </c>
      <c r="L21" s="24">
        <f t="shared" si="11"/>
        <v>3092</v>
      </c>
      <c r="M21" s="23">
        <f t="shared" si="11"/>
        <v>3092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18</v>
      </c>
      <c r="Q21" s="46">
        <f t="shared" si="12"/>
        <v>342</v>
      </c>
      <c r="R21" s="26">
        <f t="shared" si="12"/>
        <v>0</v>
      </c>
      <c r="S21" s="27">
        <f t="shared" si="12"/>
        <v>0</v>
      </c>
      <c r="T21" s="27">
        <f t="shared" si="12"/>
        <v>1</v>
      </c>
      <c r="U21" s="27">
        <f t="shared" si="12"/>
        <v>0</v>
      </c>
      <c r="V21" s="28">
        <f t="shared" si="12"/>
        <v>0</v>
      </c>
      <c r="W21" s="29">
        <f t="shared" si="12"/>
        <v>341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0.13333333333333333</v>
      </c>
      <c r="AC21" s="4">
        <f>SUM(AC6:AC20)/15</f>
        <v>0.05</v>
      </c>
      <c r="AD21" s="4">
        <f>SUM(AD6:AD20)/15</f>
        <v>0.05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478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483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196" t="s">
        <v>46</v>
      </c>
      <c r="D50" s="196" t="s">
        <v>47</v>
      </c>
      <c r="E50" s="196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196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480</v>
      </c>
      <c r="B51" s="421"/>
      <c r="C51" s="195" t="s">
        <v>469</v>
      </c>
      <c r="D51" s="192" t="s">
        <v>481</v>
      </c>
      <c r="E51" s="195" t="s">
        <v>479</v>
      </c>
      <c r="F51" s="405" t="s">
        <v>482</v>
      </c>
      <c r="G51" s="405"/>
      <c r="H51" s="405"/>
      <c r="I51" s="405"/>
      <c r="J51" s="405"/>
      <c r="K51" s="405"/>
      <c r="L51" s="405"/>
      <c r="M51" s="415"/>
      <c r="N51" s="191" t="s">
        <v>114</v>
      </c>
      <c r="O51" s="74" t="s">
        <v>218</v>
      </c>
      <c r="P51" s="422" t="s">
        <v>484</v>
      </c>
      <c r="Q51" s="423"/>
      <c r="R51" s="414" t="s">
        <v>485</v>
      </c>
      <c r="S51" s="414"/>
      <c r="T51" s="414"/>
      <c r="U51" s="414"/>
      <c r="V51" s="405" t="s">
        <v>142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/>
      <c r="B52" s="421"/>
      <c r="C52" s="195"/>
      <c r="D52" s="192"/>
      <c r="E52" s="195"/>
      <c r="F52" s="405"/>
      <c r="G52" s="405"/>
      <c r="H52" s="405"/>
      <c r="I52" s="405"/>
      <c r="J52" s="405"/>
      <c r="K52" s="405"/>
      <c r="L52" s="405"/>
      <c r="M52" s="415"/>
      <c r="N52" s="191"/>
      <c r="O52" s="74"/>
      <c r="P52" s="422"/>
      <c r="Q52" s="423"/>
      <c r="R52" s="414"/>
      <c r="S52" s="414"/>
      <c r="T52" s="414"/>
      <c r="U52" s="414"/>
      <c r="V52" s="405"/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/>
      <c r="B53" s="421"/>
      <c r="C53" s="195"/>
      <c r="D53" s="192"/>
      <c r="E53" s="195"/>
      <c r="F53" s="405"/>
      <c r="G53" s="405"/>
      <c r="H53" s="405"/>
      <c r="I53" s="405"/>
      <c r="J53" s="405"/>
      <c r="K53" s="405"/>
      <c r="L53" s="405"/>
      <c r="M53" s="415"/>
      <c r="N53" s="191"/>
      <c r="O53" s="74"/>
      <c r="P53" s="414"/>
      <c r="Q53" s="414"/>
      <c r="R53" s="414"/>
      <c r="S53" s="414"/>
      <c r="T53" s="414"/>
      <c r="U53" s="414"/>
      <c r="V53" s="405"/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/>
      <c r="B54" s="421"/>
      <c r="C54" s="195"/>
      <c r="D54" s="192"/>
      <c r="E54" s="195"/>
      <c r="F54" s="405"/>
      <c r="G54" s="405"/>
      <c r="H54" s="405"/>
      <c r="I54" s="405"/>
      <c r="J54" s="405"/>
      <c r="K54" s="405"/>
      <c r="L54" s="405"/>
      <c r="M54" s="415"/>
      <c r="N54" s="191"/>
      <c r="O54" s="74"/>
      <c r="P54" s="422"/>
      <c r="Q54" s="423"/>
      <c r="R54" s="414"/>
      <c r="S54" s="414"/>
      <c r="T54" s="414"/>
      <c r="U54" s="414"/>
      <c r="V54" s="405"/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195"/>
      <c r="D55" s="192"/>
      <c r="E55" s="195"/>
      <c r="F55" s="405"/>
      <c r="G55" s="405"/>
      <c r="H55" s="405"/>
      <c r="I55" s="405"/>
      <c r="J55" s="405"/>
      <c r="K55" s="405"/>
      <c r="L55" s="405"/>
      <c r="M55" s="415"/>
      <c r="N55" s="191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195"/>
      <c r="D56" s="192"/>
      <c r="E56" s="195"/>
      <c r="F56" s="405"/>
      <c r="G56" s="405"/>
      <c r="H56" s="405"/>
      <c r="I56" s="405"/>
      <c r="J56" s="405"/>
      <c r="K56" s="405"/>
      <c r="L56" s="405"/>
      <c r="M56" s="415"/>
      <c r="N56" s="191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195"/>
      <c r="D57" s="192"/>
      <c r="E57" s="195"/>
      <c r="F57" s="405"/>
      <c r="G57" s="405"/>
      <c r="H57" s="405"/>
      <c r="I57" s="405"/>
      <c r="J57" s="405"/>
      <c r="K57" s="405"/>
      <c r="L57" s="405"/>
      <c r="M57" s="415"/>
      <c r="N57" s="191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195"/>
      <c r="D58" s="192"/>
      <c r="E58" s="195"/>
      <c r="F58" s="405"/>
      <c r="G58" s="405"/>
      <c r="H58" s="405"/>
      <c r="I58" s="405"/>
      <c r="J58" s="405"/>
      <c r="K58" s="405"/>
      <c r="L58" s="405"/>
      <c r="M58" s="415"/>
      <c r="N58" s="191"/>
      <c r="O58" s="74"/>
      <c r="P58" s="414"/>
      <c r="Q58" s="414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192"/>
      <c r="D59" s="192"/>
      <c r="E59" s="192"/>
      <c r="F59" s="405"/>
      <c r="G59" s="405"/>
      <c r="H59" s="405"/>
      <c r="I59" s="405"/>
      <c r="J59" s="405"/>
      <c r="K59" s="405"/>
      <c r="L59" s="405"/>
      <c r="M59" s="415"/>
      <c r="N59" s="191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194"/>
      <c r="D60" s="194"/>
      <c r="E60" s="194"/>
      <c r="F60" s="418"/>
      <c r="G60" s="418"/>
      <c r="H60" s="418"/>
      <c r="I60" s="418"/>
      <c r="J60" s="418"/>
      <c r="K60" s="418"/>
      <c r="L60" s="418"/>
      <c r="M60" s="419"/>
      <c r="N60" s="193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486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190" t="s">
        <v>2</v>
      </c>
      <c r="D62" s="190" t="s">
        <v>37</v>
      </c>
      <c r="E62" s="19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90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487</v>
      </c>
      <c r="D63" s="186"/>
      <c r="E63" s="189" t="s">
        <v>121</v>
      </c>
      <c r="F63" s="403" t="s">
        <v>489</v>
      </c>
      <c r="G63" s="395"/>
      <c r="H63" s="395"/>
      <c r="I63" s="395"/>
      <c r="J63" s="395"/>
      <c r="K63" s="395" t="s">
        <v>490</v>
      </c>
      <c r="L63" s="395"/>
      <c r="M63" s="54" t="s">
        <v>491</v>
      </c>
      <c r="N63" s="395">
        <v>4</v>
      </c>
      <c r="O63" s="395"/>
      <c r="P63" s="404">
        <v>100</v>
      </c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488</v>
      </c>
      <c r="D64" s="186"/>
      <c r="E64" s="189" t="s">
        <v>213</v>
      </c>
      <c r="F64" s="403" t="s">
        <v>493</v>
      </c>
      <c r="G64" s="395"/>
      <c r="H64" s="395"/>
      <c r="I64" s="395"/>
      <c r="J64" s="395"/>
      <c r="K64" s="395" t="s">
        <v>494</v>
      </c>
      <c r="L64" s="395"/>
      <c r="M64" s="54" t="s">
        <v>491</v>
      </c>
      <c r="N64" s="395">
        <v>5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114</v>
      </c>
      <c r="D65" s="186"/>
      <c r="E65" s="189" t="s">
        <v>492</v>
      </c>
      <c r="F65" s="403" t="s">
        <v>495</v>
      </c>
      <c r="G65" s="395"/>
      <c r="H65" s="395"/>
      <c r="I65" s="395"/>
      <c r="J65" s="395"/>
      <c r="K65" s="395" t="s">
        <v>496</v>
      </c>
      <c r="L65" s="395"/>
      <c r="M65" s="54" t="s">
        <v>497</v>
      </c>
      <c r="N65" s="395">
        <v>8</v>
      </c>
      <c r="O65" s="395"/>
      <c r="P65" s="404">
        <v>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 t="s">
        <v>123</v>
      </c>
      <c r="D66" s="186"/>
      <c r="E66" s="189" t="s">
        <v>500</v>
      </c>
      <c r="F66" s="403" t="s">
        <v>498</v>
      </c>
      <c r="G66" s="395"/>
      <c r="H66" s="395"/>
      <c r="I66" s="395"/>
      <c r="J66" s="395"/>
      <c r="K66" s="395" t="s">
        <v>499</v>
      </c>
      <c r="L66" s="395"/>
      <c r="M66" s="54" t="s">
        <v>497</v>
      </c>
      <c r="N66" s="395">
        <v>13</v>
      </c>
      <c r="O66" s="395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186"/>
      <c r="E67" s="189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186"/>
      <c r="E68" s="189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186"/>
      <c r="E69" s="189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186"/>
      <c r="E70" s="189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501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188" t="s">
        <v>2</v>
      </c>
      <c r="D72" s="188" t="s">
        <v>37</v>
      </c>
      <c r="E72" s="188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187" t="s">
        <v>114</v>
      </c>
      <c r="D73" s="187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186" t="s">
        <v>114</v>
      </c>
      <c r="D74" s="186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186"/>
      <c r="D75" s="186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186"/>
      <c r="D76" s="186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186"/>
      <c r="D77" s="186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186"/>
      <c r="D78" s="186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186"/>
      <c r="D79" s="186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186"/>
      <c r="D80" s="186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186"/>
      <c r="D81" s="186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502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77" sqref="K77:S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503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126</v>
      </c>
      <c r="G6" s="12">
        <v>1</v>
      </c>
      <c r="H6" s="13">
        <v>25</v>
      </c>
      <c r="I6" s="34">
        <v>1500</v>
      </c>
      <c r="J6" s="5">
        <v>4370</v>
      </c>
      <c r="K6" s="15">
        <f>L6+2884+4362</f>
        <v>7246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2.777777777777778E-2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125</v>
      </c>
      <c r="E7" s="57" t="s">
        <v>127</v>
      </c>
      <c r="F7" s="33" t="s">
        <v>126</v>
      </c>
      <c r="G7" s="12">
        <v>1</v>
      </c>
      <c r="H7" s="13">
        <v>25</v>
      </c>
      <c r="I7" s="34">
        <v>70000</v>
      </c>
      <c r="J7" s="5">
        <v>1510</v>
      </c>
      <c r="K7" s="15">
        <f>L7+3814+4589+2667+5183+5596+4810+5162+5299+4227+4836+5210+5235+5386+1503</f>
        <v>63517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2.777777777777778E-2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114</v>
      </c>
      <c r="D8" s="55" t="s">
        <v>135</v>
      </c>
      <c r="E8" s="56" t="s">
        <v>427</v>
      </c>
      <c r="F8" s="12" t="s">
        <v>169</v>
      </c>
      <c r="G8" s="12">
        <v>1</v>
      </c>
      <c r="H8" s="13">
        <v>25</v>
      </c>
      <c r="I8" s="34">
        <v>3000</v>
      </c>
      <c r="J8" s="14">
        <v>3240</v>
      </c>
      <c r="K8" s="15">
        <f>L8+3234</f>
        <v>3234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2.777777777777778E-2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144</v>
      </c>
      <c r="E9" s="57" t="s">
        <v>429</v>
      </c>
      <c r="F9" s="33" t="s">
        <v>371</v>
      </c>
      <c r="G9" s="36">
        <v>1</v>
      </c>
      <c r="H9" s="38">
        <v>25</v>
      </c>
      <c r="I9" s="7">
        <v>3000</v>
      </c>
      <c r="J9" s="5">
        <v>380</v>
      </c>
      <c r="K9" s="15">
        <f>L9+3827+380</f>
        <v>4207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2.777777777777778E-2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213</v>
      </c>
      <c r="E10" s="57" t="s">
        <v>397</v>
      </c>
      <c r="F10" s="33" t="s">
        <v>415</v>
      </c>
      <c r="G10" s="36">
        <v>1</v>
      </c>
      <c r="H10" s="38">
        <v>25</v>
      </c>
      <c r="I10" s="7">
        <v>3000</v>
      </c>
      <c r="J10" s="5">
        <v>3770</v>
      </c>
      <c r="K10" s="15">
        <f>L10+3769</f>
        <v>3769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2.777777777777778E-2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114</v>
      </c>
      <c r="D11" s="55" t="s">
        <v>140</v>
      </c>
      <c r="E11" s="57" t="s">
        <v>462</v>
      </c>
      <c r="F11" s="12" t="s">
        <v>443</v>
      </c>
      <c r="G11" s="12">
        <v>1</v>
      </c>
      <c r="H11" s="13">
        <v>25</v>
      </c>
      <c r="I11" s="34">
        <v>1500</v>
      </c>
      <c r="J11" s="14">
        <v>1932</v>
      </c>
      <c r="K11" s="15">
        <f>L11+3998+1932</f>
        <v>5930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2.777777777777778E-2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504</v>
      </c>
      <c r="E12" s="57" t="s">
        <v>505</v>
      </c>
      <c r="F12" s="12" t="s">
        <v>371</v>
      </c>
      <c r="G12" s="12">
        <v>1</v>
      </c>
      <c r="H12" s="13">
        <v>25</v>
      </c>
      <c r="I12" s="7">
        <v>100</v>
      </c>
      <c r="J12" s="14">
        <v>2221</v>
      </c>
      <c r="K12" s="15">
        <f>L12</f>
        <v>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2.777777777777778E-2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512</v>
      </c>
      <c r="E13" s="57" t="s">
        <v>513</v>
      </c>
      <c r="F13" s="12" t="s">
        <v>507</v>
      </c>
      <c r="G13" s="12">
        <v>1</v>
      </c>
      <c r="H13" s="13">
        <v>25</v>
      </c>
      <c r="I13" s="7">
        <v>12000</v>
      </c>
      <c r="J13" s="14">
        <v>1848</v>
      </c>
      <c r="K13" s="15">
        <f>L13</f>
        <v>1848</v>
      </c>
      <c r="L13" s="15">
        <v>1848</v>
      </c>
      <c r="M13" s="16">
        <f t="shared" si="0"/>
        <v>1848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>
        <v>14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9">
        <f t="shared" si="7"/>
        <v>2.777777777777778E-2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342</v>
      </c>
      <c r="K14" s="15">
        <f>L14+813+342</f>
        <v>1155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2.777777777777778E-2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2.777777777777778E-2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3240</v>
      </c>
      <c r="K16" s="15">
        <f>L16+4579+4501+4174+2520+4543+4907+5427+5521+5837+2726+4187+5435+4621+3330+4520+5370+3235</f>
        <v>75433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2.777777777777778E-2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114</v>
      </c>
      <c r="D17" s="55" t="s">
        <v>147</v>
      </c>
      <c r="E17" s="56" t="s">
        <v>477</v>
      </c>
      <c r="F17" s="12" t="s">
        <v>415</v>
      </c>
      <c r="G17" s="12">
        <v>1</v>
      </c>
      <c r="H17" s="13">
        <v>25</v>
      </c>
      <c r="I17" s="34">
        <v>1000</v>
      </c>
      <c r="J17" s="5">
        <v>1160</v>
      </c>
      <c r="K17" s="15">
        <f>L17+1160</f>
        <v>1160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16</v>
      </c>
      <c r="R17" s="7"/>
      <c r="S17" s="6"/>
      <c r="T17" s="17">
        <v>1</v>
      </c>
      <c r="U17" s="17"/>
      <c r="V17" s="18"/>
      <c r="W17" s="19">
        <v>15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2.777777777777778E-2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186</v>
      </c>
      <c r="E18" s="57" t="s">
        <v>434</v>
      </c>
      <c r="F18" s="33" t="s">
        <v>371</v>
      </c>
      <c r="G18" s="36">
        <v>1</v>
      </c>
      <c r="H18" s="38">
        <v>25</v>
      </c>
      <c r="I18" s="7">
        <v>3000</v>
      </c>
      <c r="J18" s="5">
        <v>3200</v>
      </c>
      <c r="K18" s="15">
        <f>L18+3196</f>
        <v>3196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2.777777777777778E-2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186</v>
      </c>
      <c r="E19" s="57" t="s">
        <v>374</v>
      </c>
      <c r="F19" s="12" t="s">
        <v>375</v>
      </c>
      <c r="G19" s="12">
        <v>2</v>
      </c>
      <c r="H19" s="13">
        <v>25</v>
      </c>
      <c r="I19" s="7">
        <v>4000</v>
      </c>
      <c r="J19" s="14">
        <v>4740</v>
      </c>
      <c r="K19" s="15">
        <f>L19+4732</f>
        <v>4732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2.777777777777778E-2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2.777777777777778E-2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402300</v>
      </c>
      <c r="J21" s="22">
        <f t="shared" si="11"/>
        <v>58664</v>
      </c>
      <c r="K21" s="23">
        <f t="shared" si="11"/>
        <v>276944</v>
      </c>
      <c r="L21" s="24">
        <f t="shared" si="11"/>
        <v>1848</v>
      </c>
      <c r="M21" s="23">
        <f t="shared" si="11"/>
        <v>1848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10</v>
      </c>
      <c r="Q21" s="46">
        <f t="shared" si="12"/>
        <v>342</v>
      </c>
      <c r="R21" s="26">
        <f t="shared" si="12"/>
        <v>0</v>
      </c>
      <c r="S21" s="27">
        <f t="shared" si="12"/>
        <v>24</v>
      </c>
      <c r="T21" s="27">
        <f t="shared" si="12"/>
        <v>1</v>
      </c>
      <c r="U21" s="27">
        <f t="shared" si="12"/>
        <v>0</v>
      </c>
      <c r="V21" s="28">
        <f t="shared" si="12"/>
        <v>14</v>
      </c>
      <c r="W21" s="29">
        <f t="shared" si="12"/>
        <v>303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6.6666666666666666E-2</v>
      </c>
      <c r="AC21" s="4">
        <f>SUM(AC6:AC20)/15</f>
        <v>2.777777777777778E-2</v>
      </c>
      <c r="AD21" s="4">
        <f>SUM(AD6:AD20)/15</f>
        <v>2.777777777777778E-2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508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515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199" t="s">
        <v>46</v>
      </c>
      <c r="D50" s="199" t="s">
        <v>47</v>
      </c>
      <c r="E50" s="199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199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480</v>
      </c>
      <c r="B51" s="421"/>
      <c r="C51" s="200" t="s">
        <v>509</v>
      </c>
      <c r="D51" s="201" t="s">
        <v>504</v>
      </c>
      <c r="E51" s="200" t="s">
        <v>505</v>
      </c>
      <c r="F51" s="405" t="s">
        <v>510</v>
      </c>
      <c r="G51" s="405"/>
      <c r="H51" s="405"/>
      <c r="I51" s="405"/>
      <c r="J51" s="405"/>
      <c r="K51" s="405"/>
      <c r="L51" s="405"/>
      <c r="M51" s="415"/>
      <c r="N51" s="205" t="s">
        <v>114</v>
      </c>
      <c r="O51" s="74" t="s">
        <v>218</v>
      </c>
      <c r="P51" s="422" t="s">
        <v>484</v>
      </c>
      <c r="Q51" s="423"/>
      <c r="R51" s="414" t="s">
        <v>485</v>
      </c>
      <c r="S51" s="414"/>
      <c r="T51" s="414"/>
      <c r="U51" s="414"/>
      <c r="V51" s="405" t="s">
        <v>516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511</v>
      </c>
      <c r="B52" s="421"/>
      <c r="C52" s="200" t="s">
        <v>134</v>
      </c>
      <c r="D52" s="201" t="s">
        <v>512</v>
      </c>
      <c r="E52" s="200" t="s">
        <v>506</v>
      </c>
      <c r="F52" s="405" t="s">
        <v>514</v>
      </c>
      <c r="G52" s="405"/>
      <c r="H52" s="405"/>
      <c r="I52" s="405"/>
      <c r="J52" s="405"/>
      <c r="K52" s="405"/>
      <c r="L52" s="405"/>
      <c r="M52" s="415"/>
      <c r="N52" s="205" t="s">
        <v>517</v>
      </c>
      <c r="O52" s="74" t="s">
        <v>518</v>
      </c>
      <c r="P52" s="422" t="s">
        <v>519</v>
      </c>
      <c r="Q52" s="423"/>
      <c r="R52" s="414" t="s">
        <v>520</v>
      </c>
      <c r="S52" s="414"/>
      <c r="T52" s="414"/>
      <c r="U52" s="414"/>
      <c r="V52" s="405" t="s">
        <v>521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/>
      <c r="B53" s="421"/>
      <c r="C53" s="200"/>
      <c r="D53" s="201"/>
      <c r="E53" s="200"/>
      <c r="F53" s="405"/>
      <c r="G53" s="405"/>
      <c r="H53" s="405"/>
      <c r="I53" s="405"/>
      <c r="J53" s="405"/>
      <c r="K53" s="405"/>
      <c r="L53" s="405"/>
      <c r="M53" s="415"/>
      <c r="N53" s="205" t="s">
        <v>511</v>
      </c>
      <c r="O53" s="74" t="s">
        <v>523</v>
      </c>
      <c r="P53" s="414" t="s">
        <v>524</v>
      </c>
      <c r="Q53" s="414"/>
      <c r="R53" s="414" t="s">
        <v>522</v>
      </c>
      <c r="S53" s="414"/>
      <c r="T53" s="414"/>
      <c r="U53" s="414"/>
      <c r="V53" s="405" t="s">
        <v>521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/>
      <c r="B54" s="421"/>
      <c r="C54" s="200"/>
      <c r="D54" s="201"/>
      <c r="E54" s="200"/>
      <c r="F54" s="405"/>
      <c r="G54" s="405"/>
      <c r="H54" s="405"/>
      <c r="I54" s="405"/>
      <c r="J54" s="405"/>
      <c r="K54" s="405"/>
      <c r="L54" s="405"/>
      <c r="M54" s="415"/>
      <c r="N54" s="205" t="s">
        <v>526</v>
      </c>
      <c r="O54" s="74" t="s">
        <v>527</v>
      </c>
      <c r="P54" s="422" t="s">
        <v>528</v>
      </c>
      <c r="Q54" s="423"/>
      <c r="R54" s="414" t="s">
        <v>525</v>
      </c>
      <c r="S54" s="414"/>
      <c r="T54" s="414"/>
      <c r="U54" s="414"/>
      <c r="V54" s="405" t="s">
        <v>521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200"/>
      <c r="D55" s="201"/>
      <c r="E55" s="200"/>
      <c r="F55" s="405"/>
      <c r="G55" s="405"/>
      <c r="H55" s="405"/>
      <c r="I55" s="405"/>
      <c r="J55" s="405"/>
      <c r="K55" s="405"/>
      <c r="L55" s="405"/>
      <c r="M55" s="415"/>
      <c r="N55" s="205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200"/>
      <c r="D56" s="201"/>
      <c r="E56" s="200"/>
      <c r="F56" s="405"/>
      <c r="G56" s="405"/>
      <c r="H56" s="405"/>
      <c r="I56" s="405"/>
      <c r="J56" s="405"/>
      <c r="K56" s="405"/>
      <c r="L56" s="405"/>
      <c r="M56" s="415"/>
      <c r="N56" s="205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00"/>
      <c r="D57" s="201"/>
      <c r="E57" s="200"/>
      <c r="F57" s="405"/>
      <c r="G57" s="405"/>
      <c r="H57" s="405"/>
      <c r="I57" s="405"/>
      <c r="J57" s="405"/>
      <c r="K57" s="405"/>
      <c r="L57" s="405"/>
      <c r="M57" s="415"/>
      <c r="N57" s="205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00"/>
      <c r="D58" s="201"/>
      <c r="E58" s="200"/>
      <c r="F58" s="405"/>
      <c r="G58" s="405"/>
      <c r="H58" s="405"/>
      <c r="I58" s="405"/>
      <c r="J58" s="405"/>
      <c r="K58" s="405"/>
      <c r="L58" s="405"/>
      <c r="M58" s="415"/>
      <c r="N58" s="205"/>
      <c r="O58" s="74"/>
      <c r="P58" s="414"/>
      <c r="Q58" s="414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201"/>
      <c r="D59" s="201"/>
      <c r="E59" s="201"/>
      <c r="F59" s="405"/>
      <c r="G59" s="405"/>
      <c r="H59" s="405"/>
      <c r="I59" s="405"/>
      <c r="J59" s="405"/>
      <c r="K59" s="405"/>
      <c r="L59" s="405"/>
      <c r="M59" s="415"/>
      <c r="N59" s="205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203"/>
      <c r="D60" s="203"/>
      <c r="E60" s="203"/>
      <c r="F60" s="418"/>
      <c r="G60" s="418"/>
      <c r="H60" s="418"/>
      <c r="I60" s="418"/>
      <c r="J60" s="418"/>
      <c r="K60" s="418"/>
      <c r="L60" s="418"/>
      <c r="M60" s="419"/>
      <c r="N60" s="202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529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204" t="s">
        <v>2</v>
      </c>
      <c r="D62" s="204" t="s">
        <v>37</v>
      </c>
      <c r="E62" s="204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04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123</v>
      </c>
      <c r="D63" s="208"/>
      <c r="E63" s="206" t="s">
        <v>500</v>
      </c>
      <c r="F63" s="403" t="s">
        <v>498</v>
      </c>
      <c r="G63" s="395"/>
      <c r="H63" s="395"/>
      <c r="I63" s="395"/>
      <c r="J63" s="395"/>
      <c r="K63" s="395" t="s">
        <v>499</v>
      </c>
      <c r="L63" s="395"/>
      <c r="M63" s="54" t="s">
        <v>497</v>
      </c>
      <c r="N63" s="395">
        <v>13</v>
      </c>
      <c r="O63" s="395"/>
      <c r="P63" s="404">
        <v>100</v>
      </c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530</v>
      </c>
      <c r="D64" s="208"/>
      <c r="E64" s="206" t="s">
        <v>531</v>
      </c>
      <c r="F64" s="403" t="s">
        <v>532</v>
      </c>
      <c r="G64" s="395"/>
      <c r="H64" s="395"/>
      <c r="I64" s="395"/>
      <c r="J64" s="395"/>
      <c r="K64" s="395" t="s">
        <v>533</v>
      </c>
      <c r="L64" s="395"/>
      <c r="M64" s="54" t="s">
        <v>534</v>
      </c>
      <c r="N64" s="395">
        <v>15</v>
      </c>
      <c r="O64" s="395"/>
      <c r="P64" s="404">
        <v>100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511</v>
      </c>
      <c r="D65" s="208"/>
      <c r="E65" s="206" t="s">
        <v>535</v>
      </c>
      <c r="F65" s="403" t="s">
        <v>536</v>
      </c>
      <c r="G65" s="395"/>
      <c r="H65" s="395"/>
      <c r="I65" s="395"/>
      <c r="J65" s="395"/>
      <c r="K65" s="395">
        <v>7301</v>
      </c>
      <c r="L65" s="395"/>
      <c r="M65" s="54" t="s">
        <v>537</v>
      </c>
      <c r="N65" s="395">
        <v>11</v>
      </c>
      <c r="O65" s="395"/>
      <c r="P65" s="404">
        <v>50</v>
      </c>
      <c r="Q65" s="404"/>
      <c r="R65" s="405" t="s">
        <v>538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 t="s">
        <v>123</v>
      </c>
      <c r="D66" s="208"/>
      <c r="E66" s="206" t="s">
        <v>539</v>
      </c>
      <c r="F66" s="403" t="s">
        <v>540</v>
      </c>
      <c r="G66" s="395"/>
      <c r="H66" s="395"/>
      <c r="I66" s="395"/>
      <c r="J66" s="395"/>
      <c r="K66" s="395" t="s">
        <v>541</v>
      </c>
      <c r="L66" s="395"/>
      <c r="M66" s="54" t="s">
        <v>542</v>
      </c>
      <c r="N66" s="395">
        <v>14</v>
      </c>
      <c r="O66" s="395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208"/>
      <c r="E67" s="206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208"/>
      <c r="E68" s="206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208"/>
      <c r="E69" s="206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208"/>
      <c r="E70" s="206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543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207" t="s">
        <v>2</v>
      </c>
      <c r="D72" s="207" t="s">
        <v>37</v>
      </c>
      <c r="E72" s="207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209" t="s">
        <v>114</v>
      </c>
      <c r="D73" s="209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208" t="s">
        <v>114</v>
      </c>
      <c r="D74" s="208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208"/>
      <c r="D75" s="208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208"/>
      <c r="D76" s="208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208"/>
      <c r="D77" s="208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208"/>
      <c r="D78" s="208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208"/>
      <c r="D79" s="208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208"/>
      <c r="D80" s="208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208"/>
      <c r="D81" s="208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544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sqref="A1:O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661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21" t="s">
        <v>17</v>
      </c>
      <c r="L5" s="221" t="s">
        <v>18</v>
      </c>
      <c r="M5" s="221" t="s">
        <v>19</v>
      </c>
      <c r="N5" s="22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282</v>
      </c>
      <c r="D6" s="55"/>
      <c r="E6" s="57" t="s">
        <v>283</v>
      </c>
      <c r="F6" s="33" t="s">
        <v>126</v>
      </c>
      <c r="G6" s="12">
        <v>1</v>
      </c>
      <c r="H6" s="13">
        <v>25</v>
      </c>
      <c r="I6" s="34">
        <v>1500</v>
      </c>
      <c r="J6" s="5">
        <v>4370</v>
      </c>
      <c r="K6" s="15">
        <f>L6+2884+4362</f>
        <v>7246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6.9383680555555563E-2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545</v>
      </c>
      <c r="D7" s="55" t="s">
        <v>546</v>
      </c>
      <c r="E7" s="57" t="s">
        <v>547</v>
      </c>
      <c r="F7" s="33" t="s">
        <v>548</v>
      </c>
      <c r="G7" s="12">
        <v>3</v>
      </c>
      <c r="H7" s="13">
        <v>25</v>
      </c>
      <c r="I7" s="34">
        <v>30000</v>
      </c>
      <c r="J7" s="5">
        <v>7002</v>
      </c>
      <c r="K7" s="15">
        <f>L7</f>
        <v>7002</v>
      </c>
      <c r="L7" s="15">
        <f>2334*3</f>
        <v>7002</v>
      </c>
      <c r="M7" s="16">
        <f t="shared" si="0"/>
        <v>7002</v>
      </c>
      <c r="N7" s="16">
        <v>0</v>
      </c>
      <c r="O7" s="62">
        <f t="shared" si="1"/>
        <v>0</v>
      </c>
      <c r="P7" s="42">
        <f t="shared" si="2"/>
        <v>10</v>
      </c>
      <c r="Q7" s="43">
        <f t="shared" si="3"/>
        <v>14</v>
      </c>
      <c r="R7" s="7"/>
      <c r="S7" s="6"/>
      <c r="T7" s="17"/>
      <c r="U7" s="17"/>
      <c r="V7" s="18">
        <v>14</v>
      </c>
      <c r="W7" s="19"/>
      <c r="X7" s="17"/>
      <c r="Y7" s="20"/>
      <c r="Z7" s="20"/>
      <c r="AA7" s="21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9">
        <f t="shared" si="7"/>
        <v>6.9383680555555563E-2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114</v>
      </c>
      <c r="D8" s="55" t="s">
        <v>135</v>
      </c>
      <c r="E8" s="56" t="s">
        <v>427</v>
      </c>
      <c r="F8" s="12" t="s">
        <v>169</v>
      </c>
      <c r="G8" s="12">
        <v>1</v>
      </c>
      <c r="H8" s="13">
        <v>25</v>
      </c>
      <c r="I8" s="34">
        <v>3000</v>
      </c>
      <c r="J8" s="14">
        <v>3240</v>
      </c>
      <c r="K8" s="15">
        <f>L8+3234</f>
        <v>3234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6.9383680555555563E-2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144</v>
      </c>
      <c r="E9" s="57" t="s">
        <v>429</v>
      </c>
      <c r="F9" s="33" t="s">
        <v>371</v>
      </c>
      <c r="G9" s="36">
        <v>1</v>
      </c>
      <c r="H9" s="38">
        <v>25</v>
      </c>
      <c r="I9" s="7">
        <v>3000</v>
      </c>
      <c r="J9" s="5">
        <v>380</v>
      </c>
      <c r="K9" s="15">
        <f>L9+3827+380</f>
        <v>4207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6.9383680555555563E-2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213</v>
      </c>
      <c r="E10" s="57" t="s">
        <v>397</v>
      </c>
      <c r="F10" s="33" t="s">
        <v>415</v>
      </c>
      <c r="G10" s="36">
        <v>1</v>
      </c>
      <c r="H10" s="38">
        <v>25</v>
      </c>
      <c r="I10" s="7">
        <v>3000</v>
      </c>
      <c r="J10" s="5">
        <v>3770</v>
      </c>
      <c r="K10" s="15">
        <f>L10+3769</f>
        <v>3769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6.9383680555555563E-2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114</v>
      </c>
      <c r="D11" s="55" t="s">
        <v>140</v>
      </c>
      <c r="E11" s="57" t="s">
        <v>462</v>
      </c>
      <c r="F11" s="12" t="s">
        <v>443</v>
      </c>
      <c r="G11" s="12">
        <v>1</v>
      </c>
      <c r="H11" s="13">
        <v>25</v>
      </c>
      <c r="I11" s="34">
        <v>1500</v>
      </c>
      <c r="J11" s="14">
        <v>1932</v>
      </c>
      <c r="K11" s="15">
        <f>L11+3998+1932</f>
        <v>5930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6.9383680555555563E-2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504</v>
      </c>
      <c r="E12" s="57" t="s">
        <v>505</v>
      </c>
      <c r="F12" s="12" t="s">
        <v>371</v>
      </c>
      <c r="G12" s="12">
        <v>1</v>
      </c>
      <c r="H12" s="13">
        <v>25</v>
      </c>
      <c r="I12" s="7">
        <v>100</v>
      </c>
      <c r="J12" s="14">
        <v>231</v>
      </c>
      <c r="K12" s="15">
        <f>L12</f>
        <v>231</v>
      </c>
      <c r="L12" s="15">
        <v>231</v>
      </c>
      <c r="M12" s="16">
        <f t="shared" si="0"/>
        <v>231</v>
      </c>
      <c r="N12" s="16">
        <v>0</v>
      </c>
      <c r="O12" s="62">
        <f t="shared" si="1"/>
        <v>0</v>
      </c>
      <c r="P12" s="42">
        <f t="shared" si="2"/>
        <v>5</v>
      </c>
      <c r="Q12" s="43">
        <f t="shared" si="3"/>
        <v>19</v>
      </c>
      <c r="R12" s="7"/>
      <c r="S12" s="6">
        <v>5</v>
      </c>
      <c r="T12" s="17"/>
      <c r="U12" s="17"/>
      <c r="V12" s="18">
        <v>14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0.20833333333333334</v>
      </c>
      <c r="AD12" s="10">
        <f t="shared" si="6"/>
        <v>0.20833333333333334</v>
      </c>
      <c r="AE12" s="39">
        <f t="shared" si="7"/>
        <v>6.9383680555555563E-2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512</v>
      </c>
      <c r="E13" s="57" t="s">
        <v>513</v>
      </c>
      <c r="F13" s="12" t="s">
        <v>507</v>
      </c>
      <c r="G13" s="12">
        <v>1</v>
      </c>
      <c r="H13" s="13">
        <v>25</v>
      </c>
      <c r="I13" s="7">
        <v>12000</v>
      </c>
      <c r="J13" s="14">
        <v>3200</v>
      </c>
      <c r="K13" s="15">
        <f>L13+1848</f>
        <v>5041</v>
      </c>
      <c r="L13" s="15">
        <v>3193</v>
      </c>
      <c r="M13" s="16">
        <f t="shared" si="0"/>
        <v>3193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>
        <v>14</v>
      </c>
      <c r="W13" s="19"/>
      <c r="X13" s="17"/>
      <c r="Y13" s="20"/>
      <c r="Z13" s="20"/>
      <c r="AA13" s="21"/>
      <c r="AB13" s="8">
        <f t="shared" si="4"/>
        <v>0.99781249999999999</v>
      </c>
      <c r="AC13" s="9">
        <f t="shared" si="5"/>
        <v>0.41666666666666669</v>
      </c>
      <c r="AD13" s="10">
        <f t="shared" si="6"/>
        <v>0.41575520833333335</v>
      </c>
      <c r="AE13" s="39">
        <f t="shared" si="7"/>
        <v>6.9383680555555563E-2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342</v>
      </c>
      <c r="K14" s="15">
        <f>L14+813+342</f>
        <v>1155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6.9383680555555563E-2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6.9383680555555563E-2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125</v>
      </c>
      <c r="E16" s="56" t="s">
        <v>129</v>
      </c>
      <c r="F16" s="12">
        <v>7301</v>
      </c>
      <c r="G16" s="36">
        <v>1</v>
      </c>
      <c r="H16" s="38">
        <v>25</v>
      </c>
      <c r="I16" s="7">
        <v>70000</v>
      </c>
      <c r="J16" s="14">
        <v>3240</v>
      </c>
      <c r="K16" s="15">
        <f>L16+4579+4501+4174+2520+4543+4907+5427+5521+5837+2726+4187+5435+4621+3330+4520+5370+3235</f>
        <v>75433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6.9383680555555563E-2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114</v>
      </c>
      <c r="D17" s="55" t="s">
        <v>147</v>
      </c>
      <c r="E17" s="56" t="s">
        <v>477</v>
      </c>
      <c r="F17" s="12" t="s">
        <v>415</v>
      </c>
      <c r="G17" s="12">
        <v>1</v>
      </c>
      <c r="H17" s="13">
        <v>25</v>
      </c>
      <c r="I17" s="34">
        <v>1000</v>
      </c>
      <c r="J17" s="5">
        <v>1160</v>
      </c>
      <c r="K17" s="15">
        <f>L17+1160</f>
        <v>1160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6.9383680555555563E-2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186</v>
      </c>
      <c r="E18" s="57" t="s">
        <v>434</v>
      </c>
      <c r="F18" s="33" t="s">
        <v>371</v>
      </c>
      <c r="G18" s="36">
        <v>1</v>
      </c>
      <c r="H18" s="38">
        <v>25</v>
      </c>
      <c r="I18" s="7">
        <v>3000</v>
      </c>
      <c r="J18" s="5">
        <v>3200</v>
      </c>
      <c r="K18" s="15">
        <f>L18+3196</f>
        <v>3196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6.9383680555555563E-2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186</v>
      </c>
      <c r="E19" s="57" t="s">
        <v>374</v>
      </c>
      <c r="F19" s="12" t="s">
        <v>375</v>
      </c>
      <c r="G19" s="12">
        <v>2</v>
      </c>
      <c r="H19" s="13">
        <v>25</v>
      </c>
      <c r="I19" s="7">
        <v>4000</v>
      </c>
      <c r="J19" s="14">
        <v>4740</v>
      </c>
      <c r="K19" s="15">
        <f>L19+4732</f>
        <v>4732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6.9383680555555563E-2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141</v>
      </c>
      <c r="F20" s="12" t="s">
        <v>133</v>
      </c>
      <c r="G20" s="12">
        <v>4</v>
      </c>
      <c r="H20" s="38">
        <v>20</v>
      </c>
      <c r="I20" s="7">
        <v>200000</v>
      </c>
      <c r="J20" s="14">
        <v>23900</v>
      </c>
      <c r="K20" s="15">
        <f>L20+27152+23896</f>
        <v>51048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6.9383680555555563E-2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362300</v>
      </c>
      <c r="J21" s="22">
        <f t="shared" si="11"/>
        <v>63518</v>
      </c>
      <c r="K21" s="23">
        <f t="shared" si="11"/>
        <v>223853</v>
      </c>
      <c r="L21" s="24">
        <f t="shared" si="11"/>
        <v>10426</v>
      </c>
      <c r="M21" s="23">
        <f t="shared" si="11"/>
        <v>10426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25</v>
      </c>
      <c r="Q21" s="46">
        <f t="shared" si="12"/>
        <v>335</v>
      </c>
      <c r="R21" s="26">
        <f t="shared" si="12"/>
        <v>0</v>
      </c>
      <c r="S21" s="27">
        <f t="shared" si="12"/>
        <v>5</v>
      </c>
      <c r="T21" s="27">
        <f t="shared" si="12"/>
        <v>0</v>
      </c>
      <c r="U21" s="27">
        <f t="shared" si="12"/>
        <v>0</v>
      </c>
      <c r="V21" s="28">
        <f t="shared" si="12"/>
        <v>42</v>
      </c>
      <c r="W21" s="29">
        <f t="shared" si="12"/>
        <v>288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0.19985416666666669</v>
      </c>
      <c r="AC21" s="4">
        <f>SUM(AC6:AC20)/15</f>
        <v>6.9444444444444448E-2</v>
      </c>
      <c r="AD21" s="4">
        <f>SUM(AD6:AD20)/15</f>
        <v>6.9383680555555563E-2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549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554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220" t="s">
        <v>46</v>
      </c>
      <c r="D50" s="220" t="s">
        <v>47</v>
      </c>
      <c r="E50" s="220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220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480</v>
      </c>
      <c r="B51" s="421"/>
      <c r="C51" s="219" t="s">
        <v>509</v>
      </c>
      <c r="D51" s="216" t="s">
        <v>504</v>
      </c>
      <c r="E51" s="219" t="s">
        <v>505</v>
      </c>
      <c r="F51" s="405" t="s">
        <v>550</v>
      </c>
      <c r="G51" s="405"/>
      <c r="H51" s="405"/>
      <c r="I51" s="405"/>
      <c r="J51" s="405"/>
      <c r="K51" s="405"/>
      <c r="L51" s="405"/>
      <c r="M51" s="415"/>
      <c r="N51" s="215" t="s">
        <v>122</v>
      </c>
      <c r="O51" s="74" t="s">
        <v>555</v>
      </c>
      <c r="P51" s="422" t="s">
        <v>125</v>
      </c>
      <c r="Q51" s="423"/>
      <c r="R51" s="414" t="s">
        <v>556</v>
      </c>
      <c r="S51" s="414"/>
      <c r="T51" s="414"/>
      <c r="U51" s="414"/>
      <c r="V51" s="405" t="s">
        <v>557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551</v>
      </c>
      <c r="B52" s="421"/>
      <c r="C52" s="219" t="s">
        <v>552</v>
      </c>
      <c r="D52" s="216" t="s">
        <v>553</v>
      </c>
      <c r="E52" s="219" t="s">
        <v>547</v>
      </c>
      <c r="F52" s="405" t="s">
        <v>514</v>
      </c>
      <c r="G52" s="405"/>
      <c r="H52" s="405"/>
      <c r="I52" s="405"/>
      <c r="J52" s="405"/>
      <c r="K52" s="405"/>
      <c r="L52" s="405"/>
      <c r="M52" s="415"/>
      <c r="N52" s="215" t="s">
        <v>122</v>
      </c>
      <c r="O52" s="74" t="s">
        <v>560</v>
      </c>
      <c r="P52" s="422" t="s">
        <v>558</v>
      </c>
      <c r="Q52" s="423"/>
      <c r="R52" s="414" t="s">
        <v>559</v>
      </c>
      <c r="S52" s="414"/>
      <c r="T52" s="414"/>
      <c r="U52" s="414"/>
      <c r="V52" s="405" t="s">
        <v>521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/>
      <c r="B53" s="421"/>
      <c r="C53" s="219"/>
      <c r="D53" s="216"/>
      <c r="E53" s="219"/>
      <c r="F53" s="405"/>
      <c r="G53" s="405"/>
      <c r="H53" s="405"/>
      <c r="I53" s="405"/>
      <c r="J53" s="405"/>
      <c r="K53" s="405"/>
      <c r="L53" s="405"/>
      <c r="M53" s="415"/>
      <c r="N53" s="215" t="s">
        <v>511</v>
      </c>
      <c r="O53" s="74" t="s">
        <v>523</v>
      </c>
      <c r="P53" s="414" t="s">
        <v>524</v>
      </c>
      <c r="Q53" s="414"/>
      <c r="R53" s="414" t="s">
        <v>522</v>
      </c>
      <c r="S53" s="414"/>
      <c r="T53" s="414"/>
      <c r="U53" s="414"/>
      <c r="V53" s="405" t="s">
        <v>521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/>
      <c r="B54" s="421"/>
      <c r="C54" s="219"/>
      <c r="D54" s="216"/>
      <c r="E54" s="219"/>
      <c r="F54" s="405"/>
      <c r="G54" s="405"/>
      <c r="H54" s="405"/>
      <c r="I54" s="405"/>
      <c r="J54" s="405"/>
      <c r="K54" s="405"/>
      <c r="L54" s="405"/>
      <c r="M54" s="415"/>
      <c r="N54" s="215" t="s">
        <v>561</v>
      </c>
      <c r="O54" s="74" t="s">
        <v>562</v>
      </c>
      <c r="P54" s="422" t="s">
        <v>563</v>
      </c>
      <c r="Q54" s="423"/>
      <c r="R54" s="414" t="s">
        <v>564</v>
      </c>
      <c r="S54" s="414"/>
      <c r="T54" s="414"/>
      <c r="U54" s="414"/>
      <c r="V54" s="405" t="s">
        <v>521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219"/>
      <c r="D55" s="216"/>
      <c r="E55" s="219"/>
      <c r="F55" s="405"/>
      <c r="G55" s="405"/>
      <c r="H55" s="405"/>
      <c r="I55" s="405"/>
      <c r="J55" s="405"/>
      <c r="K55" s="405"/>
      <c r="L55" s="405"/>
      <c r="M55" s="415"/>
      <c r="N55" s="215" t="s">
        <v>114</v>
      </c>
      <c r="O55" s="74" t="s">
        <v>565</v>
      </c>
      <c r="P55" s="422" t="s">
        <v>566</v>
      </c>
      <c r="Q55" s="423"/>
      <c r="R55" s="414" t="s">
        <v>567</v>
      </c>
      <c r="S55" s="414"/>
      <c r="T55" s="414"/>
      <c r="U55" s="414"/>
      <c r="V55" s="405" t="s">
        <v>568</v>
      </c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219"/>
      <c r="D56" s="216"/>
      <c r="E56" s="219"/>
      <c r="F56" s="405"/>
      <c r="G56" s="405"/>
      <c r="H56" s="405"/>
      <c r="I56" s="405"/>
      <c r="J56" s="405"/>
      <c r="K56" s="405"/>
      <c r="L56" s="405"/>
      <c r="M56" s="415"/>
      <c r="N56" s="215" t="s">
        <v>122</v>
      </c>
      <c r="O56" s="74" t="s">
        <v>569</v>
      </c>
      <c r="P56" s="414" t="s">
        <v>570</v>
      </c>
      <c r="Q56" s="414"/>
      <c r="R56" s="414" t="s">
        <v>571</v>
      </c>
      <c r="S56" s="414"/>
      <c r="T56" s="414"/>
      <c r="U56" s="414"/>
      <c r="V56" s="405" t="s">
        <v>557</v>
      </c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19"/>
      <c r="D57" s="216"/>
      <c r="E57" s="219"/>
      <c r="F57" s="405"/>
      <c r="G57" s="405"/>
      <c r="H57" s="405"/>
      <c r="I57" s="405"/>
      <c r="J57" s="405"/>
      <c r="K57" s="405"/>
      <c r="L57" s="405"/>
      <c r="M57" s="415"/>
      <c r="N57" s="215" t="s">
        <v>122</v>
      </c>
      <c r="O57" s="74" t="s">
        <v>575</v>
      </c>
      <c r="P57" s="422" t="s">
        <v>572</v>
      </c>
      <c r="Q57" s="423"/>
      <c r="R57" s="414" t="s">
        <v>573</v>
      </c>
      <c r="S57" s="414"/>
      <c r="T57" s="414"/>
      <c r="U57" s="414"/>
      <c r="V57" s="405" t="s">
        <v>521</v>
      </c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19"/>
      <c r="D58" s="216"/>
      <c r="E58" s="219"/>
      <c r="F58" s="405"/>
      <c r="G58" s="405"/>
      <c r="H58" s="405"/>
      <c r="I58" s="405"/>
      <c r="J58" s="405"/>
      <c r="K58" s="405"/>
      <c r="L58" s="405"/>
      <c r="M58" s="415"/>
      <c r="N58" s="215" t="s">
        <v>122</v>
      </c>
      <c r="O58" s="74" t="s">
        <v>574</v>
      </c>
      <c r="P58" s="422" t="s">
        <v>576</v>
      </c>
      <c r="Q58" s="423"/>
      <c r="R58" s="414" t="s">
        <v>577</v>
      </c>
      <c r="S58" s="414"/>
      <c r="T58" s="414"/>
      <c r="U58" s="414"/>
      <c r="V58" s="405" t="s">
        <v>521</v>
      </c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216"/>
      <c r="D59" s="216"/>
      <c r="E59" s="216"/>
      <c r="F59" s="405"/>
      <c r="G59" s="405"/>
      <c r="H59" s="405"/>
      <c r="I59" s="405"/>
      <c r="J59" s="405"/>
      <c r="K59" s="405"/>
      <c r="L59" s="405"/>
      <c r="M59" s="415"/>
      <c r="N59" s="215" t="s">
        <v>578</v>
      </c>
      <c r="O59" s="74" t="s">
        <v>579</v>
      </c>
      <c r="P59" s="414" t="s">
        <v>580</v>
      </c>
      <c r="Q59" s="414"/>
      <c r="R59" s="414"/>
      <c r="S59" s="414"/>
      <c r="T59" s="414"/>
      <c r="U59" s="414"/>
      <c r="V59" s="405" t="s">
        <v>521</v>
      </c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218"/>
      <c r="D60" s="218"/>
      <c r="E60" s="218"/>
      <c r="F60" s="418"/>
      <c r="G60" s="418"/>
      <c r="H60" s="418"/>
      <c r="I60" s="418"/>
      <c r="J60" s="418"/>
      <c r="K60" s="418"/>
      <c r="L60" s="418"/>
      <c r="M60" s="419"/>
      <c r="N60" s="217" t="s">
        <v>122</v>
      </c>
      <c r="O60" s="121" t="s">
        <v>581</v>
      </c>
      <c r="P60" s="417" t="s">
        <v>582</v>
      </c>
      <c r="Q60" s="417"/>
      <c r="R60" s="417" t="s">
        <v>583</v>
      </c>
      <c r="S60" s="417"/>
      <c r="T60" s="417"/>
      <c r="U60" s="417"/>
      <c r="V60" s="418" t="s">
        <v>584</v>
      </c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585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214" t="s">
        <v>2</v>
      </c>
      <c r="D62" s="214" t="s">
        <v>37</v>
      </c>
      <c r="E62" s="214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14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123</v>
      </c>
      <c r="D63" s="210"/>
      <c r="E63" s="213" t="s">
        <v>500</v>
      </c>
      <c r="F63" s="403" t="s">
        <v>498</v>
      </c>
      <c r="G63" s="395"/>
      <c r="H63" s="395"/>
      <c r="I63" s="395"/>
      <c r="J63" s="395"/>
      <c r="K63" s="395" t="s">
        <v>499</v>
      </c>
      <c r="L63" s="395"/>
      <c r="M63" s="54" t="s">
        <v>586</v>
      </c>
      <c r="N63" s="395">
        <v>13</v>
      </c>
      <c r="O63" s="395"/>
      <c r="P63" s="404">
        <v>2000</v>
      </c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114</v>
      </c>
      <c r="D64" s="210"/>
      <c r="E64" s="213" t="s">
        <v>558</v>
      </c>
      <c r="F64" s="403" t="s">
        <v>587</v>
      </c>
      <c r="G64" s="395"/>
      <c r="H64" s="395"/>
      <c r="I64" s="395"/>
      <c r="J64" s="395"/>
      <c r="K64" s="395">
        <v>7301</v>
      </c>
      <c r="L64" s="395"/>
      <c r="M64" s="54" t="s">
        <v>588</v>
      </c>
      <c r="N64" s="395">
        <v>11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511</v>
      </c>
      <c r="D65" s="210"/>
      <c r="E65" s="213" t="s">
        <v>589</v>
      </c>
      <c r="F65" s="403" t="s">
        <v>590</v>
      </c>
      <c r="G65" s="395"/>
      <c r="H65" s="395"/>
      <c r="I65" s="395"/>
      <c r="J65" s="395"/>
      <c r="K65" s="395">
        <v>7301</v>
      </c>
      <c r="L65" s="395"/>
      <c r="M65" s="54" t="s">
        <v>537</v>
      </c>
      <c r="N65" s="395">
        <v>11</v>
      </c>
      <c r="O65" s="395"/>
      <c r="P65" s="404">
        <v>50</v>
      </c>
      <c r="Q65" s="404"/>
      <c r="R65" s="405" t="s">
        <v>538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 t="s">
        <v>123</v>
      </c>
      <c r="D66" s="210"/>
      <c r="E66" s="213" t="s">
        <v>539</v>
      </c>
      <c r="F66" s="403" t="s">
        <v>591</v>
      </c>
      <c r="G66" s="395"/>
      <c r="H66" s="395"/>
      <c r="I66" s="395"/>
      <c r="J66" s="395"/>
      <c r="K66" s="395" t="s">
        <v>592</v>
      </c>
      <c r="L66" s="395"/>
      <c r="M66" s="54" t="s">
        <v>542</v>
      </c>
      <c r="N66" s="395">
        <v>14</v>
      </c>
      <c r="O66" s="395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210"/>
      <c r="E67" s="213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210"/>
      <c r="E68" s="213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210"/>
      <c r="E69" s="213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210"/>
      <c r="E70" s="213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593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212" t="s">
        <v>2</v>
      </c>
      <c r="D72" s="212" t="s">
        <v>37</v>
      </c>
      <c r="E72" s="212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211" t="s">
        <v>114</v>
      </c>
      <c r="D73" s="211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210" t="s">
        <v>114</v>
      </c>
      <c r="D74" s="210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210"/>
      <c r="D75" s="210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210"/>
      <c r="D76" s="210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210"/>
      <c r="D77" s="210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210"/>
      <c r="D78" s="210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210"/>
      <c r="D79" s="210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210"/>
      <c r="D80" s="210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210"/>
      <c r="D81" s="210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594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sqref="A1:O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660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595</v>
      </c>
      <c r="D6" s="55" t="s">
        <v>596</v>
      </c>
      <c r="E6" s="57" t="s">
        <v>597</v>
      </c>
      <c r="F6" s="33" t="s">
        <v>598</v>
      </c>
      <c r="G6" s="12">
        <v>2</v>
      </c>
      <c r="H6" s="13">
        <v>25</v>
      </c>
      <c r="I6" s="34">
        <v>20000</v>
      </c>
      <c r="J6" s="5">
        <v>6650</v>
      </c>
      <c r="K6" s="15">
        <f>L6</f>
        <v>6650</v>
      </c>
      <c r="L6" s="15">
        <f>1027*2+2298*2</f>
        <v>6650</v>
      </c>
      <c r="M6" s="16">
        <f t="shared" ref="M6:M21" si="0">L6-N6</f>
        <v>6650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20</v>
      </c>
      <c r="Q6" s="43">
        <f t="shared" ref="Q6:Q21" si="3">SUM(R6:AA6)</f>
        <v>4</v>
      </c>
      <c r="R6" s="7"/>
      <c r="S6" s="6"/>
      <c r="T6" s="17">
        <v>4</v>
      </c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0.83333333333333337</v>
      </c>
      <c r="AD6" s="10">
        <f t="shared" ref="AD6:AD21" si="6">AC6*AB6*(1-O6)</f>
        <v>0.83333333333333337</v>
      </c>
      <c r="AE6" s="39">
        <f t="shared" ref="AE6:AE21" si="7">$AD$22</f>
        <v>0.61922515757543195</v>
      </c>
      <c r="AF6" s="94">
        <f t="shared" ref="AF6:AF21" si="8">A6</f>
        <v>1</v>
      </c>
    </row>
    <row r="7" spans="1:36" ht="27" customHeight="1">
      <c r="A7" s="108">
        <v>2</v>
      </c>
      <c r="B7" s="11" t="s">
        <v>57</v>
      </c>
      <c r="C7" s="37" t="s">
        <v>545</v>
      </c>
      <c r="D7" s="55" t="s">
        <v>546</v>
      </c>
      <c r="E7" s="57" t="s">
        <v>547</v>
      </c>
      <c r="F7" s="33" t="s">
        <v>548</v>
      </c>
      <c r="G7" s="12">
        <v>3</v>
      </c>
      <c r="H7" s="13">
        <v>25</v>
      </c>
      <c r="I7" s="34">
        <v>30000</v>
      </c>
      <c r="J7" s="5">
        <v>13610</v>
      </c>
      <c r="K7" s="15">
        <f>L7+7002</f>
        <v>20604</v>
      </c>
      <c r="L7" s="15">
        <f>1826*3+2708*3</f>
        <v>13602</v>
      </c>
      <c r="M7" s="16">
        <f t="shared" si="0"/>
        <v>13602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0.99941219691403382</v>
      </c>
      <c r="AC7" s="9">
        <f t="shared" si="5"/>
        <v>1</v>
      </c>
      <c r="AD7" s="10">
        <f t="shared" si="6"/>
        <v>0.99941219691403382</v>
      </c>
      <c r="AE7" s="39">
        <f t="shared" si="7"/>
        <v>0.61922515757543195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595</v>
      </c>
      <c r="D8" s="55" t="s">
        <v>599</v>
      </c>
      <c r="E8" s="56" t="s">
        <v>600</v>
      </c>
      <c r="F8" s="12" t="s">
        <v>601</v>
      </c>
      <c r="G8" s="12" t="s">
        <v>602</v>
      </c>
      <c r="H8" s="13">
        <v>25</v>
      </c>
      <c r="I8" s="34">
        <v>2500</v>
      </c>
      <c r="J8" s="14">
        <v>3280</v>
      </c>
      <c r="K8" s="15">
        <f>L8</f>
        <v>3279</v>
      </c>
      <c r="L8" s="15">
        <f>2086+1193</f>
        <v>3279</v>
      </c>
      <c r="M8" s="16">
        <f t="shared" si="0"/>
        <v>3279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/>
      <c r="T8" s="17"/>
      <c r="U8" s="17"/>
      <c r="V8" s="18"/>
      <c r="W8" s="19">
        <v>5</v>
      </c>
      <c r="X8" s="17"/>
      <c r="Y8" s="20"/>
      <c r="Z8" s="20"/>
      <c r="AA8" s="21"/>
      <c r="AB8" s="8">
        <f t="shared" si="4"/>
        <v>0.99969512195121957</v>
      </c>
      <c r="AC8" s="9">
        <f t="shared" si="5"/>
        <v>0.79166666666666663</v>
      </c>
      <c r="AD8" s="10">
        <f t="shared" si="6"/>
        <v>0.79142530487804874</v>
      </c>
      <c r="AE8" s="39">
        <f t="shared" si="7"/>
        <v>0.61922515757543195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144</v>
      </c>
      <c r="E9" s="57" t="s">
        <v>429</v>
      </c>
      <c r="F9" s="33" t="s">
        <v>371</v>
      </c>
      <c r="G9" s="36">
        <v>1</v>
      </c>
      <c r="H9" s="38">
        <v>25</v>
      </c>
      <c r="I9" s="7">
        <v>3000</v>
      </c>
      <c r="J9" s="5">
        <v>380</v>
      </c>
      <c r="K9" s="15">
        <f>L9+3827+380</f>
        <v>4207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0.61922515757543195</v>
      </c>
      <c r="AF9" s="94">
        <f t="shared" ref="AF9:AF10" si="9">A9</f>
        <v>4</v>
      </c>
    </row>
    <row r="10" spans="1:36" ht="27" customHeight="1">
      <c r="A10" s="110">
        <v>5</v>
      </c>
      <c r="B10" s="11" t="s">
        <v>57</v>
      </c>
      <c r="C10" s="37" t="s">
        <v>114</v>
      </c>
      <c r="D10" s="55" t="s">
        <v>603</v>
      </c>
      <c r="E10" s="57" t="s">
        <v>604</v>
      </c>
      <c r="F10" s="33" t="s">
        <v>605</v>
      </c>
      <c r="G10" s="36">
        <v>1</v>
      </c>
      <c r="H10" s="38">
        <v>25</v>
      </c>
      <c r="I10" s="7">
        <v>500</v>
      </c>
      <c r="J10" s="5">
        <v>576</v>
      </c>
      <c r="K10" s="15">
        <f>L10</f>
        <v>576</v>
      </c>
      <c r="L10" s="15">
        <v>576</v>
      </c>
      <c r="M10" s="16">
        <f t="shared" si="0"/>
        <v>576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 t="shared" si="7"/>
        <v>0.61922515757543195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595</v>
      </c>
      <c r="D11" s="55" t="s">
        <v>606</v>
      </c>
      <c r="E11" s="57" t="s">
        <v>607</v>
      </c>
      <c r="F11" s="12" t="s">
        <v>608</v>
      </c>
      <c r="G11" s="12">
        <v>1</v>
      </c>
      <c r="H11" s="13">
        <v>25</v>
      </c>
      <c r="I11" s="34">
        <v>20000</v>
      </c>
      <c r="J11" s="14">
        <v>5030</v>
      </c>
      <c r="K11" s="15">
        <f>L11</f>
        <v>5027</v>
      </c>
      <c r="L11" s="15">
        <f>2859+2168</f>
        <v>5027</v>
      </c>
      <c r="M11" s="16">
        <f t="shared" si="0"/>
        <v>5027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0.999403578528827</v>
      </c>
      <c r="AC11" s="9">
        <f t="shared" si="5"/>
        <v>1</v>
      </c>
      <c r="AD11" s="10">
        <f t="shared" si="6"/>
        <v>0.999403578528827</v>
      </c>
      <c r="AE11" s="39">
        <f t="shared" si="7"/>
        <v>0.61922515757543195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609</v>
      </c>
      <c r="E12" s="57" t="s">
        <v>610</v>
      </c>
      <c r="F12" s="12">
        <v>7301</v>
      </c>
      <c r="G12" s="12">
        <v>1</v>
      </c>
      <c r="H12" s="13">
        <v>25</v>
      </c>
      <c r="I12" s="7">
        <v>1000</v>
      </c>
      <c r="J12" s="14">
        <v>2210</v>
      </c>
      <c r="K12" s="15">
        <f>L12</f>
        <v>2208</v>
      </c>
      <c r="L12" s="15">
        <f>1803+405</f>
        <v>2208</v>
      </c>
      <c r="M12" s="16">
        <f t="shared" si="0"/>
        <v>2208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/>
      <c r="T12" s="17"/>
      <c r="U12" s="17"/>
      <c r="V12" s="18"/>
      <c r="W12" s="19">
        <v>10</v>
      </c>
      <c r="X12" s="17"/>
      <c r="Y12" s="20"/>
      <c r="Z12" s="20"/>
      <c r="AA12" s="21"/>
      <c r="AB12" s="8">
        <f t="shared" si="4"/>
        <v>0.99909502262443439</v>
      </c>
      <c r="AC12" s="9">
        <f t="shared" si="5"/>
        <v>0.58333333333333337</v>
      </c>
      <c r="AD12" s="10">
        <f t="shared" si="6"/>
        <v>0.58280542986425343</v>
      </c>
      <c r="AE12" s="39">
        <f t="shared" si="7"/>
        <v>0.61922515757543195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512</v>
      </c>
      <c r="E13" s="57" t="s">
        <v>513</v>
      </c>
      <c r="F13" s="12" t="s">
        <v>507</v>
      </c>
      <c r="G13" s="12">
        <v>1</v>
      </c>
      <c r="H13" s="13">
        <v>25</v>
      </c>
      <c r="I13" s="7">
        <v>12000</v>
      </c>
      <c r="J13" s="14">
        <v>4550</v>
      </c>
      <c r="K13" s="15">
        <f>L13+1848+3193</f>
        <v>9588</v>
      </c>
      <c r="L13" s="15">
        <f>2914+1633</f>
        <v>4547</v>
      </c>
      <c r="M13" s="16">
        <f t="shared" si="0"/>
        <v>4547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/>
      <c r="T13" s="17"/>
      <c r="U13" s="17"/>
      <c r="V13" s="18">
        <v>5</v>
      </c>
      <c r="W13" s="19"/>
      <c r="X13" s="17"/>
      <c r="Y13" s="20"/>
      <c r="Z13" s="20"/>
      <c r="AA13" s="21"/>
      <c r="AB13" s="8">
        <f t="shared" si="4"/>
        <v>0.9993406593406593</v>
      </c>
      <c r="AC13" s="9">
        <f t="shared" si="5"/>
        <v>0.79166666666666663</v>
      </c>
      <c r="AD13" s="10">
        <f t="shared" si="6"/>
        <v>0.79114468864468857</v>
      </c>
      <c r="AE13" s="39">
        <f t="shared" si="7"/>
        <v>0.61922515757543195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465</v>
      </c>
      <c r="K14" s="15">
        <f>L14+813+342</f>
        <v>1620</v>
      </c>
      <c r="L14" s="15">
        <f>260+205</f>
        <v>465</v>
      </c>
      <c r="M14" s="16">
        <f t="shared" si="0"/>
        <v>465</v>
      </c>
      <c r="N14" s="16">
        <v>0</v>
      </c>
      <c r="O14" s="62">
        <f t="shared" si="1"/>
        <v>0</v>
      </c>
      <c r="P14" s="42">
        <f t="shared" si="2"/>
        <v>7</v>
      </c>
      <c r="Q14" s="43">
        <f t="shared" si="3"/>
        <v>17</v>
      </c>
      <c r="R14" s="7"/>
      <c r="S14" s="6"/>
      <c r="T14" s="17"/>
      <c r="U14" s="17"/>
      <c r="V14" s="18"/>
      <c r="W14" s="19">
        <v>17</v>
      </c>
      <c r="X14" s="17"/>
      <c r="Y14" s="20"/>
      <c r="Z14" s="20"/>
      <c r="AA14" s="21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9">
        <f t="shared" si="7"/>
        <v>0.61922515757543195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0.61922515757543195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611</v>
      </c>
      <c r="E16" s="56" t="s">
        <v>612</v>
      </c>
      <c r="F16" s="12" t="s">
        <v>613</v>
      </c>
      <c r="G16" s="36">
        <v>2</v>
      </c>
      <c r="H16" s="38">
        <v>25</v>
      </c>
      <c r="I16" s="7">
        <v>20000</v>
      </c>
      <c r="J16" s="14">
        <v>9830</v>
      </c>
      <c r="K16" s="15">
        <f>L16</f>
        <v>9822</v>
      </c>
      <c r="L16" s="15">
        <f>2807*2+2104*2</f>
        <v>9822</v>
      </c>
      <c r="M16" s="16">
        <f t="shared" si="0"/>
        <v>9822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0.9991861648016277</v>
      </c>
      <c r="AC16" s="9">
        <f t="shared" si="5"/>
        <v>1</v>
      </c>
      <c r="AD16" s="10">
        <f t="shared" si="6"/>
        <v>0.9991861648016277</v>
      </c>
      <c r="AE16" s="39">
        <f t="shared" si="7"/>
        <v>0.61922515757543195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114</v>
      </c>
      <c r="D17" s="55" t="s">
        <v>147</v>
      </c>
      <c r="E17" s="56" t="s">
        <v>477</v>
      </c>
      <c r="F17" s="12" t="s">
        <v>415</v>
      </c>
      <c r="G17" s="12">
        <v>1</v>
      </c>
      <c r="H17" s="13">
        <v>25</v>
      </c>
      <c r="I17" s="34">
        <v>1000</v>
      </c>
      <c r="J17" s="5">
        <v>1160</v>
      </c>
      <c r="K17" s="15">
        <f>L17+1160</f>
        <v>1160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0.61922515757543195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595</v>
      </c>
      <c r="D18" s="55" t="s">
        <v>614</v>
      </c>
      <c r="E18" s="57" t="s">
        <v>615</v>
      </c>
      <c r="F18" s="33" t="s">
        <v>616</v>
      </c>
      <c r="G18" s="36" t="s">
        <v>602</v>
      </c>
      <c r="H18" s="38">
        <v>25</v>
      </c>
      <c r="I18" s="7">
        <v>1000</v>
      </c>
      <c r="J18" s="5">
        <v>1362</v>
      </c>
      <c r="K18" s="15">
        <f>L18</f>
        <v>1362</v>
      </c>
      <c r="L18" s="15">
        <v>1362</v>
      </c>
      <c r="M18" s="16">
        <f t="shared" si="0"/>
        <v>1362</v>
      </c>
      <c r="N18" s="16">
        <v>0</v>
      </c>
      <c r="O18" s="62">
        <f t="shared" si="1"/>
        <v>0</v>
      </c>
      <c r="P18" s="42">
        <f t="shared" si="2"/>
        <v>8</v>
      </c>
      <c r="Q18" s="43">
        <f t="shared" si="3"/>
        <v>16</v>
      </c>
      <c r="R18" s="7"/>
      <c r="S18" s="6"/>
      <c r="T18" s="17"/>
      <c r="U18" s="17"/>
      <c r="V18" s="18"/>
      <c r="W18" s="19">
        <v>16</v>
      </c>
      <c r="X18" s="17"/>
      <c r="Y18" s="20"/>
      <c r="Z18" s="20"/>
      <c r="AA18" s="21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9">
        <f t="shared" si="7"/>
        <v>0.61922515757543195</v>
      </c>
      <c r="AF18" s="94">
        <f t="shared" si="8"/>
        <v>13</v>
      </c>
    </row>
    <row r="19" spans="1:32" ht="27" customHeight="1">
      <c r="A19" s="110">
        <v>13</v>
      </c>
      <c r="B19" s="11" t="s">
        <v>57</v>
      </c>
      <c r="C19" s="37" t="s">
        <v>595</v>
      </c>
      <c r="D19" s="55" t="s">
        <v>617</v>
      </c>
      <c r="E19" s="57" t="s">
        <v>618</v>
      </c>
      <c r="F19" s="33" t="s">
        <v>616</v>
      </c>
      <c r="G19" s="36">
        <v>1</v>
      </c>
      <c r="H19" s="38">
        <v>25</v>
      </c>
      <c r="I19" s="7">
        <v>2500</v>
      </c>
      <c r="J19" s="5">
        <v>3115</v>
      </c>
      <c r="K19" s="15">
        <f>L19</f>
        <v>3115</v>
      </c>
      <c r="L19" s="15">
        <f>3115</f>
        <v>3115</v>
      </c>
      <c r="M19" s="16">
        <f t="shared" ref="M19" si="11">L19-N19</f>
        <v>3115</v>
      </c>
      <c r="N19" s="16">
        <v>0</v>
      </c>
      <c r="O19" s="62">
        <f t="shared" ref="O19" si="12">IF(L19=0,"0",N19/L19)</f>
        <v>0</v>
      </c>
      <c r="P19" s="42">
        <f t="shared" ref="P19" si="13">IF(L19=0,"0",(24-Q19))</f>
        <v>14</v>
      </c>
      <c r="Q19" s="43">
        <f t="shared" ref="Q19" si="14">SUM(R19:AA19)</f>
        <v>10</v>
      </c>
      <c r="R19" s="7"/>
      <c r="S19" s="6"/>
      <c r="T19" s="17"/>
      <c r="U19" s="17"/>
      <c r="V19" s="18"/>
      <c r="W19" s="19">
        <v>10</v>
      </c>
      <c r="X19" s="17"/>
      <c r="Y19" s="20"/>
      <c r="Z19" s="20"/>
      <c r="AA19" s="21"/>
      <c r="AB19" s="8">
        <f t="shared" ref="AB19" si="15">IF(J19=0,"0",(L19/J19))</f>
        <v>1</v>
      </c>
      <c r="AC19" s="9">
        <f t="shared" ref="AC19" si="16">IF(P19=0,"0",(P19/24))</f>
        <v>0.58333333333333337</v>
      </c>
      <c r="AD19" s="10">
        <f t="shared" ref="AD19" si="17">AC19*AB19*(1-O19)</f>
        <v>0.58333333333333337</v>
      </c>
      <c r="AE19" s="39">
        <f t="shared" si="7"/>
        <v>0.61922515757543195</v>
      </c>
      <c r="AF19" s="94">
        <f t="shared" ref="AF19" si="18">A19</f>
        <v>13</v>
      </c>
    </row>
    <row r="20" spans="1:32" ht="27" customHeight="1">
      <c r="A20" s="110">
        <v>14</v>
      </c>
      <c r="B20" s="11" t="s">
        <v>57</v>
      </c>
      <c r="C20" s="11" t="s">
        <v>122</v>
      </c>
      <c r="D20" s="55" t="s">
        <v>599</v>
      </c>
      <c r="E20" s="57" t="s">
        <v>619</v>
      </c>
      <c r="F20" s="12" t="s">
        <v>375</v>
      </c>
      <c r="G20" s="12">
        <v>2</v>
      </c>
      <c r="H20" s="13">
        <v>25</v>
      </c>
      <c r="I20" s="7">
        <v>20000</v>
      </c>
      <c r="J20" s="14">
        <v>8690</v>
      </c>
      <c r="K20" s="15">
        <f>L20</f>
        <v>8690</v>
      </c>
      <c r="L20" s="15">
        <f>2083*2+2262*2</f>
        <v>8690</v>
      </c>
      <c r="M20" s="16">
        <f t="shared" si="0"/>
        <v>8690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/>
      <c r="T20" s="17">
        <v>1</v>
      </c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9">
        <f t="shared" si="7"/>
        <v>0.61922515757543195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620</v>
      </c>
      <c r="D21" s="55"/>
      <c r="E21" s="56" t="s">
        <v>621</v>
      </c>
      <c r="F21" s="12" t="s">
        <v>133</v>
      </c>
      <c r="G21" s="12">
        <v>3</v>
      </c>
      <c r="H21" s="38">
        <v>20</v>
      </c>
      <c r="I21" s="7">
        <v>30000</v>
      </c>
      <c r="J21" s="14">
        <v>26820</v>
      </c>
      <c r="K21" s="15">
        <f>L21</f>
        <v>26820</v>
      </c>
      <c r="L21" s="15">
        <f>5482*3+3458*3</f>
        <v>26820</v>
      </c>
      <c r="M21" s="16">
        <f t="shared" si="0"/>
        <v>26820</v>
      </c>
      <c r="N21" s="16">
        <v>0</v>
      </c>
      <c r="O21" s="62">
        <f t="shared" si="1"/>
        <v>0</v>
      </c>
      <c r="P21" s="42">
        <f t="shared" si="2"/>
        <v>23</v>
      </c>
      <c r="Q21" s="43">
        <f t="shared" si="3"/>
        <v>1</v>
      </c>
      <c r="R21" s="7"/>
      <c r="S21" s="6"/>
      <c r="T21" s="17">
        <v>1</v>
      </c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0.95833333333333337</v>
      </c>
      <c r="AD21" s="10">
        <f t="shared" si="6"/>
        <v>0.95833333333333337</v>
      </c>
      <c r="AE21" s="39">
        <f t="shared" si="7"/>
        <v>0.61922515757543195</v>
      </c>
      <c r="AF21" s="94">
        <f t="shared" si="8"/>
        <v>15</v>
      </c>
    </row>
    <row r="22" spans="1:32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193700</v>
      </c>
      <c r="J22" s="22">
        <f t="shared" si="19"/>
        <v>90539</v>
      </c>
      <c r="K22" s="23">
        <f t="shared" si="19"/>
        <v>155197</v>
      </c>
      <c r="L22" s="24">
        <f t="shared" si="19"/>
        <v>86163</v>
      </c>
      <c r="M22" s="23">
        <f t="shared" si="19"/>
        <v>86163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223</v>
      </c>
      <c r="Q22" s="46">
        <f t="shared" si="20"/>
        <v>161</v>
      </c>
      <c r="R22" s="26">
        <f t="shared" si="20"/>
        <v>0</v>
      </c>
      <c r="S22" s="27">
        <f t="shared" si="20"/>
        <v>0</v>
      </c>
      <c r="T22" s="27">
        <f t="shared" si="20"/>
        <v>6</v>
      </c>
      <c r="U22" s="27">
        <f t="shared" si="20"/>
        <v>0</v>
      </c>
      <c r="V22" s="28">
        <f t="shared" si="20"/>
        <v>5</v>
      </c>
      <c r="W22" s="29">
        <f t="shared" si="20"/>
        <v>150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0.86640884961072007</v>
      </c>
      <c r="AC22" s="4">
        <f>SUM(AC6:AC21)/15</f>
        <v>0.61944444444444458</v>
      </c>
      <c r="AD22" s="4">
        <f>SUM(AD6:AD21)/15</f>
        <v>0.61922515757543195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622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647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223" t="s">
        <v>46</v>
      </c>
      <c r="D51" s="223" t="s">
        <v>47</v>
      </c>
      <c r="E51" s="223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223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623</v>
      </c>
      <c r="B52" s="421"/>
      <c r="C52" s="224" t="s">
        <v>624</v>
      </c>
      <c r="D52" s="225" t="s">
        <v>625</v>
      </c>
      <c r="E52" s="224" t="s">
        <v>597</v>
      </c>
      <c r="F52" s="405" t="s">
        <v>626</v>
      </c>
      <c r="G52" s="405"/>
      <c r="H52" s="405"/>
      <c r="I52" s="405"/>
      <c r="J52" s="405"/>
      <c r="K52" s="405"/>
      <c r="L52" s="405"/>
      <c r="M52" s="415"/>
      <c r="N52" s="229" t="s">
        <v>641</v>
      </c>
      <c r="O52" s="74" t="s">
        <v>627</v>
      </c>
      <c r="P52" s="422" t="s">
        <v>648</v>
      </c>
      <c r="Q52" s="423"/>
      <c r="R52" s="414" t="s">
        <v>649</v>
      </c>
      <c r="S52" s="414"/>
      <c r="T52" s="414"/>
      <c r="U52" s="414"/>
      <c r="V52" s="405" t="s">
        <v>557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595</v>
      </c>
      <c r="B53" s="421"/>
      <c r="C53" s="224" t="s">
        <v>627</v>
      </c>
      <c r="D53" s="225" t="s">
        <v>628</v>
      </c>
      <c r="E53" s="224" t="s">
        <v>600</v>
      </c>
      <c r="F53" s="405" t="s">
        <v>514</v>
      </c>
      <c r="G53" s="405"/>
      <c r="H53" s="405"/>
      <c r="I53" s="405"/>
      <c r="J53" s="405"/>
      <c r="K53" s="405"/>
      <c r="L53" s="405"/>
      <c r="M53" s="415"/>
      <c r="N53" s="229" t="s">
        <v>650</v>
      </c>
      <c r="O53" s="74" t="s">
        <v>651</v>
      </c>
      <c r="P53" s="422" t="s">
        <v>609</v>
      </c>
      <c r="Q53" s="423"/>
      <c r="R53" s="414" t="s">
        <v>652</v>
      </c>
      <c r="S53" s="414"/>
      <c r="T53" s="414"/>
      <c r="U53" s="414"/>
      <c r="V53" s="405" t="s">
        <v>521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595</v>
      </c>
      <c r="B54" s="421"/>
      <c r="C54" s="224" t="s">
        <v>629</v>
      </c>
      <c r="D54" s="225" t="s">
        <v>614</v>
      </c>
      <c r="E54" s="224" t="s">
        <v>615</v>
      </c>
      <c r="F54" s="405" t="s">
        <v>514</v>
      </c>
      <c r="G54" s="405"/>
      <c r="H54" s="405"/>
      <c r="I54" s="405"/>
      <c r="J54" s="405"/>
      <c r="K54" s="405"/>
      <c r="L54" s="405"/>
      <c r="M54" s="415"/>
      <c r="N54" s="229" t="s">
        <v>641</v>
      </c>
      <c r="O54" s="74" t="s">
        <v>642</v>
      </c>
      <c r="P54" s="414" t="s">
        <v>653</v>
      </c>
      <c r="Q54" s="414"/>
      <c r="R54" s="414" t="s">
        <v>654</v>
      </c>
      <c r="S54" s="414"/>
      <c r="T54" s="414"/>
      <c r="U54" s="414"/>
      <c r="V54" s="405" t="s">
        <v>521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595</v>
      </c>
      <c r="B55" s="421"/>
      <c r="C55" s="224" t="s">
        <v>629</v>
      </c>
      <c r="D55" s="225" t="s">
        <v>630</v>
      </c>
      <c r="E55" s="224" t="s">
        <v>618</v>
      </c>
      <c r="F55" s="405" t="s">
        <v>514</v>
      </c>
      <c r="G55" s="405"/>
      <c r="H55" s="405"/>
      <c r="I55" s="405"/>
      <c r="J55" s="405"/>
      <c r="K55" s="405"/>
      <c r="L55" s="405"/>
      <c r="M55" s="415"/>
      <c r="N55" s="229" t="s">
        <v>641</v>
      </c>
      <c r="O55" s="74" t="s">
        <v>640</v>
      </c>
      <c r="P55" s="422" t="s">
        <v>599</v>
      </c>
      <c r="Q55" s="423"/>
      <c r="R55" s="414" t="s">
        <v>655</v>
      </c>
      <c r="S55" s="414"/>
      <c r="T55" s="414"/>
      <c r="U55" s="414"/>
      <c r="V55" s="405" t="s">
        <v>521</v>
      </c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 t="s">
        <v>595</v>
      </c>
      <c r="B56" s="421"/>
      <c r="C56" s="224" t="s">
        <v>631</v>
      </c>
      <c r="D56" s="225" t="s">
        <v>632</v>
      </c>
      <c r="E56" s="224" t="s">
        <v>633</v>
      </c>
      <c r="F56" s="405" t="s">
        <v>626</v>
      </c>
      <c r="G56" s="405"/>
      <c r="H56" s="405"/>
      <c r="I56" s="405"/>
      <c r="J56" s="405"/>
      <c r="K56" s="405"/>
      <c r="L56" s="405"/>
      <c r="M56" s="415"/>
      <c r="N56" s="229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 t="s">
        <v>595</v>
      </c>
      <c r="B57" s="421"/>
      <c r="C57" s="224" t="s">
        <v>635</v>
      </c>
      <c r="D57" s="225" t="s">
        <v>636</v>
      </c>
      <c r="E57" s="224" t="s">
        <v>634</v>
      </c>
      <c r="F57" s="405" t="s">
        <v>626</v>
      </c>
      <c r="G57" s="405"/>
      <c r="H57" s="405"/>
      <c r="I57" s="405"/>
      <c r="J57" s="405"/>
      <c r="K57" s="405"/>
      <c r="L57" s="405"/>
      <c r="M57" s="415"/>
      <c r="N57" s="229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 t="s">
        <v>595</v>
      </c>
      <c r="B58" s="421"/>
      <c r="C58" s="224" t="s">
        <v>637</v>
      </c>
      <c r="D58" s="225" t="s">
        <v>606</v>
      </c>
      <c r="E58" s="224" t="s">
        <v>638</v>
      </c>
      <c r="F58" s="405" t="s">
        <v>626</v>
      </c>
      <c r="G58" s="405"/>
      <c r="H58" s="405"/>
      <c r="I58" s="405"/>
      <c r="J58" s="405"/>
      <c r="K58" s="405"/>
      <c r="L58" s="405"/>
      <c r="M58" s="415"/>
      <c r="N58" s="229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 t="s">
        <v>639</v>
      </c>
      <c r="B59" s="421"/>
      <c r="C59" s="224" t="s">
        <v>640</v>
      </c>
      <c r="D59" s="225" t="s">
        <v>609</v>
      </c>
      <c r="E59" s="224" t="s">
        <v>610</v>
      </c>
      <c r="F59" s="405" t="s">
        <v>626</v>
      </c>
      <c r="G59" s="405"/>
      <c r="H59" s="405"/>
      <c r="I59" s="405"/>
      <c r="J59" s="405"/>
      <c r="K59" s="405"/>
      <c r="L59" s="405"/>
      <c r="M59" s="415"/>
      <c r="N59" s="229"/>
      <c r="O59" s="74"/>
      <c r="P59" s="422"/>
      <c r="Q59" s="423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 t="s">
        <v>641</v>
      </c>
      <c r="B60" s="414"/>
      <c r="C60" s="225" t="s">
        <v>642</v>
      </c>
      <c r="D60" s="225" t="s">
        <v>643</v>
      </c>
      <c r="E60" s="225" t="s">
        <v>604</v>
      </c>
      <c r="F60" s="405" t="s">
        <v>626</v>
      </c>
      <c r="G60" s="405"/>
      <c r="H60" s="405"/>
      <c r="I60" s="405"/>
      <c r="J60" s="405"/>
      <c r="K60" s="405"/>
      <c r="L60" s="405"/>
      <c r="M60" s="415"/>
      <c r="N60" s="229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 t="s">
        <v>641</v>
      </c>
      <c r="B61" s="417"/>
      <c r="C61" s="227" t="s">
        <v>644</v>
      </c>
      <c r="D61" s="227" t="s">
        <v>599</v>
      </c>
      <c r="E61" s="227" t="s">
        <v>645</v>
      </c>
      <c r="F61" s="418" t="s">
        <v>646</v>
      </c>
      <c r="G61" s="418"/>
      <c r="H61" s="418"/>
      <c r="I61" s="418"/>
      <c r="J61" s="418"/>
      <c r="K61" s="418"/>
      <c r="L61" s="418"/>
      <c r="M61" s="419"/>
      <c r="N61" s="226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656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228" t="s">
        <v>2</v>
      </c>
      <c r="D63" s="228" t="s">
        <v>37</v>
      </c>
      <c r="E63" s="228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228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/>
      <c r="D64" s="232"/>
      <c r="E64" s="230"/>
      <c r="F64" s="403"/>
      <c r="G64" s="395"/>
      <c r="H64" s="395"/>
      <c r="I64" s="395"/>
      <c r="J64" s="395"/>
      <c r="K64" s="395"/>
      <c r="L64" s="395"/>
      <c r="M64" s="54"/>
      <c r="N64" s="395"/>
      <c r="O64" s="395"/>
      <c r="P64" s="404"/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/>
      <c r="D65" s="232"/>
      <c r="E65" s="230"/>
      <c r="F65" s="403"/>
      <c r="G65" s="395"/>
      <c r="H65" s="395"/>
      <c r="I65" s="395"/>
      <c r="J65" s="395"/>
      <c r="K65" s="395"/>
      <c r="L65" s="395"/>
      <c r="M65" s="54"/>
      <c r="N65" s="395"/>
      <c r="O65" s="395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/>
      <c r="D66" s="232"/>
      <c r="E66" s="230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/>
      <c r="D67" s="232"/>
      <c r="E67" s="230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/>
      <c r="D68" s="232"/>
      <c r="E68" s="230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232"/>
      <c r="E69" s="230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232"/>
      <c r="E70" s="230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232"/>
      <c r="E71" s="230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657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231" t="s">
        <v>2</v>
      </c>
      <c r="D73" s="231" t="s">
        <v>37</v>
      </c>
      <c r="E73" s="231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233" t="s">
        <v>114</v>
      </c>
      <c r="D74" s="233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232" t="s">
        <v>114</v>
      </c>
      <c r="D75" s="232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232"/>
      <c r="D76" s="232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232"/>
      <c r="D77" s="232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232"/>
      <c r="D78" s="232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232"/>
      <c r="D79" s="232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232"/>
      <c r="D80" s="232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232"/>
      <c r="D81" s="232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232"/>
      <c r="D82" s="232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658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52" zoomScale="72" zoomScaleNormal="72" zoomScaleSheetLayoutView="70" workbookViewId="0">
      <selection activeCell="F69" sqref="F69:J6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659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45" t="s">
        <v>17</v>
      </c>
      <c r="L5" s="245" t="s">
        <v>18</v>
      </c>
      <c r="M5" s="245" t="s">
        <v>19</v>
      </c>
      <c r="N5" s="24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595</v>
      </c>
      <c r="D6" s="55" t="s">
        <v>596</v>
      </c>
      <c r="E6" s="57" t="s">
        <v>597</v>
      </c>
      <c r="F6" s="33" t="s">
        <v>598</v>
      </c>
      <c r="G6" s="12">
        <v>2</v>
      </c>
      <c r="H6" s="13">
        <v>25</v>
      </c>
      <c r="I6" s="34">
        <v>20000</v>
      </c>
      <c r="J6" s="5">
        <v>9890</v>
      </c>
      <c r="K6" s="15">
        <f>L6+6650</f>
        <v>16540</v>
      </c>
      <c r="L6" s="15">
        <f>2615*2+2330*2</f>
        <v>9890</v>
      </c>
      <c r="M6" s="16">
        <f t="shared" ref="M6:M20" si="0">L6-N6</f>
        <v>9890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1</v>
      </c>
      <c r="AC6" s="9">
        <f t="shared" ref="AC6:AC20" si="5">IF(P6=0,"0",(P6/24))</f>
        <v>1</v>
      </c>
      <c r="AD6" s="10">
        <f t="shared" ref="AD6:AD20" si="6">AC6*AB6*(1-O6)</f>
        <v>1</v>
      </c>
      <c r="AE6" s="39">
        <f t="shared" ref="AE6:AE20" si="7">$AD$21</f>
        <v>0.55802480570841906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545</v>
      </c>
      <c r="D7" s="55" t="s">
        <v>546</v>
      </c>
      <c r="E7" s="57" t="s">
        <v>547</v>
      </c>
      <c r="F7" s="33" t="s">
        <v>548</v>
      </c>
      <c r="G7" s="12">
        <v>3</v>
      </c>
      <c r="H7" s="13">
        <v>25</v>
      </c>
      <c r="I7" s="34">
        <v>30000</v>
      </c>
      <c r="J7" s="5">
        <v>6244</v>
      </c>
      <c r="K7" s="15">
        <f>L7+7002+13602</f>
        <v>26848</v>
      </c>
      <c r="L7" s="15">
        <f>1561*4</f>
        <v>6244</v>
      </c>
      <c r="M7" s="16">
        <f t="shared" si="0"/>
        <v>6244</v>
      </c>
      <c r="N7" s="16">
        <v>0</v>
      </c>
      <c r="O7" s="62">
        <f t="shared" si="1"/>
        <v>0</v>
      </c>
      <c r="P7" s="42">
        <f t="shared" si="2"/>
        <v>9</v>
      </c>
      <c r="Q7" s="43">
        <f t="shared" si="3"/>
        <v>15</v>
      </c>
      <c r="R7" s="7"/>
      <c r="S7" s="6"/>
      <c r="T7" s="17"/>
      <c r="U7" s="17"/>
      <c r="V7" s="18"/>
      <c r="W7" s="19">
        <v>15</v>
      </c>
      <c r="X7" s="17"/>
      <c r="Y7" s="20"/>
      <c r="Z7" s="20"/>
      <c r="AA7" s="21"/>
      <c r="AB7" s="8">
        <f t="shared" si="4"/>
        <v>1</v>
      </c>
      <c r="AC7" s="9">
        <f t="shared" si="5"/>
        <v>0.375</v>
      </c>
      <c r="AD7" s="10">
        <f t="shared" si="6"/>
        <v>0.375</v>
      </c>
      <c r="AE7" s="39">
        <f t="shared" si="7"/>
        <v>0.55802480570841906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662</v>
      </c>
      <c r="D8" s="55" t="s">
        <v>663</v>
      </c>
      <c r="E8" s="56" t="s">
        <v>664</v>
      </c>
      <c r="F8" s="12" t="s">
        <v>665</v>
      </c>
      <c r="G8" s="12">
        <v>1</v>
      </c>
      <c r="H8" s="13">
        <v>25</v>
      </c>
      <c r="I8" s="34">
        <v>500</v>
      </c>
      <c r="J8" s="14">
        <v>710</v>
      </c>
      <c r="K8" s="15">
        <f>L8</f>
        <v>709</v>
      </c>
      <c r="L8" s="15">
        <f>709</f>
        <v>709</v>
      </c>
      <c r="M8" s="16">
        <f t="shared" si="0"/>
        <v>709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/>
      <c r="S8" s="6"/>
      <c r="T8" s="17"/>
      <c r="U8" s="17"/>
      <c r="V8" s="18"/>
      <c r="W8" s="19">
        <v>20</v>
      </c>
      <c r="X8" s="17"/>
      <c r="Y8" s="20"/>
      <c r="Z8" s="20"/>
      <c r="AA8" s="21"/>
      <c r="AB8" s="8">
        <f t="shared" si="4"/>
        <v>0.99859154929577465</v>
      </c>
      <c r="AC8" s="9">
        <f t="shared" si="5"/>
        <v>0.16666666666666666</v>
      </c>
      <c r="AD8" s="10">
        <f t="shared" si="6"/>
        <v>0.16643192488262909</v>
      </c>
      <c r="AE8" s="39">
        <f t="shared" si="7"/>
        <v>0.55802480570841906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666</v>
      </c>
      <c r="D9" s="55" t="s">
        <v>667</v>
      </c>
      <c r="E9" s="57" t="s">
        <v>668</v>
      </c>
      <c r="F9" s="33" t="s">
        <v>669</v>
      </c>
      <c r="G9" s="36">
        <v>1</v>
      </c>
      <c r="H9" s="38">
        <v>25</v>
      </c>
      <c r="I9" s="7">
        <v>20000</v>
      </c>
      <c r="J9" s="5">
        <v>2710</v>
      </c>
      <c r="K9" s="15">
        <f>L9</f>
        <v>2702</v>
      </c>
      <c r="L9" s="15">
        <f>487+2141+74</f>
        <v>2702</v>
      </c>
      <c r="M9" s="16">
        <f t="shared" si="0"/>
        <v>2702</v>
      </c>
      <c r="N9" s="16">
        <v>0</v>
      </c>
      <c r="O9" s="62">
        <f t="shared" si="1"/>
        <v>0</v>
      </c>
      <c r="P9" s="42">
        <f t="shared" si="2"/>
        <v>16</v>
      </c>
      <c r="Q9" s="43">
        <f t="shared" si="3"/>
        <v>8</v>
      </c>
      <c r="R9" s="7"/>
      <c r="S9" s="6">
        <v>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0.99704797047970484</v>
      </c>
      <c r="AC9" s="9">
        <f t="shared" si="5"/>
        <v>0.66666666666666663</v>
      </c>
      <c r="AD9" s="10">
        <f t="shared" si="6"/>
        <v>0.66469864698646985</v>
      </c>
      <c r="AE9" s="39">
        <f t="shared" si="7"/>
        <v>0.55802480570841906</v>
      </c>
      <c r="AF9" s="94">
        <f t="shared" ref="AF9:AF11" si="9">A9</f>
        <v>4</v>
      </c>
    </row>
    <row r="10" spans="1:36" ht="27" customHeight="1">
      <c r="A10" s="110">
        <v>5</v>
      </c>
      <c r="B10" s="11" t="s">
        <v>57</v>
      </c>
      <c r="C10" s="11" t="s">
        <v>595</v>
      </c>
      <c r="D10" s="55" t="s">
        <v>606</v>
      </c>
      <c r="E10" s="57" t="s">
        <v>607</v>
      </c>
      <c r="F10" s="12" t="s">
        <v>608</v>
      </c>
      <c r="G10" s="12">
        <v>1</v>
      </c>
      <c r="H10" s="13">
        <v>25</v>
      </c>
      <c r="I10" s="34">
        <v>20000</v>
      </c>
      <c r="J10" s="14">
        <v>4990</v>
      </c>
      <c r="K10" s="15">
        <f>L10+5027</f>
        <v>10014</v>
      </c>
      <c r="L10" s="15">
        <f>2627+2360</f>
        <v>4987</v>
      </c>
      <c r="M10" s="16">
        <f t="shared" ref="M10" si="10">L10-N10</f>
        <v>4987</v>
      </c>
      <c r="N10" s="16">
        <v>0</v>
      </c>
      <c r="O10" s="62">
        <f t="shared" ref="O10" si="11">IF(L10=0,"0",N10/L10)</f>
        <v>0</v>
      </c>
      <c r="P10" s="42">
        <f t="shared" ref="P10" si="12">IF(L10=0,"0",(24-Q10))</f>
        <v>24</v>
      </c>
      <c r="Q10" s="43">
        <f t="shared" ref="Q10" si="13">SUM(R10:AA10)</f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ref="AB10" si="14">IF(J10=0,"0",(L10/J10))</f>
        <v>0.99939879759519035</v>
      </c>
      <c r="AC10" s="9">
        <f t="shared" ref="AC10" si="15">IF(P10=0,"0",(P10/24))</f>
        <v>1</v>
      </c>
      <c r="AD10" s="10">
        <f t="shared" ref="AD10" si="16">AC10*AB10*(1-O10)</f>
        <v>0.99939879759519035</v>
      </c>
      <c r="AE10" s="39">
        <f t="shared" si="7"/>
        <v>0.55802480570841906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37" t="s">
        <v>114</v>
      </c>
      <c r="D11" s="55" t="s">
        <v>603</v>
      </c>
      <c r="E11" s="57" t="s">
        <v>670</v>
      </c>
      <c r="F11" s="33" t="s">
        <v>605</v>
      </c>
      <c r="G11" s="36">
        <v>1</v>
      </c>
      <c r="H11" s="38">
        <v>25</v>
      </c>
      <c r="I11" s="7">
        <v>20000</v>
      </c>
      <c r="J11" s="5">
        <v>2390</v>
      </c>
      <c r="K11" s="15">
        <f>L11</f>
        <v>2384</v>
      </c>
      <c r="L11" s="15">
        <f>1365+1019</f>
        <v>2384</v>
      </c>
      <c r="M11" s="16">
        <f t="shared" si="0"/>
        <v>2384</v>
      </c>
      <c r="N11" s="16">
        <v>0</v>
      </c>
      <c r="O11" s="62">
        <f t="shared" si="1"/>
        <v>0</v>
      </c>
      <c r="P11" s="42">
        <f t="shared" si="2"/>
        <v>12</v>
      </c>
      <c r="Q11" s="43">
        <f t="shared" si="3"/>
        <v>12</v>
      </c>
      <c r="R11" s="7"/>
      <c r="S11" s="6">
        <v>12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0.99748953974895394</v>
      </c>
      <c r="AC11" s="9">
        <f t="shared" si="5"/>
        <v>0.5</v>
      </c>
      <c r="AD11" s="10">
        <f t="shared" si="6"/>
        <v>0.49874476987447697</v>
      </c>
      <c r="AE11" s="39">
        <f t="shared" si="7"/>
        <v>0.55802480570841906</v>
      </c>
      <c r="AF11" s="94">
        <f t="shared" si="9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671</v>
      </c>
      <c r="E12" s="57" t="s">
        <v>672</v>
      </c>
      <c r="F12" s="12" t="s">
        <v>673</v>
      </c>
      <c r="G12" s="12">
        <v>1</v>
      </c>
      <c r="H12" s="13">
        <v>25</v>
      </c>
      <c r="I12" s="7">
        <v>800</v>
      </c>
      <c r="J12" s="14">
        <v>962</v>
      </c>
      <c r="K12" s="15">
        <f>L12</f>
        <v>962</v>
      </c>
      <c r="L12" s="15">
        <v>962</v>
      </c>
      <c r="M12" s="16">
        <f t="shared" si="0"/>
        <v>962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/>
      <c r="T12" s="17"/>
      <c r="U12" s="17"/>
      <c r="V12" s="18"/>
      <c r="W12" s="19">
        <v>18</v>
      </c>
      <c r="X12" s="17"/>
      <c r="Y12" s="20"/>
      <c r="Z12" s="20"/>
      <c r="AA12" s="21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9">
        <f t="shared" si="7"/>
        <v>0.55802480570841906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512</v>
      </c>
      <c r="E13" s="57" t="s">
        <v>513</v>
      </c>
      <c r="F13" s="12" t="s">
        <v>507</v>
      </c>
      <c r="G13" s="12">
        <v>1</v>
      </c>
      <c r="H13" s="13">
        <v>25</v>
      </c>
      <c r="I13" s="7">
        <v>12000</v>
      </c>
      <c r="J13" s="14">
        <v>6321</v>
      </c>
      <c r="K13" s="15">
        <f>L13+1848+3193+4547</f>
        <v>15909</v>
      </c>
      <c r="L13" s="15">
        <f>3508+2813</f>
        <v>6321</v>
      </c>
      <c r="M13" s="16">
        <f t="shared" si="0"/>
        <v>6321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0.55802480570841906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465</v>
      </c>
      <c r="K14" s="15">
        <f>L14+813+342+465</f>
        <v>1620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0.55802480570841906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0.55802480570841906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611</v>
      </c>
      <c r="E16" s="56" t="s">
        <v>612</v>
      </c>
      <c r="F16" s="12" t="s">
        <v>613</v>
      </c>
      <c r="G16" s="36">
        <v>2</v>
      </c>
      <c r="H16" s="38">
        <v>25</v>
      </c>
      <c r="I16" s="7">
        <v>20000</v>
      </c>
      <c r="J16" s="14">
        <v>10550</v>
      </c>
      <c r="K16" s="15">
        <f>L16+9822</f>
        <v>20366</v>
      </c>
      <c r="L16" s="15">
        <f>2432*2+2840*2</f>
        <v>10544</v>
      </c>
      <c r="M16" s="16">
        <f t="shared" si="0"/>
        <v>10544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0.9994312796208531</v>
      </c>
      <c r="AC16" s="9">
        <f t="shared" si="5"/>
        <v>1</v>
      </c>
      <c r="AD16" s="10">
        <f t="shared" si="6"/>
        <v>0.9994312796208531</v>
      </c>
      <c r="AE16" s="39">
        <f t="shared" si="7"/>
        <v>0.55802480570841906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674</v>
      </c>
      <c r="D17" s="55" t="s">
        <v>675</v>
      </c>
      <c r="E17" s="56" t="s">
        <v>676</v>
      </c>
      <c r="F17" s="12" t="s">
        <v>677</v>
      </c>
      <c r="G17" s="12">
        <v>1</v>
      </c>
      <c r="H17" s="13">
        <v>25</v>
      </c>
      <c r="I17" s="34">
        <v>4000</v>
      </c>
      <c r="J17" s="5">
        <v>2945</v>
      </c>
      <c r="K17" s="15">
        <f>L17</f>
        <v>2945</v>
      </c>
      <c r="L17" s="15">
        <f>2945</f>
        <v>2945</v>
      </c>
      <c r="M17" s="16">
        <f t="shared" si="0"/>
        <v>2945</v>
      </c>
      <c r="N17" s="16">
        <v>0</v>
      </c>
      <c r="O17" s="62">
        <f t="shared" si="1"/>
        <v>0</v>
      </c>
      <c r="P17" s="42">
        <f t="shared" si="2"/>
        <v>14</v>
      </c>
      <c r="Q17" s="43">
        <f t="shared" si="3"/>
        <v>10</v>
      </c>
      <c r="R17" s="7"/>
      <c r="S17" s="6"/>
      <c r="T17" s="17">
        <v>10</v>
      </c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0.58333333333333337</v>
      </c>
      <c r="AD17" s="10">
        <f t="shared" si="6"/>
        <v>0.58333333333333337</v>
      </c>
      <c r="AE17" s="39">
        <f t="shared" si="7"/>
        <v>0.55802480570841906</v>
      </c>
      <c r="AF17" s="94">
        <f t="shared" ref="AF17" si="17">A17</f>
        <v>12</v>
      </c>
    </row>
    <row r="18" spans="1:32" ht="27" customHeight="1">
      <c r="A18" s="110">
        <v>13</v>
      </c>
      <c r="B18" s="11" t="s">
        <v>57</v>
      </c>
      <c r="C18" s="37" t="s">
        <v>595</v>
      </c>
      <c r="D18" s="55" t="s">
        <v>617</v>
      </c>
      <c r="E18" s="57" t="s">
        <v>618</v>
      </c>
      <c r="F18" s="33" t="s">
        <v>616</v>
      </c>
      <c r="G18" s="36">
        <v>1</v>
      </c>
      <c r="H18" s="38">
        <v>25</v>
      </c>
      <c r="I18" s="7">
        <v>2500</v>
      </c>
      <c r="J18" s="5">
        <v>3115</v>
      </c>
      <c r="K18" s="15">
        <f>L18+3115</f>
        <v>3115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0.55802480570841906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122</v>
      </c>
      <c r="D19" s="55" t="s">
        <v>599</v>
      </c>
      <c r="E19" s="57" t="s">
        <v>619</v>
      </c>
      <c r="F19" s="12" t="s">
        <v>375</v>
      </c>
      <c r="G19" s="12">
        <v>2</v>
      </c>
      <c r="H19" s="13">
        <v>25</v>
      </c>
      <c r="I19" s="7">
        <v>20000</v>
      </c>
      <c r="J19" s="14">
        <v>8172</v>
      </c>
      <c r="K19" s="15">
        <f>L19+8690</f>
        <v>16862</v>
      </c>
      <c r="L19" s="15">
        <f>2811*2+1275*2</f>
        <v>8172</v>
      </c>
      <c r="M19" s="16">
        <f t="shared" si="0"/>
        <v>8172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9">
        <f t="shared" si="7"/>
        <v>0.55802480570841906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620</v>
      </c>
      <c r="D20" s="55"/>
      <c r="E20" s="56" t="s">
        <v>621</v>
      </c>
      <c r="F20" s="12" t="s">
        <v>133</v>
      </c>
      <c r="G20" s="12">
        <v>3</v>
      </c>
      <c r="H20" s="38">
        <v>20</v>
      </c>
      <c r="I20" s="7">
        <v>30000</v>
      </c>
      <c r="J20" s="14">
        <v>33612</v>
      </c>
      <c r="K20" s="15">
        <f>L20+26820</f>
        <v>60432</v>
      </c>
      <c r="L20" s="15">
        <f>5898*3+5306*3</f>
        <v>33612</v>
      </c>
      <c r="M20" s="16">
        <f t="shared" si="0"/>
        <v>33612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0.55802480570841906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8">SUM(I6:I20)</f>
        <v>230000</v>
      </c>
      <c r="J21" s="22">
        <f t="shared" si="18"/>
        <v>95887</v>
      </c>
      <c r="K21" s="23">
        <f t="shared" si="18"/>
        <v>231877</v>
      </c>
      <c r="L21" s="24">
        <f t="shared" si="18"/>
        <v>89472</v>
      </c>
      <c r="M21" s="23">
        <f t="shared" si="18"/>
        <v>89472</v>
      </c>
      <c r="N21" s="24">
        <f t="shared" si="18"/>
        <v>0</v>
      </c>
      <c r="O21" s="44">
        <f t="shared" si="1"/>
        <v>0</v>
      </c>
      <c r="P21" s="45">
        <f t="shared" ref="P21:AA21" si="19">SUM(P6:P20)</f>
        <v>201</v>
      </c>
      <c r="Q21" s="46">
        <f t="shared" si="19"/>
        <v>159</v>
      </c>
      <c r="R21" s="26">
        <f t="shared" si="19"/>
        <v>0</v>
      </c>
      <c r="S21" s="27">
        <f t="shared" si="19"/>
        <v>24</v>
      </c>
      <c r="T21" s="27">
        <f t="shared" si="19"/>
        <v>10</v>
      </c>
      <c r="U21" s="27">
        <f t="shared" si="19"/>
        <v>0</v>
      </c>
      <c r="V21" s="28">
        <f t="shared" si="19"/>
        <v>0</v>
      </c>
      <c r="W21" s="29">
        <f t="shared" si="19"/>
        <v>125</v>
      </c>
      <c r="X21" s="30">
        <f t="shared" si="19"/>
        <v>0</v>
      </c>
      <c r="Y21" s="30">
        <f t="shared" si="19"/>
        <v>0</v>
      </c>
      <c r="Z21" s="30">
        <f t="shared" si="19"/>
        <v>0</v>
      </c>
      <c r="AA21" s="30">
        <f t="shared" si="19"/>
        <v>0</v>
      </c>
      <c r="AB21" s="31">
        <f>SUM(AB6:AB20)/15</f>
        <v>0.79946394244936514</v>
      </c>
      <c r="AC21" s="4">
        <f>SUM(AC6:AC20)/15</f>
        <v>0.55833333333333335</v>
      </c>
      <c r="AD21" s="4">
        <f>SUM(AD6:AD20)/15</f>
        <v>0.55802480570841906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678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700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244" t="s">
        <v>46</v>
      </c>
      <c r="D50" s="244" t="s">
        <v>47</v>
      </c>
      <c r="E50" s="244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244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679</v>
      </c>
      <c r="B51" s="421"/>
      <c r="C51" s="243" t="s">
        <v>680</v>
      </c>
      <c r="D51" s="240" t="s">
        <v>681</v>
      </c>
      <c r="E51" s="243" t="s">
        <v>664</v>
      </c>
      <c r="F51" s="405" t="s">
        <v>682</v>
      </c>
      <c r="G51" s="405"/>
      <c r="H51" s="405"/>
      <c r="I51" s="405"/>
      <c r="J51" s="405"/>
      <c r="K51" s="405"/>
      <c r="L51" s="405"/>
      <c r="M51" s="415"/>
      <c r="N51" s="239" t="s">
        <v>692</v>
      </c>
      <c r="O51" s="74" t="s">
        <v>701</v>
      </c>
      <c r="P51" s="422" t="s">
        <v>702</v>
      </c>
      <c r="Q51" s="423"/>
      <c r="R51" s="414" t="s">
        <v>703</v>
      </c>
      <c r="S51" s="414"/>
      <c r="T51" s="414"/>
      <c r="U51" s="414"/>
      <c r="V51" s="405" t="s">
        <v>704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114</v>
      </c>
      <c r="B52" s="421"/>
      <c r="C52" s="243" t="s">
        <v>683</v>
      </c>
      <c r="D52" s="240" t="s">
        <v>684</v>
      </c>
      <c r="E52" s="243" t="s">
        <v>685</v>
      </c>
      <c r="F52" s="405" t="s">
        <v>339</v>
      </c>
      <c r="G52" s="405"/>
      <c r="H52" s="405"/>
      <c r="I52" s="405"/>
      <c r="J52" s="405"/>
      <c r="K52" s="405"/>
      <c r="L52" s="405"/>
      <c r="M52" s="415"/>
      <c r="N52" s="239" t="s">
        <v>705</v>
      </c>
      <c r="O52" s="74" t="s">
        <v>693</v>
      </c>
      <c r="P52" s="422" t="s">
        <v>694</v>
      </c>
      <c r="Q52" s="423"/>
      <c r="R52" s="414" t="s">
        <v>706</v>
      </c>
      <c r="S52" s="414"/>
      <c r="T52" s="414"/>
      <c r="U52" s="414"/>
      <c r="V52" s="405" t="s">
        <v>707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686</v>
      </c>
      <c r="B53" s="421"/>
      <c r="C53" s="243" t="s">
        <v>687</v>
      </c>
      <c r="D53" s="240" t="s">
        <v>688</v>
      </c>
      <c r="E53" s="243" t="s">
        <v>689</v>
      </c>
      <c r="F53" s="405" t="s">
        <v>690</v>
      </c>
      <c r="G53" s="405"/>
      <c r="H53" s="405"/>
      <c r="I53" s="405"/>
      <c r="J53" s="405"/>
      <c r="K53" s="405"/>
      <c r="L53" s="405"/>
      <c r="M53" s="415"/>
      <c r="N53" s="239" t="s">
        <v>692</v>
      </c>
      <c r="O53" s="74" t="s">
        <v>709</v>
      </c>
      <c r="P53" s="414" t="s">
        <v>710</v>
      </c>
      <c r="Q53" s="414"/>
      <c r="R53" s="414" t="s">
        <v>708</v>
      </c>
      <c r="S53" s="414"/>
      <c r="T53" s="414"/>
      <c r="U53" s="414"/>
      <c r="V53" s="405" t="s">
        <v>704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692</v>
      </c>
      <c r="B54" s="421"/>
      <c r="C54" s="243" t="s">
        <v>693</v>
      </c>
      <c r="D54" s="240" t="s">
        <v>694</v>
      </c>
      <c r="E54" s="243" t="s">
        <v>691</v>
      </c>
      <c r="F54" s="405" t="s">
        <v>339</v>
      </c>
      <c r="G54" s="405"/>
      <c r="H54" s="405"/>
      <c r="I54" s="405"/>
      <c r="J54" s="405"/>
      <c r="K54" s="405"/>
      <c r="L54" s="405"/>
      <c r="M54" s="415"/>
      <c r="N54" s="239" t="s">
        <v>686</v>
      </c>
      <c r="O54" s="74" t="s">
        <v>712</v>
      </c>
      <c r="P54" s="422" t="s">
        <v>713</v>
      </c>
      <c r="Q54" s="423"/>
      <c r="R54" s="414" t="s">
        <v>711</v>
      </c>
      <c r="S54" s="414"/>
      <c r="T54" s="414"/>
      <c r="U54" s="414"/>
      <c r="V54" s="405" t="s">
        <v>714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696</v>
      </c>
      <c r="B55" s="421"/>
      <c r="C55" s="243" t="s">
        <v>697</v>
      </c>
      <c r="D55" s="240" t="s">
        <v>698</v>
      </c>
      <c r="E55" s="243" t="s">
        <v>695</v>
      </c>
      <c r="F55" s="405" t="s">
        <v>699</v>
      </c>
      <c r="G55" s="405"/>
      <c r="H55" s="405"/>
      <c r="I55" s="405"/>
      <c r="J55" s="405"/>
      <c r="K55" s="405"/>
      <c r="L55" s="405"/>
      <c r="M55" s="415"/>
      <c r="N55" s="239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243"/>
      <c r="D56" s="240"/>
      <c r="E56" s="243"/>
      <c r="F56" s="405"/>
      <c r="G56" s="405"/>
      <c r="H56" s="405"/>
      <c r="I56" s="405"/>
      <c r="J56" s="405"/>
      <c r="K56" s="405"/>
      <c r="L56" s="405"/>
      <c r="M56" s="415"/>
      <c r="N56" s="239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43"/>
      <c r="D57" s="240"/>
      <c r="E57" s="243"/>
      <c r="F57" s="405"/>
      <c r="G57" s="405"/>
      <c r="H57" s="405"/>
      <c r="I57" s="405"/>
      <c r="J57" s="405"/>
      <c r="K57" s="405"/>
      <c r="L57" s="405"/>
      <c r="M57" s="415"/>
      <c r="N57" s="239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43"/>
      <c r="D58" s="240"/>
      <c r="E58" s="243"/>
      <c r="F58" s="405"/>
      <c r="G58" s="405"/>
      <c r="H58" s="405"/>
      <c r="I58" s="405"/>
      <c r="J58" s="405"/>
      <c r="K58" s="405"/>
      <c r="L58" s="405"/>
      <c r="M58" s="415"/>
      <c r="N58" s="239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240"/>
      <c r="D59" s="240"/>
      <c r="E59" s="240"/>
      <c r="F59" s="405"/>
      <c r="G59" s="405"/>
      <c r="H59" s="405"/>
      <c r="I59" s="405"/>
      <c r="J59" s="405"/>
      <c r="K59" s="405"/>
      <c r="L59" s="405"/>
      <c r="M59" s="415"/>
      <c r="N59" s="239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242"/>
      <c r="D60" s="242"/>
      <c r="E60" s="242"/>
      <c r="F60" s="418"/>
      <c r="G60" s="418"/>
      <c r="H60" s="418"/>
      <c r="I60" s="418"/>
      <c r="J60" s="418"/>
      <c r="K60" s="418"/>
      <c r="L60" s="418"/>
      <c r="M60" s="419"/>
      <c r="N60" s="241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715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238" t="s">
        <v>2</v>
      </c>
      <c r="D62" s="238" t="s">
        <v>37</v>
      </c>
      <c r="E62" s="238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38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692</v>
      </c>
      <c r="D63" s="234"/>
      <c r="E63" s="237" t="s">
        <v>716</v>
      </c>
      <c r="F63" s="403" t="s">
        <v>717</v>
      </c>
      <c r="G63" s="395"/>
      <c r="H63" s="395"/>
      <c r="I63" s="395"/>
      <c r="J63" s="395"/>
      <c r="K63" s="395" t="s">
        <v>718</v>
      </c>
      <c r="L63" s="395"/>
      <c r="M63" s="54" t="s">
        <v>719</v>
      </c>
      <c r="N63" s="395">
        <v>12</v>
      </c>
      <c r="O63" s="395"/>
      <c r="P63" s="404">
        <v>150</v>
      </c>
      <c r="Q63" s="404"/>
      <c r="R63" s="405" t="s">
        <v>720</v>
      </c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705</v>
      </c>
      <c r="D64" s="234"/>
      <c r="E64" s="237" t="s">
        <v>721</v>
      </c>
      <c r="F64" s="403" t="s">
        <v>722</v>
      </c>
      <c r="G64" s="395"/>
      <c r="H64" s="395"/>
      <c r="I64" s="395"/>
      <c r="J64" s="395"/>
      <c r="K64" s="395" t="s">
        <v>723</v>
      </c>
      <c r="L64" s="395"/>
      <c r="M64" s="54" t="s">
        <v>719</v>
      </c>
      <c r="N64" s="395">
        <v>13</v>
      </c>
      <c r="O64" s="395"/>
      <c r="P64" s="404">
        <v>150</v>
      </c>
      <c r="Q64" s="404"/>
      <c r="R64" s="405" t="s">
        <v>724</v>
      </c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705</v>
      </c>
      <c r="D65" s="234"/>
      <c r="E65" s="237" t="s">
        <v>725</v>
      </c>
      <c r="F65" s="403" t="s">
        <v>726</v>
      </c>
      <c r="G65" s="395"/>
      <c r="H65" s="395"/>
      <c r="I65" s="395"/>
      <c r="J65" s="395"/>
      <c r="K65" s="395" t="s">
        <v>727</v>
      </c>
      <c r="L65" s="395"/>
      <c r="M65" s="54" t="s">
        <v>719</v>
      </c>
      <c r="N65" s="395">
        <v>13</v>
      </c>
      <c r="O65" s="395"/>
      <c r="P65" s="404">
        <v>150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 t="s">
        <v>705</v>
      </c>
      <c r="D66" s="234"/>
      <c r="E66" s="237" t="s">
        <v>728</v>
      </c>
      <c r="F66" s="403" t="s">
        <v>729</v>
      </c>
      <c r="G66" s="395"/>
      <c r="H66" s="395"/>
      <c r="I66" s="395"/>
      <c r="J66" s="395"/>
      <c r="K66" s="395" t="s">
        <v>730</v>
      </c>
      <c r="L66" s="395"/>
      <c r="M66" s="54" t="s">
        <v>719</v>
      </c>
      <c r="N66" s="395">
        <v>7</v>
      </c>
      <c r="O66" s="395"/>
      <c r="P66" s="404"/>
      <c r="Q66" s="404"/>
      <c r="R66" s="405" t="s">
        <v>731</v>
      </c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234"/>
      <c r="E67" s="237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234"/>
      <c r="E68" s="237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234"/>
      <c r="E69" s="237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234"/>
      <c r="E70" s="237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732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236" t="s">
        <v>2</v>
      </c>
      <c r="D72" s="236" t="s">
        <v>37</v>
      </c>
      <c r="E72" s="236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235" t="s">
        <v>114</v>
      </c>
      <c r="D73" s="235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234" t="s">
        <v>114</v>
      </c>
      <c r="D74" s="234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20">A74+1</f>
        <v>3</v>
      </c>
      <c r="B75" s="363"/>
      <c r="C75" s="234"/>
      <c r="D75" s="234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20"/>
        <v>4</v>
      </c>
      <c r="B76" s="363"/>
      <c r="C76" s="234"/>
      <c r="D76" s="234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0"/>
        <v>5</v>
      </c>
      <c r="B77" s="363"/>
      <c r="C77" s="234"/>
      <c r="D77" s="234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0"/>
        <v>6</v>
      </c>
      <c r="B78" s="363"/>
      <c r="C78" s="234"/>
      <c r="D78" s="234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0"/>
        <v>7</v>
      </c>
      <c r="B79" s="363"/>
      <c r="C79" s="234"/>
      <c r="D79" s="234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0"/>
        <v>8</v>
      </c>
      <c r="B80" s="363"/>
      <c r="C80" s="234"/>
      <c r="D80" s="234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0"/>
        <v>9</v>
      </c>
      <c r="B81" s="363"/>
      <c r="C81" s="234"/>
      <c r="D81" s="234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733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46" zoomScale="72" zoomScaleNormal="72" zoomScaleSheetLayoutView="70" workbookViewId="0">
      <selection activeCell="C64" sqref="C64:AA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53" t="s">
        <v>734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2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125</v>
      </c>
      <c r="E6" s="57" t="s">
        <v>597</v>
      </c>
      <c r="F6" s="33" t="s">
        <v>541</v>
      </c>
      <c r="G6" s="12">
        <v>2</v>
      </c>
      <c r="H6" s="13">
        <v>25</v>
      </c>
      <c r="I6" s="34">
        <v>20000</v>
      </c>
      <c r="J6" s="5">
        <v>10162</v>
      </c>
      <c r="K6" s="15">
        <f>L6+6650+9890</f>
        <v>26702</v>
      </c>
      <c r="L6" s="15">
        <f>2362*2+2719*2</f>
        <v>10162</v>
      </c>
      <c r="M6" s="16">
        <f t="shared" ref="M6:M21" si="0">L6-N6</f>
        <v>10162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9">
        <f t="shared" ref="AE6:AE21" si="7">$AD$22</f>
        <v>0.53306079213944335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131</v>
      </c>
      <c r="D7" s="55" t="s">
        <v>546</v>
      </c>
      <c r="E7" s="57" t="s">
        <v>520</v>
      </c>
      <c r="F7" s="33" t="s">
        <v>548</v>
      </c>
      <c r="G7" s="12">
        <v>3</v>
      </c>
      <c r="H7" s="13">
        <v>25</v>
      </c>
      <c r="I7" s="34">
        <v>30000</v>
      </c>
      <c r="J7" s="5">
        <v>6244</v>
      </c>
      <c r="K7" s="15">
        <f>L7+7002+13602+6244</f>
        <v>26848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0.53306079213944335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735</v>
      </c>
      <c r="F8" s="12" t="s">
        <v>665</v>
      </c>
      <c r="G8" s="12">
        <v>1</v>
      </c>
      <c r="H8" s="13">
        <v>25</v>
      </c>
      <c r="I8" s="34">
        <v>20000</v>
      </c>
      <c r="J8" s="14">
        <v>5534</v>
      </c>
      <c r="K8" s="15">
        <f>L8</f>
        <v>5534</v>
      </c>
      <c r="L8" s="15">
        <f>3191+2343</f>
        <v>5534</v>
      </c>
      <c r="M8" s="16">
        <f t="shared" si="0"/>
        <v>5534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0.53306079213944335</v>
      </c>
      <c r="AF8" s="94">
        <f>A8</f>
        <v>3</v>
      </c>
    </row>
    <row r="9" spans="1:32" ht="27" customHeight="1">
      <c r="A9" s="110">
        <v>4</v>
      </c>
      <c r="B9" s="11" t="s">
        <v>57</v>
      </c>
      <c r="C9" s="37" t="s">
        <v>123</v>
      </c>
      <c r="D9" s="55" t="s">
        <v>121</v>
      </c>
      <c r="E9" s="57" t="s">
        <v>652</v>
      </c>
      <c r="F9" s="33" t="s">
        <v>669</v>
      </c>
      <c r="G9" s="36">
        <v>1</v>
      </c>
      <c r="H9" s="38">
        <v>25</v>
      </c>
      <c r="I9" s="7">
        <v>20000</v>
      </c>
      <c r="J9" s="5">
        <v>3670</v>
      </c>
      <c r="K9" s="15">
        <f>L9+2702</f>
        <v>6372</v>
      </c>
      <c r="L9" s="15">
        <f>3670</f>
        <v>3670</v>
      </c>
      <c r="M9" s="16">
        <f t="shared" si="0"/>
        <v>3670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>
        <v>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9">
        <f t="shared" si="7"/>
        <v>0.53306079213944335</v>
      </c>
      <c r="AF9" s="94">
        <f t="shared" ref="AF9:AF11" si="9">A9</f>
        <v>4</v>
      </c>
    </row>
    <row r="10" spans="1:32" ht="27" customHeight="1">
      <c r="A10" s="110">
        <v>5</v>
      </c>
      <c r="B10" s="11" t="s">
        <v>57</v>
      </c>
      <c r="C10" s="11" t="s">
        <v>122</v>
      </c>
      <c r="D10" s="55" t="s">
        <v>121</v>
      </c>
      <c r="E10" s="57" t="s">
        <v>522</v>
      </c>
      <c r="F10" s="12" t="s">
        <v>608</v>
      </c>
      <c r="G10" s="12">
        <v>1</v>
      </c>
      <c r="H10" s="13">
        <v>25</v>
      </c>
      <c r="I10" s="34">
        <v>20000</v>
      </c>
      <c r="J10" s="14">
        <v>3977</v>
      </c>
      <c r="K10" s="15">
        <f>L10+5027+4987</f>
        <v>13991</v>
      </c>
      <c r="L10" s="15">
        <f>2824+1153</f>
        <v>3977</v>
      </c>
      <c r="M10" s="16">
        <f t="shared" si="0"/>
        <v>3977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0.79166666666666663</v>
      </c>
      <c r="AD10" s="10">
        <f t="shared" si="6"/>
        <v>0.79166666666666663</v>
      </c>
      <c r="AE10" s="39">
        <f t="shared" si="7"/>
        <v>0.53306079213944335</v>
      </c>
      <c r="AF10" s="94">
        <f t="shared" si="9"/>
        <v>5</v>
      </c>
    </row>
    <row r="11" spans="1:32" ht="27" customHeight="1">
      <c r="A11" s="110">
        <v>6</v>
      </c>
      <c r="B11" s="11" t="s">
        <v>57</v>
      </c>
      <c r="C11" s="37" t="s">
        <v>114</v>
      </c>
      <c r="D11" s="55" t="s">
        <v>140</v>
      </c>
      <c r="E11" s="57" t="s">
        <v>736</v>
      </c>
      <c r="F11" s="33" t="s">
        <v>605</v>
      </c>
      <c r="G11" s="36">
        <v>1</v>
      </c>
      <c r="H11" s="38">
        <v>25</v>
      </c>
      <c r="I11" s="7">
        <v>300</v>
      </c>
      <c r="J11" s="5">
        <v>400</v>
      </c>
      <c r="K11" s="15">
        <f>L11</f>
        <v>399</v>
      </c>
      <c r="L11" s="15">
        <v>399</v>
      </c>
      <c r="M11" s="16">
        <f t="shared" si="0"/>
        <v>399</v>
      </c>
      <c r="N11" s="16">
        <v>0</v>
      </c>
      <c r="O11" s="62">
        <f t="shared" si="1"/>
        <v>0</v>
      </c>
      <c r="P11" s="42">
        <f t="shared" si="2"/>
        <v>3</v>
      </c>
      <c r="Q11" s="43">
        <f t="shared" si="3"/>
        <v>21</v>
      </c>
      <c r="R11" s="7"/>
      <c r="S11" s="6"/>
      <c r="T11" s="17"/>
      <c r="U11" s="17"/>
      <c r="V11" s="18"/>
      <c r="W11" s="19">
        <v>21</v>
      </c>
      <c r="X11" s="17"/>
      <c r="Y11" s="20"/>
      <c r="Z11" s="20"/>
      <c r="AA11" s="21"/>
      <c r="AB11" s="8">
        <f t="shared" si="4"/>
        <v>0.99750000000000005</v>
      </c>
      <c r="AC11" s="9">
        <f t="shared" si="5"/>
        <v>0.125</v>
      </c>
      <c r="AD11" s="10">
        <f t="shared" si="6"/>
        <v>0.12468750000000001</v>
      </c>
      <c r="AE11" s="39">
        <f t="shared" si="7"/>
        <v>0.53306079213944335</v>
      </c>
      <c r="AF11" s="94">
        <f t="shared" si="9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348</v>
      </c>
      <c r="E12" s="57" t="s">
        <v>655</v>
      </c>
      <c r="F12" s="12" t="s">
        <v>371</v>
      </c>
      <c r="G12" s="12">
        <v>1</v>
      </c>
      <c r="H12" s="13">
        <v>25</v>
      </c>
      <c r="I12" s="7">
        <v>800</v>
      </c>
      <c r="J12" s="14">
        <v>962</v>
      </c>
      <c r="K12" s="15">
        <f>L12+962</f>
        <v>962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0.53306079213944335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122</v>
      </c>
      <c r="D13" s="55" t="s">
        <v>512</v>
      </c>
      <c r="E13" s="57" t="s">
        <v>506</v>
      </c>
      <c r="F13" s="12" t="s">
        <v>133</v>
      </c>
      <c r="G13" s="12">
        <v>1</v>
      </c>
      <c r="H13" s="13">
        <v>25</v>
      </c>
      <c r="I13" s="7">
        <v>12000</v>
      </c>
      <c r="J13" s="14">
        <v>910</v>
      </c>
      <c r="K13" s="15">
        <f>L13+1848+3193+4547+6321</f>
        <v>16819</v>
      </c>
      <c r="L13" s="15">
        <v>910</v>
      </c>
      <c r="M13" s="16">
        <f t="shared" si="0"/>
        <v>910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9">
        <f t="shared" si="7"/>
        <v>0.53306079213944335</v>
      </c>
      <c r="AF13" s="94">
        <f t="shared" si="8"/>
        <v>8</v>
      </c>
    </row>
    <row r="14" spans="1:32" ht="27" customHeight="1">
      <c r="A14" s="110">
        <v>8</v>
      </c>
      <c r="B14" s="11" t="s">
        <v>57</v>
      </c>
      <c r="C14" s="11" t="s">
        <v>123</v>
      </c>
      <c r="D14" s="55" t="s">
        <v>348</v>
      </c>
      <c r="E14" s="57" t="s">
        <v>737</v>
      </c>
      <c r="F14" s="12" t="s">
        <v>738</v>
      </c>
      <c r="G14" s="12">
        <v>1</v>
      </c>
      <c r="H14" s="13">
        <v>25</v>
      </c>
      <c r="I14" s="7">
        <v>20000</v>
      </c>
      <c r="J14" s="14">
        <v>3670</v>
      </c>
      <c r="K14" s="15">
        <f>L14</f>
        <v>3666</v>
      </c>
      <c r="L14" s="15">
        <f>2900+766</f>
        <v>3666</v>
      </c>
      <c r="M14" s="16">
        <f t="shared" ref="M14" si="10">L14-N14</f>
        <v>3666</v>
      </c>
      <c r="N14" s="16">
        <v>0</v>
      </c>
      <c r="O14" s="62">
        <f t="shared" ref="O14" si="11">IF(L14=0,"0",N14/L14)</f>
        <v>0</v>
      </c>
      <c r="P14" s="42">
        <f t="shared" ref="P14" si="12">IF(L14=0,"0",(24-Q14))</f>
        <v>18</v>
      </c>
      <c r="Q14" s="43">
        <f t="shared" ref="Q14" si="13">SUM(R14:AA14)</f>
        <v>6</v>
      </c>
      <c r="R14" s="7"/>
      <c r="S14" s="6"/>
      <c r="T14" s="17">
        <v>6</v>
      </c>
      <c r="U14" s="17"/>
      <c r="V14" s="18"/>
      <c r="W14" s="19"/>
      <c r="X14" s="17"/>
      <c r="Y14" s="20"/>
      <c r="Z14" s="20"/>
      <c r="AA14" s="21"/>
      <c r="AB14" s="8">
        <f t="shared" ref="AB14" si="14">IF(J14=0,"0",(L14/J14))</f>
        <v>0.99891008174386919</v>
      </c>
      <c r="AC14" s="9">
        <f t="shared" ref="AC14" si="15">IF(P14=0,"0",(P14/24))</f>
        <v>0.75</v>
      </c>
      <c r="AD14" s="10">
        <f t="shared" ref="AD14" si="16">AC14*AB14*(1-O14)</f>
        <v>0.74918256130790195</v>
      </c>
      <c r="AE14" s="39">
        <f t="shared" si="7"/>
        <v>0.53306079213944335</v>
      </c>
      <c r="AF14" s="94">
        <f t="shared" ref="AF14" si="17">A14</f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158</v>
      </c>
      <c r="E15" s="57" t="s">
        <v>180</v>
      </c>
      <c r="F15" s="33" t="s">
        <v>126</v>
      </c>
      <c r="G15" s="36">
        <v>1</v>
      </c>
      <c r="H15" s="38">
        <v>25</v>
      </c>
      <c r="I15" s="7">
        <v>200</v>
      </c>
      <c r="J15" s="5">
        <v>465</v>
      </c>
      <c r="K15" s="15">
        <f>L15+813+342+465</f>
        <v>1620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0.53306079213944335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131</v>
      </c>
      <c r="D16" s="55" t="s">
        <v>137</v>
      </c>
      <c r="E16" s="57" t="s">
        <v>138</v>
      </c>
      <c r="F16" s="12" t="s">
        <v>139</v>
      </c>
      <c r="G16" s="12">
        <v>3</v>
      </c>
      <c r="H16" s="13">
        <v>24</v>
      </c>
      <c r="I16" s="34">
        <v>30000</v>
      </c>
      <c r="J16" s="14">
        <v>2811</v>
      </c>
      <c r="K16" s="15">
        <f>L16+14277+17994+15387+2811</f>
        <v>50469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0.53306079213944335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122</v>
      </c>
      <c r="D17" s="55" t="s">
        <v>319</v>
      </c>
      <c r="E17" s="56" t="s">
        <v>612</v>
      </c>
      <c r="F17" s="12" t="s">
        <v>541</v>
      </c>
      <c r="G17" s="36">
        <v>2</v>
      </c>
      <c r="H17" s="38">
        <v>25</v>
      </c>
      <c r="I17" s="7">
        <v>20000</v>
      </c>
      <c r="J17" s="14">
        <v>11090</v>
      </c>
      <c r="K17" s="15">
        <f>L17+9822+10544</f>
        <v>31452</v>
      </c>
      <c r="L17" s="15">
        <f>2434*2+3109*2</f>
        <v>11086</v>
      </c>
      <c r="M17" s="16">
        <f t="shared" si="0"/>
        <v>11086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0.99963931469792611</v>
      </c>
      <c r="AC17" s="9">
        <f t="shared" si="5"/>
        <v>1</v>
      </c>
      <c r="AD17" s="10">
        <f t="shared" si="6"/>
        <v>0.99963931469792611</v>
      </c>
      <c r="AE17" s="39">
        <f t="shared" si="7"/>
        <v>0.53306079213944335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123</v>
      </c>
      <c r="D18" s="55" t="s">
        <v>675</v>
      </c>
      <c r="E18" s="56" t="s">
        <v>676</v>
      </c>
      <c r="F18" s="12" t="s">
        <v>608</v>
      </c>
      <c r="G18" s="12">
        <v>1</v>
      </c>
      <c r="H18" s="13">
        <v>25</v>
      </c>
      <c r="I18" s="34">
        <v>4000</v>
      </c>
      <c r="J18" s="5">
        <v>2420</v>
      </c>
      <c r="K18" s="15">
        <f>L18+2945</f>
        <v>5356</v>
      </c>
      <c r="L18" s="15">
        <f>2411</f>
        <v>2411</v>
      </c>
      <c r="M18" s="16">
        <f t="shared" si="0"/>
        <v>2411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/>
      <c r="U18" s="17"/>
      <c r="V18" s="18"/>
      <c r="W18" s="19">
        <v>10</v>
      </c>
      <c r="X18" s="17"/>
      <c r="Y18" s="20"/>
      <c r="Z18" s="20"/>
      <c r="AA18" s="21"/>
      <c r="AB18" s="8">
        <f t="shared" si="4"/>
        <v>0.99628099173553719</v>
      </c>
      <c r="AC18" s="9">
        <f t="shared" si="5"/>
        <v>0.58333333333333337</v>
      </c>
      <c r="AD18" s="10">
        <f t="shared" si="6"/>
        <v>0.58116391184573002</v>
      </c>
      <c r="AE18" s="39">
        <f t="shared" si="7"/>
        <v>0.53306079213944335</v>
      </c>
      <c r="AF18" s="94">
        <f t="shared" ref="AF18" si="18">A18</f>
        <v>12</v>
      </c>
    </row>
    <row r="19" spans="1:36" ht="27" customHeight="1">
      <c r="A19" s="110">
        <v>13</v>
      </c>
      <c r="B19" s="11" t="s">
        <v>57</v>
      </c>
      <c r="C19" s="37" t="s">
        <v>122</v>
      </c>
      <c r="D19" s="55" t="s">
        <v>617</v>
      </c>
      <c r="E19" s="57" t="s">
        <v>577</v>
      </c>
      <c r="F19" s="33" t="s">
        <v>375</v>
      </c>
      <c r="G19" s="36">
        <v>1</v>
      </c>
      <c r="H19" s="38">
        <v>25</v>
      </c>
      <c r="I19" s="7">
        <v>2500</v>
      </c>
      <c r="J19" s="5">
        <v>3115</v>
      </c>
      <c r="K19" s="15">
        <f>L19+3115</f>
        <v>3115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0.53306079213944335</v>
      </c>
      <c r="AF19" s="94">
        <f t="shared" si="8"/>
        <v>13</v>
      </c>
    </row>
    <row r="20" spans="1:36" ht="27" customHeight="1">
      <c r="A20" s="110">
        <v>14</v>
      </c>
      <c r="B20" s="11" t="s">
        <v>57</v>
      </c>
      <c r="C20" s="11" t="s">
        <v>122</v>
      </c>
      <c r="D20" s="55" t="s">
        <v>348</v>
      </c>
      <c r="E20" s="57" t="s">
        <v>619</v>
      </c>
      <c r="F20" s="12" t="s">
        <v>375</v>
      </c>
      <c r="G20" s="12">
        <v>2</v>
      </c>
      <c r="H20" s="13">
        <v>25</v>
      </c>
      <c r="I20" s="7">
        <v>20000</v>
      </c>
      <c r="J20" s="14">
        <v>11200</v>
      </c>
      <c r="K20" s="15">
        <f>L20+8690+8172</f>
        <v>28060</v>
      </c>
      <c r="L20" s="15">
        <f>2543*2+3056*2</f>
        <v>11198</v>
      </c>
      <c r="M20" s="16">
        <f t="shared" si="0"/>
        <v>11198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0.99982142857142853</v>
      </c>
      <c r="AC20" s="9">
        <f t="shared" si="5"/>
        <v>1</v>
      </c>
      <c r="AD20" s="10">
        <f t="shared" si="6"/>
        <v>0.99982142857142853</v>
      </c>
      <c r="AE20" s="39">
        <f t="shared" si="7"/>
        <v>0.53306079213944335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361</v>
      </c>
      <c r="D21" s="55"/>
      <c r="E21" s="56" t="s">
        <v>531</v>
      </c>
      <c r="F21" s="12" t="s">
        <v>133</v>
      </c>
      <c r="G21" s="12">
        <v>3</v>
      </c>
      <c r="H21" s="38">
        <v>20</v>
      </c>
      <c r="I21" s="7">
        <v>30000</v>
      </c>
      <c r="J21" s="14">
        <v>20040</v>
      </c>
      <c r="K21" s="15">
        <f>L21+26820+33612</f>
        <v>80466</v>
      </c>
      <c r="L21" s="15">
        <f>5281*3+1397*3</f>
        <v>20034</v>
      </c>
      <c r="M21" s="16">
        <f t="shared" si="0"/>
        <v>20034</v>
      </c>
      <c r="N21" s="16">
        <v>0</v>
      </c>
      <c r="O21" s="62">
        <f t="shared" si="1"/>
        <v>0</v>
      </c>
      <c r="P21" s="42">
        <f t="shared" si="2"/>
        <v>20</v>
      </c>
      <c r="Q21" s="43">
        <f t="shared" si="3"/>
        <v>4</v>
      </c>
      <c r="R21" s="7"/>
      <c r="S21" s="6"/>
      <c r="T21" s="17"/>
      <c r="U21" s="17"/>
      <c r="V21" s="18"/>
      <c r="W21" s="19">
        <v>4</v>
      </c>
      <c r="X21" s="17"/>
      <c r="Y21" s="20"/>
      <c r="Z21" s="20"/>
      <c r="AA21" s="21"/>
      <c r="AB21" s="8">
        <f t="shared" si="4"/>
        <v>0.99970059880239526</v>
      </c>
      <c r="AC21" s="9">
        <f t="shared" si="5"/>
        <v>0.83333333333333337</v>
      </c>
      <c r="AD21" s="10">
        <f t="shared" si="6"/>
        <v>0.83308383233532945</v>
      </c>
      <c r="AE21" s="39">
        <f t="shared" si="7"/>
        <v>0.53306079213944335</v>
      </c>
      <c r="AF21" s="94">
        <f t="shared" si="8"/>
        <v>15</v>
      </c>
    </row>
    <row r="22" spans="1:36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249800</v>
      </c>
      <c r="J22" s="22">
        <f t="shared" si="19"/>
        <v>86670</v>
      </c>
      <c r="K22" s="23">
        <f t="shared" si="19"/>
        <v>301831</v>
      </c>
      <c r="L22" s="24">
        <f t="shared" si="19"/>
        <v>73047</v>
      </c>
      <c r="M22" s="23">
        <f t="shared" si="19"/>
        <v>73047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192</v>
      </c>
      <c r="Q22" s="46">
        <f t="shared" si="20"/>
        <v>192</v>
      </c>
      <c r="R22" s="26">
        <f t="shared" si="20"/>
        <v>0</v>
      </c>
      <c r="S22" s="27">
        <f t="shared" si="20"/>
        <v>11</v>
      </c>
      <c r="T22" s="27">
        <f t="shared" si="20"/>
        <v>6</v>
      </c>
      <c r="U22" s="27">
        <f t="shared" si="20"/>
        <v>0</v>
      </c>
      <c r="V22" s="28">
        <f t="shared" si="20"/>
        <v>0</v>
      </c>
      <c r="W22" s="29">
        <f t="shared" si="20"/>
        <v>175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0.73279016103674377</v>
      </c>
      <c r="AC22" s="4">
        <f>SUM(AC6:AC21)/15</f>
        <v>0.53333333333333333</v>
      </c>
      <c r="AD22" s="4">
        <f>SUM(AD6:AD21)/15</f>
        <v>0.53306079213944335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739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747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247" t="s">
        <v>46</v>
      </c>
      <c r="D51" s="247" t="s">
        <v>47</v>
      </c>
      <c r="E51" s="247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247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740</v>
      </c>
      <c r="B52" s="421"/>
      <c r="C52" s="248" t="s">
        <v>352</v>
      </c>
      <c r="D52" s="249" t="s">
        <v>135</v>
      </c>
      <c r="E52" s="248" t="s">
        <v>735</v>
      </c>
      <c r="F52" s="405" t="s">
        <v>339</v>
      </c>
      <c r="G52" s="405"/>
      <c r="H52" s="405"/>
      <c r="I52" s="405"/>
      <c r="J52" s="405"/>
      <c r="K52" s="405"/>
      <c r="L52" s="405"/>
      <c r="M52" s="415"/>
      <c r="N52" s="253" t="s">
        <v>749</v>
      </c>
      <c r="O52" s="74" t="s">
        <v>697</v>
      </c>
      <c r="P52" s="422" t="s">
        <v>750</v>
      </c>
      <c r="Q52" s="423"/>
      <c r="R52" s="414" t="s">
        <v>748</v>
      </c>
      <c r="S52" s="414"/>
      <c r="T52" s="414"/>
      <c r="U52" s="414"/>
      <c r="V52" s="405" t="s">
        <v>704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692</v>
      </c>
      <c r="B53" s="421"/>
      <c r="C53" s="248" t="s">
        <v>693</v>
      </c>
      <c r="D53" s="249" t="s">
        <v>694</v>
      </c>
      <c r="E53" s="248" t="s">
        <v>691</v>
      </c>
      <c r="F53" s="405" t="s">
        <v>741</v>
      </c>
      <c r="G53" s="405"/>
      <c r="H53" s="405"/>
      <c r="I53" s="405"/>
      <c r="J53" s="405"/>
      <c r="K53" s="405"/>
      <c r="L53" s="405"/>
      <c r="M53" s="415"/>
      <c r="N53" s="253" t="s">
        <v>752</v>
      </c>
      <c r="O53" s="74" t="s">
        <v>579</v>
      </c>
      <c r="P53" s="422"/>
      <c r="Q53" s="423"/>
      <c r="R53" s="414" t="s">
        <v>751</v>
      </c>
      <c r="S53" s="414"/>
      <c r="T53" s="414"/>
      <c r="U53" s="414"/>
      <c r="V53" s="405" t="s">
        <v>704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686</v>
      </c>
      <c r="B54" s="421"/>
      <c r="C54" s="248" t="s">
        <v>712</v>
      </c>
      <c r="D54" s="249" t="s">
        <v>713</v>
      </c>
      <c r="E54" s="248" t="s">
        <v>742</v>
      </c>
      <c r="F54" s="405" t="s">
        <v>743</v>
      </c>
      <c r="G54" s="405"/>
      <c r="H54" s="405"/>
      <c r="I54" s="405"/>
      <c r="J54" s="405"/>
      <c r="K54" s="405"/>
      <c r="L54" s="405"/>
      <c r="M54" s="415"/>
      <c r="N54" s="253" t="s">
        <v>754</v>
      </c>
      <c r="O54" s="74" t="s">
        <v>565</v>
      </c>
      <c r="P54" s="414" t="s">
        <v>755</v>
      </c>
      <c r="Q54" s="414"/>
      <c r="R54" s="414" t="s">
        <v>753</v>
      </c>
      <c r="S54" s="414"/>
      <c r="T54" s="414"/>
      <c r="U54" s="414"/>
      <c r="V54" s="405" t="s">
        <v>704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696</v>
      </c>
      <c r="B55" s="421"/>
      <c r="C55" s="248" t="s">
        <v>697</v>
      </c>
      <c r="D55" s="249" t="s">
        <v>698</v>
      </c>
      <c r="E55" s="248" t="s">
        <v>744</v>
      </c>
      <c r="F55" s="405" t="s">
        <v>745</v>
      </c>
      <c r="G55" s="405"/>
      <c r="H55" s="405"/>
      <c r="I55" s="405"/>
      <c r="J55" s="405"/>
      <c r="K55" s="405"/>
      <c r="L55" s="405"/>
      <c r="M55" s="415"/>
      <c r="N55" s="253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 t="s">
        <v>740</v>
      </c>
      <c r="B56" s="421"/>
      <c r="C56" s="248" t="s">
        <v>709</v>
      </c>
      <c r="D56" s="249" t="s">
        <v>710</v>
      </c>
      <c r="E56" s="248" t="s">
        <v>746</v>
      </c>
      <c r="F56" s="405" t="s">
        <v>339</v>
      </c>
      <c r="G56" s="405"/>
      <c r="H56" s="405"/>
      <c r="I56" s="405"/>
      <c r="J56" s="405"/>
      <c r="K56" s="405"/>
      <c r="L56" s="405"/>
      <c r="M56" s="415"/>
      <c r="N56" s="253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48"/>
      <c r="D57" s="249"/>
      <c r="E57" s="248"/>
      <c r="F57" s="405"/>
      <c r="G57" s="405"/>
      <c r="H57" s="405"/>
      <c r="I57" s="405"/>
      <c r="J57" s="405"/>
      <c r="K57" s="405"/>
      <c r="L57" s="405"/>
      <c r="M57" s="415"/>
      <c r="N57" s="253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48"/>
      <c r="D58" s="249"/>
      <c r="E58" s="248"/>
      <c r="F58" s="405"/>
      <c r="G58" s="405"/>
      <c r="H58" s="405"/>
      <c r="I58" s="405"/>
      <c r="J58" s="405"/>
      <c r="K58" s="405"/>
      <c r="L58" s="405"/>
      <c r="M58" s="415"/>
      <c r="N58" s="253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/>
      <c r="B59" s="421"/>
      <c r="C59" s="248"/>
      <c r="D59" s="249"/>
      <c r="E59" s="248"/>
      <c r="F59" s="405"/>
      <c r="G59" s="405"/>
      <c r="H59" s="405"/>
      <c r="I59" s="405"/>
      <c r="J59" s="405"/>
      <c r="K59" s="405"/>
      <c r="L59" s="405"/>
      <c r="M59" s="415"/>
      <c r="N59" s="253"/>
      <c r="O59" s="74"/>
      <c r="P59" s="422"/>
      <c r="Q59" s="423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249"/>
      <c r="D60" s="249"/>
      <c r="E60" s="249"/>
      <c r="F60" s="405"/>
      <c r="G60" s="405"/>
      <c r="H60" s="405"/>
      <c r="I60" s="405"/>
      <c r="J60" s="405"/>
      <c r="K60" s="405"/>
      <c r="L60" s="405"/>
      <c r="M60" s="415"/>
      <c r="N60" s="253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251"/>
      <c r="D61" s="251"/>
      <c r="E61" s="251"/>
      <c r="F61" s="418"/>
      <c r="G61" s="418"/>
      <c r="H61" s="418"/>
      <c r="I61" s="418"/>
      <c r="J61" s="418"/>
      <c r="K61" s="418"/>
      <c r="L61" s="418"/>
      <c r="M61" s="419"/>
      <c r="N61" s="250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756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252" t="s">
        <v>2</v>
      </c>
      <c r="D63" s="252" t="s">
        <v>37</v>
      </c>
      <c r="E63" s="252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252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692</v>
      </c>
      <c r="D64" s="256"/>
      <c r="E64" s="254" t="s">
        <v>688</v>
      </c>
      <c r="F64" s="403" t="s">
        <v>757</v>
      </c>
      <c r="G64" s="395"/>
      <c r="H64" s="395"/>
      <c r="I64" s="395"/>
      <c r="J64" s="395"/>
      <c r="K64" s="395" t="s">
        <v>758</v>
      </c>
      <c r="L64" s="395"/>
      <c r="M64" s="54" t="s">
        <v>719</v>
      </c>
      <c r="N64" s="395">
        <v>13</v>
      </c>
      <c r="O64" s="395"/>
      <c r="P64" s="404">
        <v>150</v>
      </c>
      <c r="Q64" s="404"/>
      <c r="R64" s="405" t="s">
        <v>720</v>
      </c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 t="s">
        <v>705</v>
      </c>
      <c r="D65" s="256"/>
      <c r="E65" s="254" t="s">
        <v>728</v>
      </c>
      <c r="F65" s="403" t="s">
        <v>729</v>
      </c>
      <c r="G65" s="395"/>
      <c r="H65" s="395"/>
      <c r="I65" s="395"/>
      <c r="J65" s="395"/>
      <c r="K65" s="395" t="s">
        <v>730</v>
      </c>
      <c r="L65" s="395"/>
      <c r="M65" s="54" t="s">
        <v>719</v>
      </c>
      <c r="N65" s="395">
        <v>13</v>
      </c>
      <c r="O65" s="395"/>
      <c r="P65" s="404">
        <v>150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 t="s">
        <v>705</v>
      </c>
      <c r="D66" s="256"/>
      <c r="E66" s="254" t="s">
        <v>760</v>
      </c>
      <c r="F66" s="403" t="s">
        <v>759</v>
      </c>
      <c r="G66" s="395"/>
      <c r="H66" s="395"/>
      <c r="I66" s="395"/>
      <c r="J66" s="395"/>
      <c r="K66" s="395" t="s">
        <v>727</v>
      </c>
      <c r="L66" s="395"/>
      <c r="M66" s="54" t="s">
        <v>719</v>
      </c>
      <c r="N66" s="395">
        <v>7</v>
      </c>
      <c r="O66" s="395"/>
      <c r="P66" s="404">
        <v>150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/>
      <c r="D67" s="256"/>
      <c r="E67" s="254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/>
      <c r="D68" s="256"/>
      <c r="E68" s="254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256"/>
      <c r="E69" s="254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256"/>
      <c r="E70" s="254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256"/>
      <c r="E71" s="254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761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255" t="s">
        <v>2</v>
      </c>
      <c r="D73" s="255" t="s">
        <v>37</v>
      </c>
      <c r="E73" s="255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257" t="s">
        <v>114</v>
      </c>
      <c r="D74" s="257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256" t="s">
        <v>114</v>
      </c>
      <c r="D75" s="256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256"/>
      <c r="D76" s="256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256"/>
      <c r="D77" s="256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256"/>
      <c r="D78" s="256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256"/>
      <c r="D79" s="256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256"/>
      <c r="D80" s="256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256"/>
      <c r="D81" s="256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256"/>
      <c r="D82" s="256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762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43" zoomScale="72" zoomScaleNormal="72" zoomScaleSheetLayoutView="70" workbookViewId="0">
      <selection activeCell="L16" sqref="L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763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125</v>
      </c>
      <c r="E6" s="57" t="s">
        <v>597</v>
      </c>
      <c r="F6" s="33" t="s">
        <v>541</v>
      </c>
      <c r="G6" s="12">
        <v>2</v>
      </c>
      <c r="H6" s="13">
        <v>25</v>
      </c>
      <c r="I6" s="34">
        <v>20000</v>
      </c>
      <c r="J6" s="5">
        <v>10162</v>
      </c>
      <c r="K6" s="15">
        <f>L6+6650+9890+10162</f>
        <v>26702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0.36061140026848781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131</v>
      </c>
      <c r="D7" s="55" t="s">
        <v>546</v>
      </c>
      <c r="E7" s="57" t="s">
        <v>520</v>
      </c>
      <c r="F7" s="33" t="s">
        <v>548</v>
      </c>
      <c r="G7" s="12">
        <v>3</v>
      </c>
      <c r="H7" s="13">
        <v>25</v>
      </c>
      <c r="I7" s="34">
        <v>30000</v>
      </c>
      <c r="J7" s="5">
        <v>6244</v>
      </c>
      <c r="K7" s="15">
        <f>L7+7002+13602+6244</f>
        <v>26848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0.36061140026848781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735</v>
      </c>
      <c r="F8" s="12" t="s">
        <v>665</v>
      </c>
      <c r="G8" s="12">
        <v>1</v>
      </c>
      <c r="H8" s="13">
        <v>25</v>
      </c>
      <c r="I8" s="34">
        <v>20000</v>
      </c>
      <c r="J8" s="14">
        <v>5150</v>
      </c>
      <c r="K8" s="15">
        <f>L8+5534</f>
        <v>10677</v>
      </c>
      <c r="L8" s="15">
        <f>2778+2365</f>
        <v>5143</v>
      </c>
      <c r="M8" s="16">
        <f t="shared" si="0"/>
        <v>5143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0.99864077669902918</v>
      </c>
      <c r="AC8" s="9">
        <f t="shared" si="5"/>
        <v>1</v>
      </c>
      <c r="AD8" s="10">
        <f t="shared" si="6"/>
        <v>0.99864077669902918</v>
      </c>
      <c r="AE8" s="39">
        <f t="shared" si="7"/>
        <v>0.36061140026848781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123</v>
      </c>
      <c r="D9" s="55" t="s">
        <v>121</v>
      </c>
      <c r="E9" s="57" t="s">
        <v>652</v>
      </c>
      <c r="F9" s="33" t="s">
        <v>669</v>
      </c>
      <c r="G9" s="36">
        <v>1</v>
      </c>
      <c r="H9" s="38">
        <v>25</v>
      </c>
      <c r="I9" s="7">
        <v>20000</v>
      </c>
      <c r="J9" s="5">
        <v>5220</v>
      </c>
      <c r="K9" s="15">
        <f>L9+2702+3670</f>
        <v>11584</v>
      </c>
      <c r="L9" s="15">
        <f>2876+2336</f>
        <v>5212</v>
      </c>
      <c r="M9" s="16">
        <f t="shared" si="0"/>
        <v>5212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0.99846743295019158</v>
      </c>
      <c r="AC9" s="9">
        <f t="shared" si="5"/>
        <v>1</v>
      </c>
      <c r="AD9" s="10">
        <f t="shared" si="6"/>
        <v>0.99846743295019158</v>
      </c>
      <c r="AE9" s="39">
        <f t="shared" si="7"/>
        <v>0.36061140026848781</v>
      </c>
      <c r="AF9" s="94">
        <f t="shared" ref="AF9:AF11" si="9">A9</f>
        <v>4</v>
      </c>
    </row>
    <row r="10" spans="1:36" ht="27" customHeight="1">
      <c r="A10" s="110">
        <v>5</v>
      </c>
      <c r="B10" s="11" t="s">
        <v>57</v>
      </c>
      <c r="C10" s="11" t="s">
        <v>122</v>
      </c>
      <c r="D10" s="55" t="s">
        <v>121</v>
      </c>
      <c r="E10" s="57" t="s">
        <v>522</v>
      </c>
      <c r="F10" s="12" t="s">
        <v>608</v>
      </c>
      <c r="G10" s="12">
        <v>1</v>
      </c>
      <c r="H10" s="13">
        <v>25</v>
      </c>
      <c r="I10" s="34">
        <v>20000</v>
      </c>
      <c r="J10" s="14">
        <v>4990</v>
      </c>
      <c r="K10" s="15">
        <f>L10+5027+4987+3977</f>
        <v>18978</v>
      </c>
      <c r="L10" s="15">
        <f>2759+2228</f>
        <v>4987</v>
      </c>
      <c r="M10" s="16">
        <f t="shared" si="0"/>
        <v>4987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0.99939879759519035</v>
      </c>
      <c r="AC10" s="9">
        <f t="shared" si="5"/>
        <v>1</v>
      </c>
      <c r="AD10" s="10">
        <f t="shared" si="6"/>
        <v>0.99939879759519035</v>
      </c>
      <c r="AE10" s="39">
        <f t="shared" si="7"/>
        <v>0.36061140026848781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37" t="s">
        <v>114</v>
      </c>
      <c r="D11" s="55" t="s">
        <v>140</v>
      </c>
      <c r="E11" s="57" t="s">
        <v>764</v>
      </c>
      <c r="F11" s="33" t="s">
        <v>605</v>
      </c>
      <c r="G11" s="36">
        <v>1</v>
      </c>
      <c r="H11" s="38">
        <v>25</v>
      </c>
      <c r="I11" s="7">
        <v>8000</v>
      </c>
      <c r="J11" s="5">
        <v>4080</v>
      </c>
      <c r="K11" s="15">
        <f>L11</f>
        <v>4078</v>
      </c>
      <c r="L11" s="15">
        <f>2458+1620</f>
        <v>4078</v>
      </c>
      <c r="M11" s="16">
        <f t="shared" si="0"/>
        <v>4078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/>
      <c r="T11" s="17">
        <v>3</v>
      </c>
      <c r="U11" s="17"/>
      <c r="V11" s="18"/>
      <c r="W11" s="19"/>
      <c r="X11" s="17"/>
      <c r="Y11" s="20"/>
      <c r="Z11" s="20"/>
      <c r="AA11" s="21"/>
      <c r="AB11" s="8">
        <f t="shared" si="4"/>
        <v>0.99950980392156863</v>
      </c>
      <c r="AC11" s="9">
        <f t="shared" si="5"/>
        <v>0.875</v>
      </c>
      <c r="AD11" s="10">
        <f t="shared" si="6"/>
        <v>0.8745710784313725</v>
      </c>
      <c r="AE11" s="39">
        <f t="shared" si="7"/>
        <v>0.36061140026848781</v>
      </c>
      <c r="AF11" s="94">
        <f t="shared" si="9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348</v>
      </c>
      <c r="E12" s="57" t="s">
        <v>765</v>
      </c>
      <c r="F12" s="12" t="s">
        <v>371</v>
      </c>
      <c r="G12" s="12">
        <v>1</v>
      </c>
      <c r="H12" s="13">
        <v>25</v>
      </c>
      <c r="I12" s="7">
        <v>2000</v>
      </c>
      <c r="J12" s="14">
        <v>962</v>
      </c>
      <c r="K12" s="15">
        <f>L12</f>
        <v>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0.36061140026848781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123</v>
      </c>
      <c r="D13" s="55" t="s">
        <v>348</v>
      </c>
      <c r="E13" s="57" t="s">
        <v>737</v>
      </c>
      <c r="F13" s="12" t="s">
        <v>738</v>
      </c>
      <c r="G13" s="12">
        <v>1</v>
      </c>
      <c r="H13" s="13">
        <v>25</v>
      </c>
      <c r="I13" s="7">
        <v>20000</v>
      </c>
      <c r="J13" s="14">
        <v>4970</v>
      </c>
      <c r="K13" s="15">
        <f>L13+3666</f>
        <v>8630</v>
      </c>
      <c r="L13" s="15">
        <f>2660+2304</f>
        <v>4964</v>
      </c>
      <c r="M13" s="16">
        <f t="shared" si="0"/>
        <v>4964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0.99879275653923538</v>
      </c>
      <c r="AC13" s="9">
        <f t="shared" si="5"/>
        <v>1</v>
      </c>
      <c r="AD13" s="10">
        <f t="shared" si="6"/>
        <v>0.99879275653923538</v>
      </c>
      <c r="AE13" s="39">
        <f t="shared" si="7"/>
        <v>0.36061140026848781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158</v>
      </c>
      <c r="E14" s="57" t="s">
        <v>180</v>
      </c>
      <c r="F14" s="33" t="s">
        <v>126</v>
      </c>
      <c r="G14" s="36">
        <v>1</v>
      </c>
      <c r="H14" s="38">
        <v>25</v>
      </c>
      <c r="I14" s="7">
        <v>200</v>
      </c>
      <c r="J14" s="5">
        <v>465</v>
      </c>
      <c r="K14" s="15">
        <f>L14+813+342+465</f>
        <v>1620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0.36061140026848781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0.36061140026848781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319</v>
      </c>
      <c r="E16" s="56" t="s">
        <v>612</v>
      </c>
      <c r="F16" s="12" t="s">
        <v>541</v>
      </c>
      <c r="G16" s="36">
        <v>2</v>
      </c>
      <c r="H16" s="38">
        <v>25</v>
      </c>
      <c r="I16" s="7">
        <v>20000</v>
      </c>
      <c r="J16" s="14">
        <v>11090</v>
      </c>
      <c r="K16" s="15">
        <f>L16+9822+10544+11086</f>
        <v>31452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0.36061140026848781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123</v>
      </c>
      <c r="D17" s="55" t="s">
        <v>675</v>
      </c>
      <c r="E17" s="56" t="s">
        <v>676</v>
      </c>
      <c r="F17" s="12" t="s">
        <v>608</v>
      </c>
      <c r="G17" s="12">
        <v>1</v>
      </c>
      <c r="H17" s="13">
        <v>25</v>
      </c>
      <c r="I17" s="34">
        <v>4000</v>
      </c>
      <c r="J17" s="5">
        <v>2420</v>
      </c>
      <c r="K17" s="15">
        <f>L17+2945+2411</f>
        <v>5356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0.36061140026848781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617</v>
      </c>
      <c r="E18" s="57" t="s">
        <v>577</v>
      </c>
      <c r="F18" s="33" t="s">
        <v>375</v>
      </c>
      <c r="G18" s="36">
        <v>1</v>
      </c>
      <c r="H18" s="38">
        <v>25</v>
      </c>
      <c r="I18" s="7">
        <v>2500</v>
      </c>
      <c r="J18" s="5">
        <v>3115</v>
      </c>
      <c r="K18" s="15">
        <f>L18+3115</f>
        <v>3115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0.36061140026848781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114</v>
      </c>
      <c r="D19" s="55" t="s">
        <v>766</v>
      </c>
      <c r="E19" s="57" t="s">
        <v>767</v>
      </c>
      <c r="F19" s="12" t="s">
        <v>768</v>
      </c>
      <c r="G19" s="12">
        <v>1</v>
      </c>
      <c r="H19" s="13">
        <v>25</v>
      </c>
      <c r="I19" s="7">
        <v>2000</v>
      </c>
      <c r="J19" s="14">
        <v>2060</v>
      </c>
      <c r="K19" s="15">
        <f>L19</f>
        <v>2051</v>
      </c>
      <c r="L19" s="15">
        <f>2051</f>
        <v>2051</v>
      </c>
      <c r="M19" s="16">
        <f t="shared" si="0"/>
        <v>2051</v>
      </c>
      <c r="N19" s="16">
        <v>0</v>
      </c>
      <c r="O19" s="62">
        <f t="shared" si="1"/>
        <v>0</v>
      </c>
      <c r="P19" s="42">
        <f t="shared" si="2"/>
        <v>13</v>
      </c>
      <c r="Q19" s="43">
        <f t="shared" si="3"/>
        <v>11</v>
      </c>
      <c r="R19" s="7"/>
      <c r="S19" s="6"/>
      <c r="T19" s="17">
        <v>11</v>
      </c>
      <c r="U19" s="17"/>
      <c r="V19" s="18"/>
      <c r="W19" s="19"/>
      <c r="X19" s="17"/>
      <c r="Y19" s="20"/>
      <c r="Z19" s="20"/>
      <c r="AA19" s="21"/>
      <c r="AB19" s="8">
        <f t="shared" si="4"/>
        <v>0.99563106796116507</v>
      </c>
      <c r="AC19" s="9">
        <f t="shared" si="5"/>
        <v>0.54166666666666663</v>
      </c>
      <c r="AD19" s="10">
        <f t="shared" si="6"/>
        <v>0.53930016181229767</v>
      </c>
      <c r="AE19" s="39">
        <f t="shared" si="7"/>
        <v>0.36061140026848781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769</v>
      </c>
      <c r="D20" s="55"/>
      <c r="E20" s="56" t="s">
        <v>770</v>
      </c>
      <c r="F20" s="12" t="s">
        <v>133</v>
      </c>
      <c r="G20" s="12">
        <v>4</v>
      </c>
      <c r="H20" s="38">
        <v>20</v>
      </c>
      <c r="I20" s="7">
        <v>800000</v>
      </c>
      <c r="J20" s="14">
        <v>20040</v>
      </c>
      <c r="K20" s="15">
        <f>L20</f>
        <v>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0.36061140026848781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998700</v>
      </c>
      <c r="J21" s="22">
        <f t="shared" si="11"/>
        <v>83779</v>
      </c>
      <c r="K21" s="23">
        <f t="shared" si="11"/>
        <v>201560</v>
      </c>
      <c r="L21" s="24">
        <f t="shared" si="11"/>
        <v>26435</v>
      </c>
      <c r="M21" s="23">
        <f t="shared" si="11"/>
        <v>26435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130</v>
      </c>
      <c r="Q21" s="46">
        <f t="shared" si="12"/>
        <v>230</v>
      </c>
      <c r="R21" s="26">
        <f t="shared" si="12"/>
        <v>0</v>
      </c>
      <c r="S21" s="27">
        <f t="shared" si="12"/>
        <v>48</v>
      </c>
      <c r="T21" s="27">
        <f t="shared" si="12"/>
        <v>14</v>
      </c>
      <c r="U21" s="27">
        <f t="shared" si="12"/>
        <v>0</v>
      </c>
      <c r="V21" s="28">
        <f t="shared" si="12"/>
        <v>0</v>
      </c>
      <c r="W21" s="29">
        <f t="shared" si="12"/>
        <v>168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0.39936270904442533</v>
      </c>
      <c r="AC21" s="4">
        <f>SUM(AC6:AC20)/15</f>
        <v>0.3611111111111111</v>
      </c>
      <c r="AD21" s="4">
        <f>SUM(AD6:AD20)/15</f>
        <v>0.36061140026848781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771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784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268" t="s">
        <v>46</v>
      </c>
      <c r="D50" s="268" t="s">
        <v>47</v>
      </c>
      <c r="E50" s="268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268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772</v>
      </c>
      <c r="B51" s="421"/>
      <c r="C51" s="267" t="s">
        <v>773</v>
      </c>
      <c r="D51" s="264" t="s">
        <v>774</v>
      </c>
      <c r="E51" s="267" t="s">
        <v>765</v>
      </c>
      <c r="F51" s="405" t="s">
        <v>775</v>
      </c>
      <c r="G51" s="405"/>
      <c r="H51" s="405"/>
      <c r="I51" s="405"/>
      <c r="J51" s="405"/>
      <c r="K51" s="405"/>
      <c r="L51" s="405"/>
      <c r="M51" s="415"/>
      <c r="N51" s="263" t="s">
        <v>785</v>
      </c>
      <c r="O51" s="74" t="s">
        <v>697</v>
      </c>
      <c r="P51" s="422" t="s">
        <v>786</v>
      </c>
      <c r="Q51" s="423"/>
      <c r="R51" s="414" t="s">
        <v>787</v>
      </c>
      <c r="S51" s="414"/>
      <c r="T51" s="414"/>
      <c r="U51" s="414"/>
      <c r="V51" s="405" t="s">
        <v>788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772</v>
      </c>
      <c r="B52" s="421"/>
      <c r="C52" s="267" t="s">
        <v>776</v>
      </c>
      <c r="D52" s="264" t="s">
        <v>766</v>
      </c>
      <c r="E52" s="267" t="s">
        <v>777</v>
      </c>
      <c r="F52" s="405" t="s">
        <v>778</v>
      </c>
      <c r="G52" s="405"/>
      <c r="H52" s="405"/>
      <c r="I52" s="405"/>
      <c r="J52" s="405"/>
      <c r="K52" s="405"/>
      <c r="L52" s="405"/>
      <c r="M52" s="415"/>
      <c r="N52" s="263" t="s">
        <v>752</v>
      </c>
      <c r="O52" s="74" t="s">
        <v>579</v>
      </c>
      <c r="P52" s="422"/>
      <c r="Q52" s="423"/>
      <c r="R52" s="414" t="s">
        <v>751</v>
      </c>
      <c r="S52" s="414"/>
      <c r="T52" s="414"/>
      <c r="U52" s="414"/>
      <c r="V52" s="405" t="s">
        <v>789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114</v>
      </c>
      <c r="B53" s="421"/>
      <c r="C53" s="267" t="s">
        <v>779</v>
      </c>
      <c r="D53" s="264" t="s">
        <v>140</v>
      </c>
      <c r="E53" s="267" t="s">
        <v>767</v>
      </c>
      <c r="F53" s="405" t="s">
        <v>778</v>
      </c>
      <c r="G53" s="405"/>
      <c r="H53" s="405"/>
      <c r="I53" s="405"/>
      <c r="J53" s="405"/>
      <c r="K53" s="405"/>
      <c r="L53" s="405"/>
      <c r="M53" s="415"/>
      <c r="N53" s="263" t="s">
        <v>754</v>
      </c>
      <c r="O53" s="74" t="s">
        <v>565</v>
      </c>
      <c r="P53" s="414" t="s">
        <v>755</v>
      </c>
      <c r="Q53" s="414"/>
      <c r="R53" s="414" t="s">
        <v>753</v>
      </c>
      <c r="S53" s="414"/>
      <c r="T53" s="414"/>
      <c r="U53" s="414"/>
      <c r="V53" s="405" t="s">
        <v>704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780</v>
      </c>
      <c r="B54" s="421"/>
      <c r="C54" s="267" t="s">
        <v>781</v>
      </c>
      <c r="D54" s="264"/>
      <c r="E54" s="267" t="s">
        <v>782</v>
      </c>
      <c r="F54" s="405" t="s">
        <v>783</v>
      </c>
      <c r="G54" s="405"/>
      <c r="H54" s="405"/>
      <c r="I54" s="405"/>
      <c r="J54" s="405"/>
      <c r="K54" s="405"/>
      <c r="L54" s="405"/>
      <c r="M54" s="415"/>
      <c r="N54" s="263" t="s">
        <v>114</v>
      </c>
      <c r="O54" s="74" t="s">
        <v>773</v>
      </c>
      <c r="P54" s="422" t="s">
        <v>774</v>
      </c>
      <c r="Q54" s="423"/>
      <c r="R54" s="414" t="s">
        <v>765</v>
      </c>
      <c r="S54" s="414"/>
      <c r="T54" s="414"/>
      <c r="U54" s="414"/>
      <c r="V54" s="405" t="s">
        <v>790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267"/>
      <c r="D55" s="264"/>
      <c r="E55" s="267"/>
      <c r="F55" s="405"/>
      <c r="G55" s="405"/>
      <c r="H55" s="405"/>
      <c r="I55" s="405"/>
      <c r="J55" s="405"/>
      <c r="K55" s="405"/>
      <c r="L55" s="405"/>
      <c r="M55" s="415"/>
      <c r="N55" s="263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267"/>
      <c r="D56" s="264"/>
      <c r="E56" s="267"/>
      <c r="F56" s="405"/>
      <c r="G56" s="405"/>
      <c r="H56" s="405"/>
      <c r="I56" s="405"/>
      <c r="J56" s="405"/>
      <c r="K56" s="405"/>
      <c r="L56" s="405"/>
      <c r="M56" s="415"/>
      <c r="N56" s="263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67"/>
      <c r="D57" s="264"/>
      <c r="E57" s="267"/>
      <c r="F57" s="405"/>
      <c r="G57" s="405"/>
      <c r="H57" s="405"/>
      <c r="I57" s="405"/>
      <c r="J57" s="405"/>
      <c r="K57" s="405"/>
      <c r="L57" s="405"/>
      <c r="M57" s="415"/>
      <c r="N57" s="263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67"/>
      <c r="D58" s="264"/>
      <c r="E58" s="267"/>
      <c r="F58" s="405"/>
      <c r="G58" s="405"/>
      <c r="H58" s="405"/>
      <c r="I58" s="405"/>
      <c r="J58" s="405"/>
      <c r="K58" s="405"/>
      <c r="L58" s="405"/>
      <c r="M58" s="415"/>
      <c r="N58" s="263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264"/>
      <c r="D59" s="264"/>
      <c r="E59" s="264"/>
      <c r="F59" s="405"/>
      <c r="G59" s="405"/>
      <c r="H59" s="405"/>
      <c r="I59" s="405"/>
      <c r="J59" s="405"/>
      <c r="K59" s="405"/>
      <c r="L59" s="405"/>
      <c r="M59" s="415"/>
      <c r="N59" s="263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266"/>
      <c r="D60" s="266"/>
      <c r="E60" s="266"/>
      <c r="F60" s="418"/>
      <c r="G60" s="418"/>
      <c r="H60" s="418"/>
      <c r="I60" s="418"/>
      <c r="J60" s="418"/>
      <c r="K60" s="418"/>
      <c r="L60" s="418"/>
      <c r="M60" s="419"/>
      <c r="N60" s="265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791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262" t="s">
        <v>2</v>
      </c>
      <c r="D62" s="262" t="s">
        <v>37</v>
      </c>
      <c r="E62" s="262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62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114</v>
      </c>
      <c r="D63" s="258"/>
      <c r="E63" s="261" t="s">
        <v>792</v>
      </c>
      <c r="F63" s="403" t="s">
        <v>793</v>
      </c>
      <c r="G63" s="395"/>
      <c r="H63" s="395"/>
      <c r="I63" s="395"/>
      <c r="J63" s="395"/>
      <c r="K63" s="395">
        <v>7301</v>
      </c>
      <c r="L63" s="395"/>
      <c r="M63" s="54" t="s">
        <v>794</v>
      </c>
      <c r="N63" s="395">
        <v>13</v>
      </c>
      <c r="O63" s="395"/>
      <c r="P63" s="404">
        <v>50</v>
      </c>
      <c r="Q63" s="404"/>
      <c r="R63" s="405" t="s">
        <v>795</v>
      </c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796</v>
      </c>
      <c r="D64" s="258"/>
      <c r="E64" s="261" t="s">
        <v>797</v>
      </c>
      <c r="F64" s="403" t="s">
        <v>798</v>
      </c>
      <c r="G64" s="395"/>
      <c r="H64" s="395"/>
      <c r="I64" s="395"/>
      <c r="J64" s="395"/>
      <c r="K64" s="395" t="s">
        <v>799</v>
      </c>
      <c r="L64" s="395"/>
      <c r="M64" s="54" t="s">
        <v>719</v>
      </c>
      <c r="N64" s="395">
        <v>14</v>
      </c>
      <c r="O64" s="395"/>
      <c r="P64" s="404">
        <v>150</v>
      </c>
      <c r="Q64" s="404"/>
      <c r="R64" s="405" t="s">
        <v>800</v>
      </c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801</v>
      </c>
      <c r="D65" s="258"/>
      <c r="E65" s="261" t="s">
        <v>802</v>
      </c>
      <c r="F65" s="403" t="s">
        <v>803</v>
      </c>
      <c r="G65" s="395"/>
      <c r="H65" s="395"/>
      <c r="I65" s="395"/>
      <c r="J65" s="395"/>
      <c r="K65" s="395" t="s">
        <v>804</v>
      </c>
      <c r="L65" s="395"/>
      <c r="M65" s="54" t="s">
        <v>719</v>
      </c>
      <c r="N65" s="395">
        <v>13</v>
      </c>
      <c r="O65" s="395"/>
      <c r="P65" s="404"/>
      <c r="Q65" s="404"/>
      <c r="R65" s="405" t="s">
        <v>805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258"/>
      <c r="E66" s="261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258"/>
      <c r="E67" s="261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258"/>
      <c r="E68" s="261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258"/>
      <c r="E69" s="261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258"/>
      <c r="E70" s="261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806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260" t="s">
        <v>2</v>
      </c>
      <c r="D72" s="260" t="s">
        <v>37</v>
      </c>
      <c r="E72" s="260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259" t="s">
        <v>114</v>
      </c>
      <c r="D73" s="259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258" t="s">
        <v>114</v>
      </c>
      <c r="D74" s="258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258"/>
      <c r="D75" s="258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258"/>
      <c r="D76" s="258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258"/>
      <c r="D77" s="258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258"/>
      <c r="D78" s="258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258"/>
      <c r="D79" s="258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258"/>
      <c r="D80" s="258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258"/>
      <c r="D81" s="258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807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43" zoomScale="72" zoomScaleNormal="72" zoomScaleSheetLayoutView="70" workbookViewId="0">
      <selection activeCell="F79" sqref="F79:J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53" t="s">
        <v>808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2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125</v>
      </c>
      <c r="E6" s="57" t="s">
        <v>597</v>
      </c>
      <c r="F6" s="33" t="s">
        <v>541</v>
      </c>
      <c r="G6" s="12">
        <v>2</v>
      </c>
      <c r="H6" s="13">
        <v>25</v>
      </c>
      <c r="I6" s="34">
        <v>20000</v>
      </c>
      <c r="J6" s="5">
        <v>10162</v>
      </c>
      <c r="K6" s="15">
        <f>L6+6650+9890+10162</f>
        <v>26702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0.41363538523072835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131</v>
      </c>
      <c r="D7" s="55" t="s">
        <v>546</v>
      </c>
      <c r="E7" s="57" t="s">
        <v>520</v>
      </c>
      <c r="F7" s="33" t="s">
        <v>548</v>
      </c>
      <c r="G7" s="12">
        <v>3</v>
      </c>
      <c r="H7" s="13">
        <v>25</v>
      </c>
      <c r="I7" s="34">
        <v>30000</v>
      </c>
      <c r="J7" s="5">
        <v>6244</v>
      </c>
      <c r="K7" s="15">
        <f>L7+7002+13602+6244</f>
        <v>26848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0.41363538523072835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735</v>
      </c>
      <c r="F8" s="12" t="s">
        <v>665</v>
      </c>
      <c r="G8" s="12">
        <v>1</v>
      </c>
      <c r="H8" s="13">
        <v>25</v>
      </c>
      <c r="I8" s="34">
        <v>20000</v>
      </c>
      <c r="J8" s="14">
        <v>5454</v>
      </c>
      <c r="K8" s="15">
        <f>L8+5534+5143</f>
        <v>16131</v>
      </c>
      <c r="L8" s="15">
        <f>2815+2639</f>
        <v>5454</v>
      </c>
      <c r="M8" s="16">
        <f t="shared" si="0"/>
        <v>5454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0.41363538523072835</v>
      </c>
      <c r="AF8" s="94">
        <f>A8</f>
        <v>3</v>
      </c>
    </row>
    <row r="9" spans="1:32" ht="27" customHeight="1">
      <c r="A9" s="110">
        <v>4</v>
      </c>
      <c r="B9" s="11" t="s">
        <v>57</v>
      </c>
      <c r="C9" s="37" t="s">
        <v>123</v>
      </c>
      <c r="D9" s="55" t="s">
        <v>121</v>
      </c>
      <c r="E9" s="57" t="s">
        <v>652</v>
      </c>
      <c r="F9" s="33" t="s">
        <v>669</v>
      </c>
      <c r="G9" s="36">
        <v>1</v>
      </c>
      <c r="H9" s="38">
        <v>25</v>
      </c>
      <c r="I9" s="7">
        <v>20000</v>
      </c>
      <c r="J9" s="5">
        <v>4830</v>
      </c>
      <c r="K9" s="15">
        <f>L9+2702+3670+5212</f>
        <v>16407</v>
      </c>
      <c r="L9" s="15">
        <f>2077+2746</f>
        <v>4823</v>
      </c>
      <c r="M9" s="16">
        <f t="shared" si="0"/>
        <v>4823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0.99855072463768113</v>
      </c>
      <c r="AC9" s="9">
        <f t="shared" si="5"/>
        <v>1</v>
      </c>
      <c r="AD9" s="10">
        <f t="shared" si="6"/>
        <v>0.99855072463768113</v>
      </c>
      <c r="AE9" s="39">
        <f t="shared" si="7"/>
        <v>0.41363538523072835</v>
      </c>
      <c r="AF9" s="94">
        <f t="shared" ref="AF9:AF12" si="9">A9</f>
        <v>4</v>
      </c>
    </row>
    <row r="10" spans="1:32" ht="27" customHeight="1">
      <c r="A10" s="110">
        <v>5</v>
      </c>
      <c r="B10" s="11" t="s">
        <v>57</v>
      </c>
      <c r="C10" s="11" t="s">
        <v>809</v>
      </c>
      <c r="D10" s="55" t="s">
        <v>810</v>
      </c>
      <c r="E10" s="57" t="s">
        <v>811</v>
      </c>
      <c r="F10" s="12" t="s">
        <v>812</v>
      </c>
      <c r="G10" s="12">
        <v>1</v>
      </c>
      <c r="H10" s="13">
        <v>25</v>
      </c>
      <c r="I10" s="34">
        <v>40000</v>
      </c>
      <c r="J10" s="14">
        <v>74920</v>
      </c>
      <c r="K10" s="15">
        <f>L10</f>
        <v>74912</v>
      </c>
      <c r="L10" s="15">
        <f>2364*16+2318*16</f>
        <v>74912</v>
      </c>
      <c r="M10" s="16">
        <f t="shared" si="0"/>
        <v>74912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/>
      <c r="T10" s="17">
        <v>3</v>
      </c>
      <c r="U10" s="17"/>
      <c r="V10" s="18"/>
      <c r="W10" s="19"/>
      <c r="X10" s="17"/>
      <c r="Y10" s="20"/>
      <c r="Z10" s="20"/>
      <c r="AA10" s="21"/>
      <c r="AB10" s="8">
        <f t="shared" si="4"/>
        <v>0.99989321943406295</v>
      </c>
      <c r="AC10" s="9">
        <f t="shared" si="5"/>
        <v>0.875</v>
      </c>
      <c r="AD10" s="10">
        <f t="shared" si="6"/>
        <v>0.87490656700480507</v>
      </c>
      <c r="AE10" s="39">
        <f t="shared" si="7"/>
        <v>0.41363538523072835</v>
      </c>
      <c r="AF10" s="94">
        <f t="shared" si="9"/>
        <v>5</v>
      </c>
    </row>
    <row r="11" spans="1:32" ht="27" customHeight="1">
      <c r="A11" s="110">
        <v>6</v>
      </c>
      <c r="B11" s="11" t="s">
        <v>57</v>
      </c>
      <c r="C11" s="11" t="s">
        <v>122</v>
      </c>
      <c r="D11" s="55" t="s">
        <v>121</v>
      </c>
      <c r="E11" s="57" t="s">
        <v>522</v>
      </c>
      <c r="F11" s="12" t="s">
        <v>608</v>
      </c>
      <c r="G11" s="12">
        <v>1</v>
      </c>
      <c r="H11" s="13">
        <v>25</v>
      </c>
      <c r="I11" s="34">
        <v>20000</v>
      </c>
      <c r="J11" s="14">
        <v>3190</v>
      </c>
      <c r="K11" s="15">
        <f>L11+5027+4987+3977+4987</f>
        <v>22164</v>
      </c>
      <c r="L11" s="15">
        <f>2765+421</f>
        <v>3186</v>
      </c>
      <c r="M11" s="16">
        <f t="shared" ref="M11" si="10">L11-N11</f>
        <v>3186</v>
      </c>
      <c r="N11" s="16">
        <v>0</v>
      </c>
      <c r="O11" s="62">
        <f t="shared" ref="O11" si="11">IF(L11=0,"0",N11/L11)</f>
        <v>0</v>
      </c>
      <c r="P11" s="42">
        <f t="shared" ref="P11" si="12">IF(L11=0,"0",(24-Q11))</f>
        <v>17</v>
      </c>
      <c r="Q11" s="43">
        <f t="shared" ref="Q11" si="13">SUM(R11:AA11)</f>
        <v>7</v>
      </c>
      <c r="R11" s="7"/>
      <c r="S11" s="6">
        <v>7</v>
      </c>
      <c r="T11" s="17"/>
      <c r="U11" s="17"/>
      <c r="V11" s="18"/>
      <c r="W11" s="19"/>
      <c r="X11" s="17"/>
      <c r="Y11" s="20"/>
      <c r="Z11" s="20"/>
      <c r="AA11" s="21"/>
      <c r="AB11" s="8">
        <f t="shared" ref="AB11" si="14">IF(J11=0,"0",(L11/J11))</f>
        <v>0.99874608150470223</v>
      </c>
      <c r="AC11" s="9">
        <f t="shared" ref="AC11" si="15">IF(P11=0,"0",(P11/24))</f>
        <v>0.70833333333333337</v>
      </c>
      <c r="AD11" s="10">
        <f t="shared" ref="AD11" si="16">AC11*AB11*(1-O11)</f>
        <v>0.70744514106583078</v>
      </c>
      <c r="AE11" s="39">
        <f t="shared" si="7"/>
        <v>0.41363538523072835</v>
      </c>
      <c r="AF11" s="94">
        <f t="shared" ref="AF11" si="17">A11</f>
        <v>6</v>
      </c>
    </row>
    <row r="12" spans="1:32" ht="27" customHeight="1">
      <c r="A12" s="110">
        <v>6</v>
      </c>
      <c r="B12" s="11" t="s">
        <v>57</v>
      </c>
      <c r="C12" s="37" t="s">
        <v>114</v>
      </c>
      <c r="D12" s="55" t="s">
        <v>140</v>
      </c>
      <c r="E12" s="57" t="s">
        <v>764</v>
      </c>
      <c r="F12" s="33" t="s">
        <v>605</v>
      </c>
      <c r="G12" s="36">
        <v>1</v>
      </c>
      <c r="H12" s="38">
        <v>25</v>
      </c>
      <c r="I12" s="7">
        <v>8000</v>
      </c>
      <c r="J12" s="5">
        <v>1790</v>
      </c>
      <c r="K12" s="15">
        <f>L12+4078</f>
        <v>5868</v>
      </c>
      <c r="L12" s="15">
        <v>1790</v>
      </c>
      <c r="M12" s="16">
        <f t="shared" si="0"/>
        <v>1790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/>
      <c r="T12" s="17"/>
      <c r="U12" s="17"/>
      <c r="V12" s="18"/>
      <c r="W12" s="19">
        <v>18</v>
      </c>
      <c r="X12" s="17"/>
      <c r="Y12" s="20"/>
      <c r="Z12" s="20"/>
      <c r="AA12" s="21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9">
        <f t="shared" si="7"/>
        <v>0.41363538523072835</v>
      </c>
      <c r="AF12" s="94">
        <f t="shared" si="9"/>
        <v>6</v>
      </c>
    </row>
    <row r="13" spans="1:32" ht="27" customHeight="1">
      <c r="A13" s="110">
        <v>7</v>
      </c>
      <c r="B13" s="11" t="s">
        <v>57</v>
      </c>
      <c r="C13" s="11" t="s">
        <v>114</v>
      </c>
      <c r="D13" s="55" t="s">
        <v>348</v>
      </c>
      <c r="E13" s="57" t="s">
        <v>765</v>
      </c>
      <c r="F13" s="12" t="s">
        <v>371</v>
      </c>
      <c r="G13" s="12">
        <v>1</v>
      </c>
      <c r="H13" s="13">
        <v>25</v>
      </c>
      <c r="I13" s="7">
        <v>2000</v>
      </c>
      <c r="J13" s="14">
        <v>962</v>
      </c>
      <c r="K13" s="15">
        <f>L13</f>
        <v>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0.41363538523072835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123</v>
      </c>
      <c r="D14" s="55" t="s">
        <v>348</v>
      </c>
      <c r="E14" s="57" t="s">
        <v>737</v>
      </c>
      <c r="F14" s="12" t="s">
        <v>738</v>
      </c>
      <c r="G14" s="12">
        <v>1</v>
      </c>
      <c r="H14" s="13">
        <v>25</v>
      </c>
      <c r="I14" s="7">
        <v>20000</v>
      </c>
      <c r="J14" s="14">
        <v>4511</v>
      </c>
      <c r="K14" s="15">
        <f>L14+3666+4964</f>
        <v>13141</v>
      </c>
      <c r="L14" s="15">
        <f>2170+2341</f>
        <v>4511</v>
      </c>
      <c r="M14" s="16">
        <f t="shared" si="0"/>
        <v>4511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 t="shared" si="7"/>
        <v>0.41363538523072835</v>
      </c>
      <c r="AF14" s="94">
        <f t="shared" si="8"/>
        <v>8</v>
      </c>
    </row>
    <row r="15" spans="1:32" ht="27" customHeight="1">
      <c r="A15" s="109">
        <v>9</v>
      </c>
      <c r="B15" s="11" t="s">
        <v>813</v>
      </c>
      <c r="C15" s="37" t="s">
        <v>114</v>
      </c>
      <c r="D15" s="55" t="s">
        <v>158</v>
      </c>
      <c r="E15" s="57" t="s">
        <v>814</v>
      </c>
      <c r="F15" s="33" t="s">
        <v>815</v>
      </c>
      <c r="G15" s="36">
        <v>1</v>
      </c>
      <c r="H15" s="38">
        <v>25</v>
      </c>
      <c r="I15" s="7">
        <v>300</v>
      </c>
      <c r="J15" s="5">
        <v>610</v>
      </c>
      <c r="K15" s="15">
        <f>L15</f>
        <v>609</v>
      </c>
      <c r="L15" s="15">
        <v>609</v>
      </c>
      <c r="M15" s="16">
        <f t="shared" si="0"/>
        <v>609</v>
      </c>
      <c r="N15" s="16">
        <v>0</v>
      </c>
      <c r="O15" s="62">
        <f t="shared" si="1"/>
        <v>0</v>
      </c>
      <c r="P15" s="42">
        <f t="shared" si="2"/>
        <v>6</v>
      </c>
      <c r="Q15" s="43">
        <f t="shared" si="3"/>
        <v>18</v>
      </c>
      <c r="R15" s="7"/>
      <c r="S15" s="6"/>
      <c r="T15" s="17"/>
      <c r="U15" s="17"/>
      <c r="V15" s="18"/>
      <c r="W15" s="19">
        <v>18</v>
      </c>
      <c r="X15" s="17"/>
      <c r="Y15" s="20"/>
      <c r="Z15" s="20"/>
      <c r="AA15" s="21"/>
      <c r="AB15" s="8">
        <f t="shared" si="4"/>
        <v>0.99836065573770494</v>
      </c>
      <c r="AC15" s="9">
        <f t="shared" si="5"/>
        <v>0.25</v>
      </c>
      <c r="AD15" s="10">
        <f t="shared" si="6"/>
        <v>0.24959016393442623</v>
      </c>
      <c r="AE15" s="39">
        <f t="shared" si="7"/>
        <v>0.41363538523072835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131</v>
      </c>
      <c r="D16" s="55" t="s">
        <v>137</v>
      </c>
      <c r="E16" s="57" t="s">
        <v>138</v>
      </c>
      <c r="F16" s="12" t="s">
        <v>139</v>
      </c>
      <c r="G16" s="12">
        <v>3</v>
      </c>
      <c r="H16" s="13">
        <v>24</v>
      </c>
      <c r="I16" s="34">
        <v>30000</v>
      </c>
      <c r="J16" s="14">
        <v>2811</v>
      </c>
      <c r="K16" s="15">
        <f>L16+14277+17994+15387+2811</f>
        <v>50469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0.41363538523072835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122</v>
      </c>
      <c r="D17" s="55" t="s">
        <v>319</v>
      </c>
      <c r="E17" s="56" t="s">
        <v>612</v>
      </c>
      <c r="F17" s="12" t="s">
        <v>541</v>
      </c>
      <c r="G17" s="36">
        <v>2</v>
      </c>
      <c r="H17" s="38">
        <v>25</v>
      </c>
      <c r="I17" s="7">
        <v>20000</v>
      </c>
      <c r="J17" s="14">
        <v>11090</v>
      </c>
      <c r="K17" s="15">
        <f>L17+9822+10544+11086</f>
        <v>31452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0.41363538523072835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123</v>
      </c>
      <c r="D18" s="55" t="s">
        <v>675</v>
      </c>
      <c r="E18" s="56" t="s">
        <v>676</v>
      </c>
      <c r="F18" s="12" t="s">
        <v>608</v>
      </c>
      <c r="G18" s="12">
        <v>1</v>
      </c>
      <c r="H18" s="13">
        <v>25</v>
      </c>
      <c r="I18" s="34">
        <v>4000</v>
      </c>
      <c r="J18" s="5">
        <v>2420</v>
      </c>
      <c r="K18" s="15">
        <f>L18+2945+2411</f>
        <v>5356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0.41363538523072835</v>
      </c>
      <c r="AF18" s="94">
        <f t="shared" ref="AF18" si="18">A18</f>
        <v>12</v>
      </c>
    </row>
    <row r="19" spans="1:36" ht="27" customHeight="1">
      <c r="A19" s="110">
        <v>13</v>
      </c>
      <c r="B19" s="11" t="s">
        <v>57</v>
      </c>
      <c r="C19" s="37" t="s">
        <v>122</v>
      </c>
      <c r="D19" s="55" t="s">
        <v>617</v>
      </c>
      <c r="E19" s="57" t="s">
        <v>577</v>
      </c>
      <c r="F19" s="33" t="s">
        <v>375</v>
      </c>
      <c r="G19" s="36">
        <v>1</v>
      </c>
      <c r="H19" s="38">
        <v>25</v>
      </c>
      <c r="I19" s="7">
        <v>2500</v>
      </c>
      <c r="J19" s="5">
        <v>3115</v>
      </c>
      <c r="K19" s="15">
        <f>L19+3115</f>
        <v>3115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0.41363538523072835</v>
      </c>
      <c r="AF19" s="94">
        <f t="shared" si="8"/>
        <v>13</v>
      </c>
    </row>
    <row r="20" spans="1:36" ht="27" customHeight="1">
      <c r="A20" s="110">
        <v>14</v>
      </c>
      <c r="B20" s="11" t="s">
        <v>57</v>
      </c>
      <c r="C20" s="11" t="s">
        <v>114</v>
      </c>
      <c r="D20" s="55" t="s">
        <v>766</v>
      </c>
      <c r="E20" s="57" t="s">
        <v>767</v>
      </c>
      <c r="F20" s="12" t="s">
        <v>768</v>
      </c>
      <c r="G20" s="12">
        <v>1</v>
      </c>
      <c r="H20" s="13">
        <v>25</v>
      </c>
      <c r="I20" s="7">
        <v>2000</v>
      </c>
      <c r="J20" s="14">
        <v>1100</v>
      </c>
      <c r="K20" s="15">
        <f>L20+2051</f>
        <v>3148</v>
      </c>
      <c r="L20" s="15">
        <f>1097</f>
        <v>1097</v>
      </c>
      <c r="M20" s="16">
        <f t="shared" si="0"/>
        <v>1097</v>
      </c>
      <c r="N20" s="16">
        <v>0</v>
      </c>
      <c r="O20" s="62">
        <f t="shared" si="1"/>
        <v>0</v>
      </c>
      <c r="P20" s="42">
        <f t="shared" si="2"/>
        <v>6</v>
      </c>
      <c r="Q20" s="43">
        <f t="shared" si="3"/>
        <v>18</v>
      </c>
      <c r="R20" s="7"/>
      <c r="S20" s="6"/>
      <c r="T20" s="17"/>
      <c r="U20" s="17"/>
      <c r="V20" s="18"/>
      <c r="W20" s="19">
        <v>18</v>
      </c>
      <c r="X20" s="17"/>
      <c r="Y20" s="20"/>
      <c r="Z20" s="20"/>
      <c r="AA20" s="21"/>
      <c r="AB20" s="8">
        <f t="shared" si="4"/>
        <v>0.99727272727272731</v>
      </c>
      <c r="AC20" s="9">
        <f t="shared" si="5"/>
        <v>0.25</v>
      </c>
      <c r="AD20" s="10">
        <f t="shared" si="6"/>
        <v>0.24931818181818183</v>
      </c>
      <c r="AE20" s="39">
        <f t="shared" si="7"/>
        <v>0.41363538523072835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769</v>
      </c>
      <c r="D21" s="55"/>
      <c r="E21" s="56" t="s">
        <v>770</v>
      </c>
      <c r="F21" s="12" t="s">
        <v>133</v>
      </c>
      <c r="G21" s="12">
        <v>4</v>
      </c>
      <c r="H21" s="38">
        <v>20</v>
      </c>
      <c r="I21" s="7">
        <v>800000</v>
      </c>
      <c r="J21" s="14">
        <v>37500</v>
      </c>
      <c r="K21" s="15">
        <f>L21</f>
        <v>37488</v>
      </c>
      <c r="L21" s="15">
        <f>5772*4+3600*4</f>
        <v>37488</v>
      </c>
      <c r="M21" s="16">
        <f t="shared" si="0"/>
        <v>37488</v>
      </c>
      <c r="N21" s="16">
        <v>0</v>
      </c>
      <c r="O21" s="62">
        <f t="shared" si="1"/>
        <v>0</v>
      </c>
      <c r="P21" s="42">
        <f t="shared" si="2"/>
        <v>21</v>
      </c>
      <c r="Q21" s="43">
        <f t="shared" si="3"/>
        <v>3</v>
      </c>
      <c r="R21" s="7"/>
      <c r="S21" s="6">
        <v>3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0.99968000000000001</v>
      </c>
      <c r="AC21" s="9">
        <f t="shared" si="5"/>
        <v>0.875</v>
      </c>
      <c r="AD21" s="10">
        <f t="shared" si="6"/>
        <v>0.87472000000000005</v>
      </c>
      <c r="AE21" s="39">
        <f t="shared" si="7"/>
        <v>0.41363538523072835</v>
      </c>
      <c r="AF21" s="94">
        <f t="shared" si="8"/>
        <v>15</v>
      </c>
    </row>
    <row r="22" spans="1:36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1038800</v>
      </c>
      <c r="J22" s="22">
        <f t="shared" si="19"/>
        <v>170709</v>
      </c>
      <c r="K22" s="23">
        <f t="shared" si="19"/>
        <v>333810</v>
      </c>
      <c r="L22" s="24">
        <f t="shared" si="19"/>
        <v>133870</v>
      </c>
      <c r="M22" s="23">
        <f t="shared" si="19"/>
        <v>133870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149</v>
      </c>
      <c r="Q22" s="46">
        <f t="shared" si="20"/>
        <v>235</v>
      </c>
      <c r="R22" s="26">
        <f t="shared" si="20"/>
        <v>0</v>
      </c>
      <c r="S22" s="27">
        <f t="shared" si="20"/>
        <v>34</v>
      </c>
      <c r="T22" s="27">
        <f t="shared" si="20"/>
        <v>3</v>
      </c>
      <c r="U22" s="27">
        <f t="shared" si="20"/>
        <v>0</v>
      </c>
      <c r="V22" s="28">
        <f t="shared" si="20"/>
        <v>0</v>
      </c>
      <c r="W22" s="29">
        <f t="shared" si="20"/>
        <v>198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0.59950022723912533</v>
      </c>
      <c r="AC22" s="4">
        <f>SUM(AC6:AC21)/15</f>
        <v>0.41388888888888892</v>
      </c>
      <c r="AD22" s="4">
        <f>SUM(AD6:AD21)/15</f>
        <v>0.41363538523072835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816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830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271" t="s">
        <v>46</v>
      </c>
      <c r="D51" s="271" t="s">
        <v>47</v>
      </c>
      <c r="E51" s="271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271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772</v>
      </c>
      <c r="B52" s="421"/>
      <c r="C52" s="272" t="s">
        <v>773</v>
      </c>
      <c r="D52" s="273" t="s">
        <v>774</v>
      </c>
      <c r="E52" s="272" t="s">
        <v>765</v>
      </c>
      <c r="F52" s="405" t="s">
        <v>817</v>
      </c>
      <c r="G52" s="405"/>
      <c r="H52" s="405"/>
      <c r="I52" s="405"/>
      <c r="J52" s="405"/>
      <c r="K52" s="405"/>
      <c r="L52" s="405"/>
      <c r="M52" s="415"/>
      <c r="N52" s="277" t="s">
        <v>831</v>
      </c>
      <c r="O52" s="74" t="s">
        <v>832</v>
      </c>
      <c r="P52" s="422" t="s">
        <v>786</v>
      </c>
      <c r="Q52" s="423"/>
      <c r="R52" s="414" t="s">
        <v>833</v>
      </c>
      <c r="S52" s="414"/>
      <c r="T52" s="414"/>
      <c r="U52" s="414"/>
      <c r="V52" s="405" t="s">
        <v>788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818</v>
      </c>
      <c r="B53" s="421"/>
      <c r="C53" s="272" t="s">
        <v>819</v>
      </c>
      <c r="D53" s="273" t="s">
        <v>820</v>
      </c>
      <c r="E53" s="272" t="s">
        <v>811</v>
      </c>
      <c r="F53" s="405" t="s">
        <v>778</v>
      </c>
      <c r="G53" s="405"/>
      <c r="H53" s="405"/>
      <c r="I53" s="405"/>
      <c r="J53" s="405"/>
      <c r="K53" s="405"/>
      <c r="L53" s="405"/>
      <c r="M53" s="415"/>
      <c r="N53" s="277" t="s">
        <v>809</v>
      </c>
      <c r="O53" s="74" t="s">
        <v>834</v>
      </c>
      <c r="P53" s="422" t="s">
        <v>835</v>
      </c>
      <c r="Q53" s="423"/>
      <c r="R53" s="414" t="s">
        <v>836</v>
      </c>
      <c r="S53" s="414"/>
      <c r="T53" s="414"/>
      <c r="U53" s="414"/>
      <c r="V53" s="405" t="s">
        <v>837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821</v>
      </c>
      <c r="B54" s="421"/>
      <c r="C54" s="272" t="s">
        <v>822</v>
      </c>
      <c r="D54" s="273" t="s">
        <v>823</v>
      </c>
      <c r="E54" s="272" t="s">
        <v>824</v>
      </c>
      <c r="F54" s="405" t="s">
        <v>825</v>
      </c>
      <c r="G54" s="405"/>
      <c r="H54" s="405"/>
      <c r="I54" s="405"/>
      <c r="J54" s="405"/>
      <c r="K54" s="405"/>
      <c r="L54" s="405"/>
      <c r="M54" s="415"/>
      <c r="N54" s="277" t="s">
        <v>754</v>
      </c>
      <c r="O54" s="74" t="s">
        <v>565</v>
      </c>
      <c r="P54" s="414" t="s">
        <v>755</v>
      </c>
      <c r="Q54" s="414"/>
      <c r="R54" s="414" t="s">
        <v>753</v>
      </c>
      <c r="S54" s="414"/>
      <c r="T54" s="414"/>
      <c r="U54" s="414"/>
      <c r="V54" s="405" t="s">
        <v>704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826</v>
      </c>
      <c r="B55" s="421"/>
      <c r="C55" s="272" t="s">
        <v>827</v>
      </c>
      <c r="D55" s="273"/>
      <c r="E55" s="272" t="s">
        <v>828</v>
      </c>
      <c r="F55" s="405" t="s">
        <v>829</v>
      </c>
      <c r="G55" s="405"/>
      <c r="H55" s="405"/>
      <c r="I55" s="405"/>
      <c r="J55" s="405"/>
      <c r="K55" s="405"/>
      <c r="L55" s="405"/>
      <c r="M55" s="415"/>
      <c r="N55" s="277" t="s">
        <v>114</v>
      </c>
      <c r="O55" s="74" t="s">
        <v>773</v>
      </c>
      <c r="P55" s="422" t="s">
        <v>774</v>
      </c>
      <c r="Q55" s="423"/>
      <c r="R55" s="414" t="s">
        <v>765</v>
      </c>
      <c r="S55" s="414"/>
      <c r="T55" s="414"/>
      <c r="U55" s="414"/>
      <c r="V55" s="405" t="s">
        <v>790</v>
      </c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272"/>
      <c r="D56" s="273"/>
      <c r="E56" s="272"/>
      <c r="F56" s="405"/>
      <c r="G56" s="405"/>
      <c r="H56" s="405"/>
      <c r="I56" s="405"/>
      <c r="J56" s="405"/>
      <c r="K56" s="405"/>
      <c r="L56" s="405"/>
      <c r="M56" s="415"/>
      <c r="N56" s="277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72"/>
      <c r="D57" s="273"/>
      <c r="E57" s="272"/>
      <c r="F57" s="405"/>
      <c r="G57" s="405"/>
      <c r="H57" s="405"/>
      <c r="I57" s="405"/>
      <c r="J57" s="405"/>
      <c r="K57" s="405"/>
      <c r="L57" s="405"/>
      <c r="M57" s="415"/>
      <c r="N57" s="277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72"/>
      <c r="D58" s="273"/>
      <c r="E58" s="272"/>
      <c r="F58" s="405"/>
      <c r="G58" s="405"/>
      <c r="H58" s="405"/>
      <c r="I58" s="405"/>
      <c r="J58" s="405"/>
      <c r="K58" s="405"/>
      <c r="L58" s="405"/>
      <c r="M58" s="415"/>
      <c r="N58" s="277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/>
      <c r="B59" s="421"/>
      <c r="C59" s="272"/>
      <c r="D59" s="273"/>
      <c r="E59" s="272"/>
      <c r="F59" s="405"/>
      <c r="G59" s="405"/>
      <c r="H59" s="405"/>
      <c r="I59" s="405"/>
      <c r="J59" s="405"/>
      <c r="K59" s="405"/>
      <c r="L59" s="405"/>
      <c r="M59" s="415"/>
      <c r="N59" s="277"/>
      <c r="O59" s="74"/>
      <c r="P59" s="422"/>
      <c r="Q59" s="423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273"/>
      <c r="D60" s="273"/>
      <c r="E60" s="273"/>
      <c r="F60" s="405"/>
      <c r="G60" s="405"/>
      <c r="H60" s="405"/>
      <c r="I60" s="405"/>
      <c r="J60" s="405"/>
      <c r="K60" s="405"/>
      <c r="L60" s="405"/>
      <c r="M60" s="415"/>
      <c r="N60" s="277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275"/>
      <c r="D61" s="275"/>
      <c r="E61" s="275"/>
      <c r="F61" s="418"/>
      <c r="G61" s="418"/>
      <c r="H61" s="418"/>
      <c r="I61" s="418"/>
      <c r="J61" s="418"/>
      <c r="K61" s="418"/>
      <c r="L61" s="418"/>
      <c r="M61" s="419"/>
      <c r="N61" s="274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838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276" t="s">
        <v>2</v>
      </c>
      <c r="D63" s="276" t="s">
        <v>37</v>
      </c>
      <c r="E63" s="276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276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114</v>
      </c>
      <c r="D64" s="280"/>
      <c r="E64" s="278" t="s">
        <v>839</v>
      </c>
      <c r="F64" s="403" t="s">
        <v>840</v>
      </c>
      <c r="G64" s="395"/>
      <c r="H64" s="395"/>
      <c r="I64" s="395"/>
      <c r="J64" s="395"/>
      <c r="K64" s="395" t="s">
        <v>841</v>
      </c>
      <c r="L64" s="395"/>
      <c r="M64" s="54" t="s">
        <v>842</v>
      </c>
      <c r="N64" s="395">
        <v>13</v>
      </c>
      <c r="O64" s="395"/>
      <c r="P64" s="404">
        <v>100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 t="s">
        <v>796</v>
      </c>
      <c r="D65" s="280"/>
      <c r="E65" s="278" t="s">
        <v>797</v>
      </c>
      <c r="F65" s="403" t="s">
        <v>798</v>
      </c>
      <c r="G65" s="395"/>
      <c r="H65" s="395"/>
      <c r="I65" s="395"/>
      <c r="J65" s="395"/>
      <c r="K65" s="395" t="s">
        <v>843</v>
      </c>
      <c r="L65" s="395"/>
      <c r="M65" s="54" t="s">
        <v>719</v>
      </c>
      <c r="N65" s="395">
        <v>14</v>
      </c>
      <c r="O65" s="395"/>
      <c r="P65" s="404">
        <v>100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 t="s">
        <v>801</v>
      </c>
      <c r="D66" s="280"/>
      <c r="E66" s="278" t="s">
        <v>802</v>
      </c>
      <c r="F66" s="403" t="s">
        <v>803</v>
      </c>
      <c r="G66" s="395"/>
      <c r="H66" s="395"/>
      <c r="I66" s="395"/>
      <c r="J66" s="395"/>
      <c r="K66" s="395" t="s">
        <v>804</v>
      </c>
      <c r="L66" s="395"/>
      <c r="M66" s="54" t="s">
        <v>719</v>
      </c>
      <c r="N66" s="395">
        <v>13</v>
      </c>
      <c r="O66" s="395"/>
      <c r="P66" s="404"/>
      <c r="Q66" s="404"/>
      <c r="R66" s="405" t="s">
        <v>805</v>
      </c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/>
      <c r="D67" s="280"/>
      <c r="E67" s="278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/>
      <c r="D68" s="280"/>
      <c r="E68" s="278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280"/>
      <c r="E69" s="278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280"/>
      <c r="E70" s="278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280"/>
      <c r="E71" s="278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844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279" t="s">
        <v>2</v>
      </c>
      <c r="D73" s="279" t="s">
        <v>37</v>
      </c>
      <c r="E73" s="279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281" t="s">
        <v>114</v>
      </c>
      <c r="D74" s="281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280" t="s">
        <v>114</v>
      </c>
      <c r="D75" s="280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280"/>
      <c r="D76" s="280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280"/>
      <c r="D77" s="280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280"/>
      <c r="D78" s="280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280"/>
      <c r="D79" s="280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280"/>
      <c r="D80" s="280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280"/>
      <c r="D81" s="280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280"/>
      <c r="D82" s="280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845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37" zoomScale="72" zoomScaleNormal="72" zoomScaleSheetLayoutView="70" workbookViewId="0">
      <selection activeCell="F80" sqref="F80:J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846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125</v>
      </c>
      <c r="E6" s="57" t="s">
        <v>597</v>
      </c>
      <c r="F6" s="33" t="s">
        <v>541</v>
      </c>
      <c r="G6" s="12">
        <v>2</v>
      </c>
      <c r="H6" s="13">
        <v>25</v>
      </c>
      <c r="I6" s="34">
        <v>20000</v>
      </c>
      <c r="J6" s="5">
        <v>10162</v>
      </c>
      <c r="K6" s="15">
        <f>L6+6650+9890+10162</f>
        <v>26702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0.35254957453428915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131</v>
      </c>
      <c r="D7" s="55" t="s">
        <v>546</v>
      </c>
      <c r="E7" s="57" t="s">
        <v>520</v>
      </c>
      <c r="F7" s="33" t="s">
        <v>548</v>
      </c>
      <c r="G7" s="12">
        <v>3</v>
      </c>
      <c r="H7" s="13">
        <v>25</v>
      </c>
      <c r="I7" s="34">
        <v>30000</v>
      </c>
      <c r="J7" s="5">
        <v>6244</v>
      </c>
      <c r="K7" s="15">
        <f>L7+7002+13602+6244</f>
        <v>26848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0.35254957453428915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735</v>
      </c>
      <c r="F8" s="12" t="s">
        <v>665</v>
      </c>
      <c r="G8" s="12">
        <v>1</v>
      </c>
      <c r="H8" s="13">
        <v>25</v>
      </c>
      <c r="I8" s="34">
        <v>20000</v>
      </c>
      <c r="J8" s="14">
        <v>5240</v>
      </c>
      <c r="K8" s="15">
        <f>L8+5534+5143+5454</f>
        <v>21370</v>
      </c>
      <c r="L8" s="15">
        <f>2831+1010+1398</f>
        <v>5239</v>
      </c>
      <c r="M8" s="16">
        <f t="shared" si="0"/>
        <v>5239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>
        <v>2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0.9998091603053435</v>
      </c>
      <c r="AC8" s="9">
        <f t="shared" si="5"/>
        <v>0.91666666666666663</v>
      </c>
      <c r="AD8" s="10">
        <f t="shared" si="6"/>
        <v>0.91649173027989816</v>
      </c>
      <c r="AE8" s="39">
        <f t="shared" si="7"/>
        <v>0.35254957453428915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123</v>
      </c>
      <c r="D9" s="55" t="s">
        <v>121</v>
      </c>
      <c r="E9" s="57" t="s">
        <v>652</v>
      </c>
      <c r="F9" s="33" t="s">
        <v>669</v>
      </c>
      <c r="G9" s="36">
        <v>1</v>
      </c>
      <c r="H9" s="38">
        <v>25</v>
      </c>
      <c r="I9" s="7">
        <v>20000</v>
      </c>
      <c r="J9" s="5">
        <v>3110</v>
      </c>
      <c r="K9" s="15">
        <f>L9+2702+3670+5212+4823</f>
        <v>19509</v>
      </c>
      <c r="L9" s="15">
        <f>2940+162</f>
        <v>3102</v>
      </c>
      <c r="M9" s="16">
        <f t="shared" si="0"/>
        <v>3102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>
        <v>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0.99742765273311895</v>
      </c>
      <c r="AC9" s="9">
        <f t="shared" si="5"/>
        <v>0.75</v>
      </c>
      <c r="AD9" s="10">
        <f t="shared" si="6"/>
        <v>0.74807073954983916</v>
      </c>
      <c r="AE9" s="39">
        <f t="shared" si="7"/>
        <v>0.35254957453428915</v>
      </c>
      <c r="AF9" s="94">
        <f t="shared" ref="AF9:AF11" si="9">A9</f>
        <v>4</v>
      </c>
    </row>
    <row r="10" spans="1:36" ht="27" customHeight="1">
      <c r="A10" s="110">
        <v>5</v>
      </c>
      <c r="B10" s="11" t="s">
        <v>57</v>
      </c>
      <c r="C10" s="11" t="s">
        <v>847</v>
      </c>
      <c r="D10" s="55" t="s">
        <v>848</v>
      </c>
      <c r="E10" s="57" t="s">
        <v>849</v>
      </c>
      <c r="F10" s="12" t="s">
        <v>850</v>
      </c>
      <c r="G10" s="12">
        <v>1</v>
      </c>
      <c r="H10" s="13">
        <v>25</v>
      </c>
      <c r="I10" s="34">
        <v>2000</v>
      </c>
      <c r="J10" s="14">
        <v>2330</v>
      </c>
      <c r="K10" s="15">
        <f>L10</f>
        <v>2327</v>
      </c>
      <c r="L10" s="15">
        <f>2212+115</f>
        <v>2327</v>
      </c>
      <c r="M10" s="16">
        <f t="shared" si="0"/>
        <v>2327</v>
      </c>
      <c r="N10" s="16">
        <v>0</v>
      </c>
      <c r="O10" s="62">
        <f t="shared" si="1"/>
        <v>0</v>
      </c>
      <c r="P10" s="42">
        <f t="shared" si="2"/>
        <v>15</v>
      </c>
      <c r="Q10" s="43">
        <f t="shared" si="3"/>
        <v>9</v>
      </c>
      <c r="R10" s="7"/>
      <c r="S10" s="6">
        <v>7</v>
      </c>
      <c r="T10" s="17">
        <v>2</v>
      </c>
      <c r="U10" s="17"/>
      <c r="V10" s="18"/>
      <c r="W10" s="19"/>
      <c r="X10" s="17"/>
      <c r="Y10" s="20"/>
      <c r="Z10" s="20"/>
      <c r="AA10" s="21"/>
      <c r="AB10" s="8">
        <f t="shared" si="4"/>
        <v>0.99871244635193135</v>
      </c>
      <c r="AC10" s="9">
        <f t="shared" si="5"/>
        <v>0.625</v>
      </c>
      <c r="AD10" s="10">
        <f t="shared" si="6"/>
        <v>0.62419527896995708</v>
      </c>
      <c r="AE10" s="39">
        <f t="shared" si="7"/>
        <v>0.35254957453428915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122</v>
      </c>
      <c r="D11" s="55" t="s">
        <v>121</v>
      </c>
      <c r="E11" s="57" t="s">
        <v>522</v>
      </c>
      <c r="F11" s="12" t="s">
        <v>608</v>
      </c>
      <c r="G11" s="12">
        <v>1</v>
      </c>
      <c r="H11" s="13">
        <v>25</v>
      </c>
      <c r="I11" s="34">
        <v>20000</v>
      </c>
      <c r="J11" s="14">
        <v>3180</v>
      </c>
      <c r="K11" s="15">
        <f>L11+5027+4987+3977+4987+3186</f>
        <v>25343</v>
      </c>
      <c r="L11" s="15">
        <f>2609+570</f>
        <v>3179</v>
      </c>
      <c r="M11" s="16">
        <f t="shared" si="0"/>
        <v>3179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/>
      <c r="T11" s="17"/>
      <c r="U11" s="17"/>
      <c r="V11" s="18"/>
      <c r="W11" s="19">
        <v>8</v>
      </c>
      <c r="X11" s="17"/>
      <c r="Y11" s="20"/>
      <c r="Z11" s="20"/>
      <c r="AA11" s="21"/>
      <c r="AB11" s="8">
        <f t="shared" si="4"/>
        <v>0.99968553459119491</v>
      </c>
      <c r="AC11" s="9">
        <f t="shared" si="5"/>
        <v>0.66666666666666663</v>
      </c>
      <c r="AD11" s="10">
        <f t="shared" si="6"/>
        <v>0.66645702306079657</v>
      </c>
      <c r="AE11" s="39">
        <f t="shared" si="7"/>
        <v>0.35254957453428915</v>
      </c>
      <c r="AF11" s="94">
        <f t="shared" si="9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348</v>
      </c>
      <c r="E12" s="57" t="s">
        <v>765</v>
      </c>
      <c r="F12" s="12" t="s">
        <v>371</v>
      </c>
      <c r="G12" s="12">
        <v>1</v>
      </c>
      <c r="H12" s="13">
        <v>25</v>
      </c>
      <c r="I12" s="7">
        <v>2000</v>
      </c>
      <c r="J12" s="14">
        <v>2283</v>
      </c>
      <c r="K12" s="15">
        <f>L12</f>
        <v>2283</v>
      </c>
      <c r="L12" s="15">
        <f>1428+855</f>
        <v>2283</v>
      </c>
      <c r="M12" s="16">
        <f t="shared" si="0"/>
        <v>2283</v>
      </c>
      <c r="N12" s="16">
        <v>0</v>
      </c>
      <c r="O12" s="62">
        <f t="shared" si="1"/>
        <v>0</v>
      </c>
      <c r="P12" s="42">
        <f t="shared" si="2"/>
        <v>13</v>
      </c>
      <c r="Q12" s="43">
        <f t="shared" si="3"/>
        <v>11</v>
      </c>
      <c r="R12" s="7"/>
      <c r="S12" s="6">
        <v>5</v>
      </c>
      <c r="T12" s="17"/>
      <c r="U12" s="17"/>
      <c r="V12" s="18"/>
      <c r="W12" s="19">
        <v>6</v>
      </c>
      <c r="X12" s="17"/>
      <c r="Y12" s="20"/>
      <c r="Z12" s="20"/>
      <c r="AA12" s="21"/>
      <c r="AB12" s="8">
        <f t="shared" si="4"/>
        <v>1</v>
      </c>
      <c r="AC12" s="9">
        <f t="shared" si="5"/>
        <v>0.54166666666666663</v>
      </c>
      <c r="AD12" s="10">
        <f t="shared" si="6"/>
        <v>0.54166666666666663</v>
      </c>
      <c r="AE12" s="39">
        <f t="shared" si="7"/>
        <v>0.35254957453428915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123</v>
      </c>
      <c r="D13" s="55" t="s">
        <v>348</v>
      </c>
      <c r="E13" s="57" t="s">
        <v>737</v>
      </c>
      <c r="F13" s="12" t="s">
        <v>738</v>
      </c>
      <c r="G13" s="12">
        <v>1</v>
      </c>
      <c r="H13" s="13">
        <v>25</v>
      </c>
      <c r="I13" s="7">
        <v>20000</v>
      </c>
      <c r="J13" s="14">
        <v>2600</v>
      </c>
      <c r="K13" s="15">
        <f>L13+3666+4964+4511</f>
        <v>15740</v>
      </c>
      <c r="L13" s="15">
        <f>2018+581</f>
        <v>2599</v>
      </c>
      <c r="M13" s="16">
        <f t="shared" si="0"/>
        <v>2599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>
        <v>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0.99961538461538457</v>
      </c>
      <c r="AC13" s="9">
        <f t="shared" si="5"/>
        <v>0.79166666666666663</v>
      </c>
      <c r="AD13" s="10">
        <f t="shared" si="6"/>
        <v>0.79136217948717946</v>
      </c>
      <c r="AE13" s="39">
        <f t="shared" si="7"/>
        <v>0.35254957453428915</v>
      </c>
      <c r="AF13" s="94">
        <f t="shared" si="8"/>
        <v>8</v>
      </c>
    </row>
    <row r="14" spans="1:36" ht="27" customHeight="1">
      <c r="A14" s="109">
        <v>9</v>
      </c>
      <c r="B14" s="11" t="s">
        <v>813</v>
      </c>
      <c r="C14" s="37" t="s">
        <v>114</v>
      </c>
      <c r="D14" s="55" t="s">
        <v>158</v>
      </c>
      <c r="E14" s="57" t="s">
        <v>814</v>
      </c>
      <c r="F14" s="33" t="s">
        <v>815</v>
      </c>
      <c r="G14" s="36">
        <v>1</v>
      </c>
      <c r="H14" s="38">
        <v>25</v>
      </c>
      <c r="I14" s="7">
        <v>300</v>
      </c>
      <c r="J14" s="5">
        <v>610</v>
      </c>
      <c r="K14" s="15">
        <f>L14+609</f>
        <v>609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0.35254957453428915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137</v>
      </c>
      <c r="E15" s="57" t="s">
        <v>138</v>
      </c>
      <c r="F15" s="12" t="s">
        <v>139</v>
      </c>
      <c r="G15" s="12">
        <v>3</v>
      </c>
      <c r="H15" s="13">
        <v>24</v>
      </c>
      <c r="I15" s="34">
        <v>30000</v>
      </c>
      <c r="J15" s="14">
        <v>2811</v>
      </c>
      <c r="K15" s="15">
        <f>L15+14277+17994+15387+2811</f>
        <v>50469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0.35254957453428915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319</v>
      </c>
      <c r="E16" s="56" t="s">
        <v>612</v>
      </c>
      <c r="F16" s="12" t="s">
        <v>541</v>
      </c>
      <c r="G16" s="36">
        <v>2</v>
      </c>
      <c r="H16" s="38">
        <v>25</v>
      </c>
      <c r="I16" s="7">
        <v>20000</v>
      </c>
      <c r="J16" s="14">
        <v>11090</v>
      </c>
      <c r="K16" s="15">
        <f>L16+9822+10544+11086</f>
        <v>31452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0.35254957453428915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123</v>
      </c>
      <c r="D17" s="55" t="s">
        <v>675</v>
      </c>
      <c r="E17" s="56" t="s">
        <v>676</v>
      </c>
      <c r="F17" s="12" t="s">
        <v>608</v>
      </c>
      <c r="G17" s="12">
        <v>1</v>
      </c>
      <c r="H17" s="13">
        <v>25</v>
      </c>
      <c r="I17" s="34">
        <v>4000</v>
      </c>
      <c r="J17" s="5">
        <v>2420</v>
      </c>
      <c r="K17" s="15">
        <f>L17+2945+2411</f>
        <v>5356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0.35254957453428915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617</v>
      </c>
      <c r="E18" s="57" t="s">
        <v>577</v>
      </c>
      <c r="F18" s="33" t="s">
        <v>375</v>
      </c>
      <c r="G18" s="36">
        <v>1</v>
      </c>
      <c r="H18" s="38">
        <v>25</v>
      </c>
      <c r="I18" s="7">
        <v>2500</v>
      </c>
      <c r="J18" s="5">
        <v>3115</v>
      </c>
      <c r="K18" s="15">
        <f>L18+3115</f>
        <v>3115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0.35254957453428915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114</v>
      </c>
      <c r="D19" s="55" t="s">
        <v>766</v>
      </c>
      <c r="E19" s="57" t="s">
        <v>767</v>
      </c>
      <c r="F19" s="12" t="s">
        <v>768</v>
      </c>
      <c r="G19" s="12">
        <v>1</v>
      </c>
      <c r="H19" s="13">
        <v>25</v>
      </c>
      <c r="I19" s="7">
        <v>2000</v>
      </c>
      <c r="J19" s="14">
        <v>1100</v>
      </c>
      <c r="K19" s="15">
        <f>L19+2051+1097</f>
        <v>3148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0.35254957453428915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769</v>
      </c>
      <c r="D20" s="55"/>
      <c r="E20" s="56" t="s">
        <v>770</v>
      </c>
      <c r="F20" s="12" t="s">
        <v>133</v>
      </c>
      <c r="G20" s="12">
        <v>4</v>
      </c>
      <c r="H20" s="38">
        <v>20</v>
      </c>
      <c r="I20" s="7">
        <v>800000</v>
      </c>
      <c r="J20" s="14">
        <v>44980</v>
      </c>
      <c r="K20" s="15">
        <f>L20+37488</f>
        <v>82468</v>
      </c>
      <c r="L20" s="15">
        <f>5772*4+5473*4</f>
        <v>44980</v>
      </c>
      <c r="M20" s="16">
        <f t="shared" si="0"/>
        <v>44980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0.35254957453428915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992800</v>
      </c>
      <c r="J21" s="22">
        <f t="shared" si="11"/>
        <v>101275</v>
      </c>
      <c r="K21" s="23">
        <f t="shared" si="11"/>
        <v>316739</v>
      </c>
      <c r="L21" s="24">
        <f t="shared" si="11"/>
        <v>63709</v>
      </c>
      <c r="M21" s="23">
        <f t="shared" si="11"/>
        <v>63709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127</v>
      </c>
      <c r="Q21" s="46">
        <f t="shared" si="12"/>
        <v>233</v>
      </c>
      <c r="R21" s="26">
        <f t="shared" si="12"/>
        <v>0</v>
      </c>
      <c r="S21" s="27">
        <f t="shared" si="12"/>
        <v>25</v>
      </c>
      <c r="T21" s="27">
        <f t="shared" si="12"/>
        <v>2</v>
      </c>
      <c r="U21" s="27">
        <f t="shared" si="12"/>
        <v>0</v>
      </c>
      <c r="V21" s="28">
        <f t="shared" si="12"/>
        <v>0</v>
      </c>
      <c r="W21" s="29">
        <f t="shared" si="12"/>
        <v>206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0.46635001190646486</v>
      </c>
      <c r="AC21" s="4">
        <f>SUM(AC6:AC20)/15</f>
        <v>0.35277777777777775</v>
      </c>
      <c r="AD21" s="4">
        <f>SUM(AD6:AD20)/15</f>
        <v>0.35254957453428915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851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868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292" t="s">
        <v>46</v>
      </c>
      <c r="D50" s="292" t="s">
        <v>47</v>
      </c>
      <c r="E50" s="292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292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772</v>
      </c>
      <c r="B51" s="421"/>
      <c r="C51" s="291" t="s">
        <v>773</v>
      </c>
      <c r="D51" s="288" t="s">
        <v>774</v>
      </c>
      <c r="E51" s="291" t="s">
        <v>765</v>
      </c>
      <c r="F51" s="405" t="s">
        <v>852</v>
      </c>
      <c r="G51" s="405"/>
      <c r="H51" s="405"/>
      <c r="I51" s="405"/>
      <c r="J51" s="405"/>
      <c r="K51" s="405"/>
      <c r="L51" s="405"/>
      <c r="M51" s="415"/>
      <c r="N51" s="287" t="s">
        <v>869</v>
      </c>
      <c r="O51" s="74" t="s">
        <v>870</v>
      </c>
      <c r="P51" s="422"/>
      <c r="Q51" s="423"/>
      <c r="R51" s="414" t="s">
        <v>871</v>
      </c>
      <c r="S51" s="414"/>
      <c r="T51" s="414"/>
      <c r="U51" s="414"/>
      <c r="V51" s="405" t="s">
        <v>872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818</v>
      </c>
      <c r="B52" s="421"/>
      <c r="C52" s="291" t="s">
        <v>853</v>
      </c>
      <c r="D52" s="288" t="s">
        <v>854</v>
      </c>
      <c r="E52" s="291" t="s">
        <v>855</v>
      </c>
      <c r="F52" s="405" t="s">
        <v>856</v>
      </c>
      <c r="G52" s="405"/>
      <c r="H52" s="405"/>
      <c r="I52" s="405"/>
      <c r="J52" s="405"/>
      <c r="K52" s="405"/>
      <c r="L52" s="405"/>
      <c r="M52" s="415"/>
      <c r="N52" s="287" t="s">
        <v>874</v>
      </c>
      <c r="O52" s="74" t="s">
        <v>860</v>
      </c>
      <c r="P52" s="422" t="s">
        <v>875</v>
      </c>
      <c r="Q52" s="423"/>
      <c r="R52" s="414" t="s">
        <v>873</v>
      </c>
      <c r="S52" s="414"/>
      <c r="T52" s="414"/>
      <c r="U52" s="414"/>
      <c r="V52" s="405" t="s">
        <v>876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857</v>
      </c>
      <c r="B53" s="421"/>
      <c r="C53" s="291" t="s">
        <v>134</v>
      </c>
      <c r="D53" s="288" t="s">
        <v>858</v>
      </c>
      <c r="E53" s="291" t="s">
        <v>859</v>
      </c>
      <c r="F53" s="405" t="s">
        <v>825</v>
      </c>
      <c r="G53" s="405"/>
      <c r="H53" s="405"/>
      <c r="I53" s="405"/>
      <c r="J53" s="405"/>
      <c r="K53" s="405"/>
      <c r="L53" s="405"/>
      <c r="M53" s="415"/>
      <c r="N53" s="287" t="s">
        <v>878</v>
      </c>
      <c r="O53" s="74" t="s">
        <v>879</v>
      </c>
      <c r="P53" s="414" t="s">
        <v>880</v>
      </c>
      <c r="Q53" s="414"/>
      <c r="R53" s="414" t="s">
        <v>877</v>
      </c>
      <c r="S53" s="414"/>
      <c r="T53" s="414"/>
      <c r="U53" s="414"/>
      <c r="V53" s="405" t="s">
        <v>881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847</v>
      </c>
      <c r="B54" s="421"/>
      <c r="C54" s="291" t="s">
        <v>861</v>
      </c>
      <c r="D54" s="288" t="s">
        <v>862</v>
      </c>
      <c r="E54" s="291" t="s">
        <v>849</v>
      </c>
      <c r="F54" s="405" t="s">
        <v>863</v>
      </c>
      <c r="G54" s="405"/>
      <c r="H54" s="405"/>
      <c r="I54" s="405"/>
      <c r="J54" s="405"/>
      <c r="K54" s="405"/>
      <c r="L54" s="405"/>
      <c r="M54" s="415"/>
      <c r="N54" s="287"/>
      <c r="O54" s="74"/>
      <c r="P54" s="422"/>
      <c r="Q54" s="423"/>
      <c r="R54" s="414"/>
      <c r="S54" s="414"/>
      <c r="T54" s="414"/>
      <c r="U54" s="414"/>
      <c r="V54" s="405"/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123</v>
      </c>
      <c r="B55" s="421"/>
      <c r="C55" s="291" t="s">
        <v>864</v>
      </c>
      <c r="D55" s="288" t="s">
        <v>865</v>
      </c>
      <c r="E55" s="291" t="s">
        <v>866</v>
      </c>
      <c r="F55" s="405" t="s">
        <v>867</v>
      </c>
      <c r="G55" s="405"/>
      <c r="H55" s="405"/>
      <c r="I55" s="405"/>
      <c r="J55" s="405"/>
      <c r="K55" s="405"/>
      <c r="L55" s="405"/>
      <c r="M55" s="415"/>
      <c r="N55" s="287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291"/>
      <c r="D56" s="288"/>
      <c r="E56" s="291"/>
      <c r="F56" s="405"/>
      <c r="G56" s="405"/>
      <c r="H56" s="405"/>
      <c r="I56" s="405"/>
      <c r="J56" s="405"/>
      <c r="K56" s="405"/>
      <c r="L56" s="405"/>
      <c r="M56" s="415"/>
      <c r="N56" s="287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91"/>
      <c r="D57" s="288"/>
      <c r="E57" s="291"/>
      <c r="F57" s="405"/>
      <c r="G57" s="405"/>
      <c r="H57" s="405"/>
      <c r="I57" s="405"/>
      <c r="J57" s="405"/>
      <c r="K57" s="405"/>
      <c r="L57" s="405"/>
      <c r="M57" s="415"/>
      <c r="N57" s="287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91"/>
      <c r="D58" s="288"/>
      <c r="E58" s="291"/>
      <c r="F58" s="405"/>
      <c r="G58" s="405"/>
      <c r="H58" s="405"/>
      <c r="I58" s="405"/>
      <c r="J58" s="405"/>
      <c r="K58" s="405"/>
      <c r="L58" s="405"/>
      <c r="M58" s="415"/>
      <c r="N58" s="287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288"/>
      <c r="D59" s="288"/>
      <c r="E59" s="288"/>
      <c r="F59" s="405"/>
      <c r="G59" s="405"/>
      <c r="H59" s="405"/>
      <c r="I59" s="405"/>
      <c r="J59" s="405"/>
      <c r="K59" s="405"/>
      <c r="L59" s="405"/>
      <c r="M59" s="415"/>
      <c r="N59" s="287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290"/>
      <c r="D60" s="290"/>
      <c r="E60" s="290"/>
      <c r="F60" s="418"/>
      <c r="G60" s="418"/>
      <c r="H60" s="418"/>
      <c r="I60" s="418"/>
      <c r="J60" s="418"/>
      <c r="K60" s="418"/>
      <c r="L60" s="418"/>
      <c r="M60" s="419"/>
      <c r="N60" s="289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882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286" t="s">
        <v>2</v>
      </c>
      <c r="D62" s="286" t="s">
        <v>37</v>
      </c>
      <c r="E62" s="28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86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122</v>
      </c>
      <c r="D63" s="282"/>
      <c r="E63" s="285" t="s">
        <v>883</v>
      </c>
      <c r="F63" s="403" t="s">
        <v>884</v>
      </c>
      <c r="G63" s="395"/>
      <c r="H63" s="395"/>
      <c r="I63" s="395"/>
      <c r="J63" s="395"/>
      <c r="K63" s="395" t="s">
        <v>885</v>
      </c>
      <c r="L63" s="395"/>
      <c r="M63" s="54" t="s">
        <v>886</v>
      </c>
      <c r="N63" s="395">
        <v>8</v>
      </c>
      <c r="O63" s="395"/>
      <c r="P63" s="404">
        <v>100</v>
      </c>
      <c r="Q63" s="404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796</v>
      </c>
      <c r="D64" s="282"/>
      <c r="E64" s="285" t="s">
        <v>797</v>
      </c>
      <c r="F64" s="403" t="s">
        <v>798</v>
      </c>
      <c r="G64" s="395"/>
      <c r="H64" s="395"/>
      <c r="I64" s="395"/>
      <c r="J64" s="395"/>
      <c r="K64" s="395" t="s">
        <v>843</v>
      </c>
      <c r="L64" s="395"/>
      <c r="M64" s="54" t="s">
        <v>719</v>
      </c>
      <c r="N64" s="395">
        <v>14</v>
      </c>
      <c r="O64" s="395"/>
      <c r="P64" s="404">
        <v>100</v>
      </c>
      <c r="Q64" s="404"/>
      <c r="R64" s="405" t="s">
        <v>887</v>
      </c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801</v>
      </c>
      <c r="D65" s="282"/>
      <c r="E65" s="285" t="s">
        <v>802</v>
      </c>
      <c r="F65" s="403" t="s">
        <v>803</v>
      </c>
      <c r="G65" s="395"/>
      <c r="H65" s="395"/>
      <c r="I65" s="395"/>
      <c r="J65" s="395"/>
      <c r="K65" s="395" t="s">
        <v>804</v>
      </c>
      <c r="L65" s="395"/>
      <c r="M65" s="54" t="s">
        <v>719</v>
      </c>
      <c r="N65" s="395">
        <v>13</v>
      </c>
      <c r="O65" s="395"/>
      <c r="P65" s="404"/>
      <c r="Q65" s="404"/>
      <c r="R65" s="405" t="s">
        <v>805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282"/>
      <c r="E66" s="285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282"/>
      <c r="E67" s="285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282"/>
      <c r="E68" s="285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282"/>
      <c r="E69" s="285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282"/>
      <c r="E70" s="285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888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284" t="s">
        <v>2</v>
      </c>
      <c r="D72" s="284" t="s">
        <v>37</v>
      </c>
      <c r="E72" s="284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283" t="s">
        <v>114</v>
      </c>
      <c r="D73" s="283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282" t="s">
        <v>114</v>
      </c>
      <c r="D74" s="282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282"/>
      <c r="D75" s="282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282"/>
      <c r="D76" s="282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282"/>
      <c r="D77" s="282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282"/>
      <c r="D78" s="282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282"/>
      <c r="D79" s="282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282"/>
      <c r="D80" s="282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282"/>
      <c r="D81" s="282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889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T16" sqref="T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53" t="s">
        <v>890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2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2" ht="27" customHeight="1">
      <c r="A6" s="108">
        <v>1</v>
      </c>
      <c r="B6" s="11" t="s">
        <v>57</v>
      </c>
      <c r="C6" s="37" t="s">
        <v>869</v>
      </c>
      <c r="D6" s="55"/>
      <c r="E6" s="57" t="s">
        <v>891</v>
      </c>
      <c r="F6" s="33" t="s">
        <v>892</v>
      </c>
      <c r="G6" s="12">
        <v>1</v>
      </c>
      <c r="H6" s="13">
        <v>28</v>
      </c>
      <c r="I6" s="34">
        <v>10000</v>
      </c>
      <c r="J6" s="5">
        <v>2004</v>
      </c>
      <c r="K6" s="15">
        <f>L6</f>
        <v>2004</v>
      </c>
      <c r="L6" s="15">
        <f>2004</f>
        <v>2004</v>
      </c>
      <c r="M6" s="16">
        <f t="shared" ref="M6:M21" si="0">L6-N6</f>
        <v>2004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15</v>
      </c>
      <c r="Q6" s="43">
        <f t="shared" ref="Q6:Q21" si="3">SUM(R6:AA6)</f>
        <v>9</v>
      </c>
      <c r="R6" s="7"/>
      <c r="S6" s="6"/>
      <c r="T6" s="17">
        <v>9</v>
      </c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0.625</v>
      </c>
      <c r="AD6" s="10">
        <f t="shared" ref="AD6:AD21" si="6">AC6*AB6*(1-O6)</f>
        <v>0.625</v>
      </c>
      <c r="AE6" s="39">
        <f t="shared" ref="AE6:AE21" si="7">$AD$22</f>
        <v>0.38586393558577198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131</v>
      </c>
      <c r="D7" s="55" t="s">
        <v>546</v>
      </c>
      <c r="E7" s="57" t="s">
        <v>520</v>
      </c>
      <c r="F7" s="33" t="s">
        <v>548</v>
      </c>
      <c r="G7" s="12">
        <v>3</v>
      </c>
      <c r="H7" s="13">
        <v>25</v>
      </c>
      <c r="I7" s="34">
        <v>30000</v>
      </c>
      <c r="J7" s="5">
        <v>6244</v>
      </c>
      <c r="K7" s="15">
        <f>L7+7002+13602+6244</f>
        <v>26848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0.38586393558577198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735</v>
      </c>
      <c r="F8" s="12" t="s">
        <v>665</v>
      </c>
      <c r="G8" s="12">
        <v>1</v>
      </c>
      <c r="H8" s="13">
        <v>25</v>
      </c>
      <c r="I8" s="34">
        <v>20000</v>
      </c>
      <c r="J8" s="14">
        <v>1723</v>
      </c>
      <c r="K8" s="15">
        <f>L8+5534+5143+5454+5239</f>
        <v>23093</v>
      </c>
      <c r="L8" s="15">
        <f>1723</f>
        <v>1723</v>
      </c>
      <c r="M8" s="16">
        <f t="shared" si="0"/>
        <v>1723</v>
      </c>
      <c r="N8" s="16">
        <v>0</v>
      </c>
      <c r="O8" s="62">
        <f t="shared" si="1"/>
        <v>0</v>
      </c>
      <c r="P8" s="42">
        <f t="shared" si="2"/>
        <v>6</v>
      </c>
      <c r="Q8" s="43">
        <f t="shared" si="3"/>
        <v>18</v>
      </c>
      <c r="R8" s="7"/>
      <c r="S8" s="6"/>
      <c r="T8" s="17"/>
      <c r="U8" s="17"/>
      <c r="V8" s="18"/>
      <c r="W8" s="19">
        <v>18</v>
      </c>
      <c r="X8" s="17"/>
      <c r="Y8" s="20"/>
      <c r="Z8" s="20"/>
      <c r="AA8" s="21"/>
      <c r="AB8" s="8">
        <f t="shared" si="4"/>
        <v>1</v>
      </c>
      <c r="AC8" s="9">
        <f t="shared" si="5"/>
        <v>0.25</v>
      </c>
      <c r="AD8" s="10">
        <f t="shared" si="6"/>
        <v>0.25</v>
      </c>
      <c r="AE8" s="39">
        <f t="shared" si="7"/>
        <v>0.38586393558577198</v>
      </c>
      <c r="AF8" s="94">
        <f>A8</f>
        <v>3</v>
      </c>
    </row>
    <row r="9" spans="1:32" ht="27" customHeight="1">
      <c r="A9" s="109">
        <v>3</v>
      </c>
      <c r="B9" s="11" t="s">
        <v>57</v>
      </c>
      <c r="C9" s="11" t="s">
        <v>123</v>
      </c>
      <c r="D9" s="55" t="s">
        <v>135</v>
      </c>
      <c r="E9" s="56" t="s">
        <v>893</v>
      </c>
      <c r="F9" s="12" t="s">
        <v>665</v>
      </c>
      <c r="G9" s="12">
        <v>1</v>
      </c>
      <c r="H9" s="13">
        <v>25</v>
      </c>
      <c r="I9" s="34">
        <v>15000</v>
      </c>
      <c r="J9" s="14">
        <v>3273</v>
      </c>
      <c r="K9" s="15">
        <f>L9</f>
        <v>3273</v>
      </c>
      <c r="L9" s="15">
        <f>2830+443</f>
        <v>3273</v>
      </c>
      <c r="M9" s="16">
        <f t="shared" ref="M9" si="9">L9-N9</f>
        <v>3273</v>
      </c>
      <c r="N9" s="16">
        <v>0</v>
      </c>
      <c r="O9" s="62">
        <f t="shared" ref="O9" si="10">IF(L9=0,"0",N9/L9)</f>
        <v>0</v>
      </c>
      <c r="P9" s="42">
        <f t="shared" ref="P9" si="11">IF(L9=0,"0",(24-Q9))</f>
        <v>17</v>
      </c>
      <c r="Q9" s="43">
        <f t="shared" ref="Q9" si="12">SUM(R9:AA9)</f>
        <v>7</v>
      </c>
      <c r="R9" s="7"/>
      <c r="S9" s="6"/>
      <c r="T9" s="17">
        <v>7</v>
      </c>
      <c r="U9" s="17"/>
      <c r="V9" s="18"/>
      <c r="W9" s="19"/>
      <c r="X9" s="17"/>
      <c r="Y9" s="20"/>
      <c r="Z9" s="20"/>
      <c r="AA9" s="21"/>
      <c r="AB9" s="8">
        <f t="shared" ref="AB9" si="13">IF(J9=0,"0",(L9/J9))</f>
        <v>1</v>
      </c>
      <c r="AC9" s="9">
        <f t="shared" ref="AC9" si="14">IF(P9=0,"0",(P9/24))</f>
        <v>0.70833333333333337</v>
      </c>
      <c r="AD9" s="10">
        <f t="shared" ref="AD9" si="15">AC9*AB9*(1-O9)</f>
        <v>0.70833333333333337</v>
      </c>
      <c r="AE9" s="39">
        <f t="shared" si="7"/>
        <v>0.38586393558577198</v>
      </c>
      <c r="AF9" s="94">
        <f>A9</f>
        <v>3</v>
      </c>
    </row>
    <row r="10" spans="1:32" ht="27" customHeight="1">
      <c r="A10" s="110">
        <v>4</v>
      </c>
      <c r="B10" s="11" t="s">
        <v>57</v>
      </c>
      <c r="C10" s="37" t="s">
        <v>123</v>
      </c>
      <c r="D10" s="55" t="s">
        <v>121</v>
      </c>
      <c r="E10" s="57" t="s">
        <v>652</v>
      </c>
      <c r="F10" s="33" t="s">
        <v>669</v>
      </c>
      <c r="G10" s="36">
        <v>1</v>
      </c>
      <c r="H10" s="38">
        <v>25</v>
      </c>
      <c r="I10" s="7">
        <v>35000</v>
      </c>
      <c r="J10" s="5">
        <v>5650</v>
      </c>
      <c r="K10" s="15">
        <f>L10+2702+3670+5212+4823+3102</f>
        <v>25150</v>
      </c>
      <c r="L10" s="15">
        <f>2927+2714</f>
        <v>5641</v>
      </c>
      <c r="M10" s="16">
        <f t="shared" si="0"/>
        <v>5641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0.99840707964601771</v>
      </c>
      <c r="AC10" s="9">
        <f t="shared" si="5"/>
        <v>1</v>
      </c>
      <c r="AD10" s="10">
        <f t="shared" si="6"/>
        <v>0.99840707964601771</v>
      </c>
      <c r="AE10" s="39">
        <f t="shared" si="7"/>
        <v>0.38586393558577198</v>
      </c>
      <c r="AF10" s="94">
        <f t="shared" ref="AF10:AF12" si="16">A10</f>
        <v>4</v>
      </c>
    </row>
    <row r="11" spans="1:32" ht="27" customHeight="1">
      <c r="A11" s="110">
        <v>5</v>
      </c>
      <c r="B11" s="11" t="s">
        <v>57</v>
      </c>
      <c r="C11" s="11" t="s">
        <v>203</v>
      </c>
      <c r="D11" s="55" t="s">
        <v>144</v>
      </c>
      <c r="E11" s="57" t="s">
        <v>849</v>
      </c>
      <c r="F11" s="12" t="s">
        <v>850</v>
      </c>
      <c r="G11" s="12">
        <v>1</v>
      </c>
      <c r="H11" s="13">
        <v>25</v>
      </c>
      <c r="I11" s="34">
        <v>2000</v>
      </c>
      <c r="J11" s="14">
        <v>2330</v>
      </c>
      <c r="K11" s="15">
        <f>L11+2327</f>
        <v>2327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0.38586393558577198</v>
      </c>
      <c r="AF11" s="94">
        <f t="shared" si="16"/>
        <v>5</v>
      </c>
    </row>
    <row r="12" spans="1:32" ht="27" customHeight="1">
      <c r="A12" s="110">
        <v>6</v>
      </c>
      <c r="B12" s="11" t="s">
        <v>57</v>
      </c>
      <c r="C12" s="11" t="s">
        <v>114</v>
      </c>
      <c r="D12" s="55" t="s">
        <v>894</v>
      </c>
      <c r="E12" s="57" t="s">
        <v>895</v>
      </c>
      <c r="F12" s="12" t="s">
        <v>896</v>
      </c>
      <c r="G12" s="12">
        <v>1</v>
      </c>
      <c r="H12" s="13">
        <v>25</v>
      </c>
      <c r="I12" s="34">
        <v>7000</v>
      </c>
      <c r="J12" s="14">
        <v>4950</v>
      </c>
      <c r="K12" s="15">
        <f>L12</f>
        <v>4943</v>
      </c>
      <c r="L12" s="15">
        <f>2863+2080</f>
        <v>4943</v>
      </c>
      <c r="M12" s="16">
        <f t="shared" si="0"/>
        <v>4943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0.99858585858585858</v>
      </c>
      <c r="AC12" s="9">
        <f t="shared" si="5"/>
        <v>0.95833333333333337</v>
      </c>
      <c r="AD12" s="10">
        <f t="shared" si="6"/>
        <v>0.95697811447811454</v>
      </c>
      <c r="AE12" s="39">
        <f t="shared" si="7"/>
        <v>0.38586393558577198</v>
      </c>
      <c r="AF12" s="94">
        <f t="shared" si="16"/>
        <v>6</v>
      </c>
    </row>
    <row r="13" spans="1:32" ht="27" customHeight="1">
      <c r="A13" s="110">
        <v>7</v>
      </c>
      <c r="B13" s="11" t="s">
        <v>57</v>
      </c>
      <c r="C13" s="11" t="s">
        <v>114</v>
      </c>
      <c r="D13" s="55" t="s">
        <v>158</v>
      </c>
      <c r="E13" s="57" t="s">
        <v>354</v>
      </c>
      <c r="F13" s="12" t="s">
        <v>371</v>
      </c>
      <c r="G13" s="12">
        <v>1</v>
      </c>
      <c r="H13" s="13">
        <v>25</v>
      </c>
      <c r="I13" s="7">
        <v>2000</v>
      </c>
      <c r="J13" s="14">
        <v>2283</v>
      </c>
      <c r="K13" s="15">
        <f>L13+2283</f>
        <v>2283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0.38586393558577198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123</v>
      </c>
      <c r="D14" s="55" t="s">
        <v>158</v>
      </c>
      <c r="E14" s="57" t="s">
        <v>708</v>
      </c>
      <c r="F14" s="12" t="s">
        <v>738</v>
      </c>
      <c r="G14" s="12">
        <v>1</v>
      </c>
      <c r="H14" s="13">
        <v>25</v>
      </c>
      <c r="I14" s="7">
        <v>20000</v>
      </c>
      <c r="J14" s="14">
        <v>3950</v>
      </c>
      <c r="K14" s="15">
        <f>L14+3666+4964+4511+2599</f>
        <v>19687</v>
      </c>
      <c r="L14" s="15">
        <f>2152+1795</f>
        <v>3947</v>
      </c>
      <c r="M14" s="16">
        <f t="shared" si="0"/>
        <v>3947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0.99924050632911388</v>
      </c>
      <c r="AC14" s="9">
        <f t="shared" si="5"/>
        <v>1</v>
      </c>
      <c r="AD14" s="10">
        <f t="shared" si="6"/>
        <v>0.99924050632911388</v>
      </c>
      <c r="AE14" s="39">
        <f t="shared" si="7"/>
        <v>0.38586393558577198</v>
      </c>
      <c r="AF14" s="94">
        <f t="shared" si="8"/>
        <v>8</v>
      </c>
    </row>
    <row r="15" spans="1:32" ht="27" customHeight="1">
      <c r="A15" s="109">
        <v>9</v>
      </c>
      <c r="B15" s="11" t="s">
        <v>813</v>
      </c>
      <c r="C15" s="37" t="s">
        <v>114</v>
      </c>
      <c r="D15" s="55" t="s">
        <v>158</v>
      </c>
      <c r="E15" s="57" t="s">
        <v>814</v>
      </c>
      <c r="F15" s="33" t="s">
        <v>815</v>
      </c>
      <c r="G15" s="36">
        <v>1</v>
      </c>
      <c r="H15" s="38">
        <v>25</v>
      </c>
      <c r="I15" s="7">
        <v>300</v>
      </c>
      <c r="J15" s="5">
        <v>610</v>
      </c>
      <c r="K15" s="15">
        <f>L15+609</f>
        <v>609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0.38586393558577198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131</v>
      </c>
      <c r="D16" s="55" t="s">
        <v>137</v>
      </c>
      <c r="E16" s="57" t="s">
        <v>138</v>
      </c>
      <c r="F16" s="12" t="s">
        <v>139</v>
      </c>
      <c r="G16" s="12">
        <v>3</v>
      </c>
      <c r="H16" s="13">
        <v>24</v>
      </c>
      <c r="I16" s="34">
        <v>30000</v>
      </c>
      <c r="J16" s="14">
        <v>2811</v>
      </c>
      <c r="K16" s="15">
        <f>L16+14277+17994+15387+2811</f>
        <v>50469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0.38586393558577198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897</v>
      </c>
      <c r="D17" s="55" t="s">
        <v>898</v>
      </c>
      <c r="E17" s="56" t="s">
        <v>899</v>
      </c>
      <c r="F17" s="12">
        <v>7301</v>
      </c>
      <c r="G17" s="36">
        <v>1</v>
      </c>
      <c r="H17" s="38">
        <v>25</v>
      </c>
      <c r="I17" s="7">
        <v>500</v>
      </c>
      <c r="J17" s="14">
        <v>706</v>
      </c>
      <c r="K17" s="15">
        <f>L17</f>
        <v>706</v>
      </c>
      <c r="L17" s="15">
        <v>706</v>
      </c>
      <c r="M17" s="16">
        <f t="shared" si="0"/>
        <v>706</v>
      </c>
      <c r="N17" s="16">
        <v>0</v>
      </c>
      <c r="O17" s="62">
        <f t="shared" si="1"/>
        <v>0</v>
      </c>
      <c r="P17" s="42">
        <f t="shared" si="2"/>
        <v>6</v>
      </c>
      <c r="Q17" s="43">
        <f t="shared" si="3"/>
        <v>18</v>
      </c>
      <c r="R17" s="7"/>
      <c r="S17" s="6"/>
      <c r="T17" s="17"/>
      <c r="U17" s="17"/>
      <c r="V17" s="18"/>
      <c r="W17" s="19">
        <v>18</v>
      </c>
      <c r="X17" s="17"/>
      <c r="Y17" s="20"/>
      <c r="Z17" s="20"/>
      <c r="AA17" s="21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9">
        <f t="shared" si="7"/>
        <v>0.38586393558577198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123</v>
      </c>
      <c r="D18" s="55" t="s">
        <v>153</v>
      </c>
      <c r="E18" s="56" t="s">
        <v>676</v>
      </c>
      <c r="F18" s="12" t="s">
        <v>155</v>
      </c>
      <c r="G18" s="12">
        <v>1</v>
      </c>
      <c r="H18" s="13">
        <v>25</v>
      </c>
      <c r="I18" s="34">
        <v>4000</v>
      </c>
      <c r="J18" s="5">
        <v>2420</v>
      </c>
      <c r="K18" s="15">
        <f>L18+2945+2411</f>
        <v>5356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0.38586393558577198</v>
      </c>
      <c r="AF18" s="94">
        <f t="shared" ref="AF18" si="17">A18</f>
        <v>12</v>
      </c>
    </row>
    <row r="19" spans="1:36" ht="27" customHeight="1">
      <c r="A19" s="110">
        <v>13</v>
      </c>
      <c r="B19" s="11" t="s">
        <v>57</v>
      </c>
      <c r="C19" s="37" t="s">
        <v>122</v>
      </c>
      <c r="D19" s="55" t="s">
        <v>617</v>
      </c>
      <c r="E19" s="57" t="s">
        <v>577</v>
      </c>
      <c r="F19" s="33" t="s">
        <v>231</v>
      </c>
      <c r="G19" s="36">
        <v>1</v>
      </c>
      <c r="H19" s="38">
        <v>25</v>
      </c>
      <c r="I19" s="7">
        <v>2500</v>
      </c>
      <c r="J19" s="5">
        <v>3115</v>
      </c>
      <c r="K19" s="15">
        <f>L19+3115</f>
        <v>3115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0.38586393558577198</v>
      </c>
      <c r="AF19" s="94">
        <f t="shared" si="8"/>
        <v>13</v>
      </c>
    </row>
    <row r="20" spans="1:36" ht="27" customHeight="1">
      <c r="A20" s="110">
        <v>14</v>
      </c>
      <c r="B20" s="11" t="s">
        <v>57</v>
      </c>
      <c r="C20" s="11" t="s">
        <v>114</v>
      </c>
      <c r="D20" s="55" t="s">
        <v>766</v>
      </c>
      <c r="E20" s="57" t="s">
        <v>767</v>
      </c>
      <c r="F20" s="12" t="s">
        <v>405</v>
      </c>
      <c r="G20" s="12">
        <v>1</v>
      </c>
      <c r="H20" s="13">
        <v>25</v>
      </c>
      <c r="I20" s="7">
        <v>2000</v>
      </c>
      <c r="J20" s="14">
        <v>1100</v>
      </c>
      <c r="K20" s="15">
        <f>L20+2051+1097</f>
        <v>3148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0.38586393558577198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132</v>
      </c>
      <c r="D21" s="55"/>
      <c r="E21" s="56" t="s">
        <v>770</v>
      </c>
      <c r="F21" s="12" t="s">
        <v>133</v>
      </c>
      <c r="G21" s="12">
        <v>4</v>
      </c>
      <c r="H21" s="38">
        <v>20</v>
      </c>
      <c r="I21" s="7">
        <v>800000</v>
      </c>
      <c r="J21" s="14">
        <v>44780</v>
      </c>
      <c r="K21" s="15">
        <f>L21+37488+44980</f>
        <v>127248</v>
      </c>
      <c r="L21" s="15">
        <f>5959*4+5236*4</f>
        <v>44780</v>
      </c>
      <c r="M21" s="16">
        <f t="shared" si="0"/>
        <v>44780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0.38586393558577198</v>
      </c>
      <c r="AF21" s="94">
        <f t="shared" si="8"/>
        <v>15</v>
      </c>
    </row>
    <row r="22" spans="1:36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8">SUM(I6:I21)</f>
        <v>980300</v>
      </c>
      <c r="J22" s="22">
        <f t="shared" si="18"/>
        <v>87949</v>
      </c>
      <c r="K22" s="23">
        <f t="shared" si="18"/>
        <v>300259</v>
      </c>
      <c r="L22" s="24">
        <f t="shared" si="18"/>
        <v>67017</v>
      </c>
      <c r="M22" s="23">
        <f t="shared" si="18"/>
        <v>67017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139</v>
      </c>
      <c r="Q22" s="46">
        <f t="shared" si="19"/>
        <v>245</v>
      </c>
      <c r="R22" s="26">
        <f t="shared" si="19"/>
        <v>0</v>
      </c>
      <c r="S22" s="27">
        <f t="shared" si="19"/>
        <v>0</v>
      </c>
      <c r="T22" s="27">
        <f t="shared" si="19"/>
        <v>17</v>
      </c>
      <c r="U22" s="27">
        <f t="shared" si="19"/>
        <v>0</v>
      </c>
      <c r="V22" s="28">
        <f t="shared" si="19"/>
        <v>0</v>
      </c>
      <c r="W22" s="29">
        <f t="shared" si="19"/>
        <v>228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0.53308222963739937</v>
      </c>
      <c r="AC22" s="4">
        <f>SUM(AC6:AC21)/15</f>
        <v>0.38611111111111113</v>
      </c>
      <c r="AD22" s="4">
        <f>SUM(AD6:AD21)/15</f>
        <v>0.38586393558577198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900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907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295" t="s">
        <v>46</v>
      </c>
      <c r="D51" s="295" t="s">
        <v>47</v>
      </c>
      <c r="E51" s="295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295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901</v>
      </c>
      <c r="B52" s="421"/>
      <c r="C52" s="296" t="s">
        <v>555</v>
      </c>
      <c r="D52" s="297"/>
      <c r="E52" s="296" t="s">
        <v>891</v>
      </c>
      <c r="F52" s="405" t="s">
        <v>902</v>
      </c>
      <c r="G52" s="405"/>
      <c r="H52" s="405"/>
      <c r="I52" s="405"/>
      <c r="J52" s="405"/>
      <c r="K52" s="405"/>
      <c r="L52" s="405"/>
      <c r="M52" s="415"/>
      <c r="N52" s="301" t="s">
        <v>131</v>
      </c>
      <c r="O52" s="74" t="s">
        <v>908</v>
      </c>
      <c r="P52" s="422" t="s">
        <v>909</v>
      </c>
      <c r="Q52" s="423"/>
      <c r="R52" s="414" t="s">
        <v>347</v>
      </c>
      <c r="S52" s="414"/>
      <c r="T52" s="414"/>
      <c r="U52" s="414"/>
      <c r="V52" s="405" t="s">
        <v>157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123</v>
      </c>
      <c r="B53" s="421"/>
      <c r="C53" s="296" t="s">
        <v>183</v>
      </c>
      <c r="D53" s="297" t="s">
        <v>135</v>
      </c>
      <c r="E53" s="296" t="s">
        <v>893</v>
      </c>
      <c r="F53" s="405" t="s">
        <v>902</v>
      </c>
      <c r="G53" s="405"/>
      <c r="H53" s="405"/>
      <c r="I53" s="405"/>
      <c r="J53" s="405"/>
      <c r="K53" s="405"/>
      <c r="L53" s="405"/>
      <c r="M53" s="415"/>
      <c r="N53" s="301"/>
      <c r="O53" s="74"/>
      <c r="P53" s="422"/>
      <c r="Q53" s="423"/>
      <c r="R53" s="414"/>
      <c r="S53" s="414"/>
      <c r="T53" s="414"/>
      <c r="U53" s="414"/>
      <c r="V53" s="405"/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903</v>
      </c>
      <c r="B54" s="421"/>
      <c r="C54" s="296" t="s">
        <v>822</v>
      </c>
      <c r="D54" s="297" t="s">
        <v>894</v>
      </c>
      <c r="E54" s="296" t="s">
        <v>462</v>
      </c>
      <c r="F54" s="405" t="s">
        <v>904</v>
      </c>
      <c r="G54" s="405"/>
      <c r="H54" s="405"/>
      <c r="I54" s="405"/>
      <c r="J54" s="405"/>
      <c r="K54" s="405"/>
      <c r="L54" s="405"/>
      <c r="M54" s="415"/>
      <c r="N54" s="301"/>
      <c r="O54" s="74"/>
      <c r="P54" s="414"/>
      <c r="Q54" s="414"/>
      <c r="R54" s="414"/>
      <c r="S54" s="414"/>
      <c r="T54" s="414"/>
      <c r="U54" s="414"/>
      <c r="V54" s="405"/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897</v>
      </c>
      <c r="B55" s="421"/>
      <c r="C55" s="296" t="s">
        <v>905</v>
      </c>
      <c r="D55" s="297" t="s">
        <v>898</v>
      </c>
      <c r="E55" s="296" t="s">
        <v>915</v>
      </c>
      <c r="F55" s="405" t="s">
        <v>906</v>
      </c>
      <c r="G55" s="405"/>
      <c r="H55" s="405"/>
      <c r="I55" s="405"/>
      <c r="J55" s="405"/>
      <c r="K55" s="405"/>
      <c r="L55" s="405"/>
      <c r="M55" s="415"/>
      <c r="N55" s="301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296"/>
      <c r="D56" s="297"/>
      <c r="E56" s="296"/>
      <c r="F56" s="405"/>
      <c r="G56" s="405"/>
      <c r="H56" s="405"/>
      <c r="I56" s="405"/>
      <c r="J56" s="405"/>
      <c r="K56" s="405"/>
      <c r="L56" s="405"/>
      <c r="M56" s="415"/>
      <c r="N56" s="301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296"/>
      <c r="D57" s="297"/>
      <c r="E57" s="296"/>
      <c r="F57" s="405"/>
      <c r="G57" s="405"/>
      <c r="H57" s="405"/>
      <c r="I57" s="405"/>
      <c r="J57" s="405"/>
      <c r="K57" s="405"/>
      <c r="L57" s="405"/>
      <c r="M57" s="415"/>
      <c r="N57" s="301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296"/>
      <c r="D58" s="297"/>
      <c r="E58" s="296"/>
      <c r="F58" s="405"/>
      <c r="G58" s="405"/>
      <c r="H58" s="405"/>
      <c r="I58" s="405"/>
      <c r="J58" s="405"/>
      <c r="K58" s="405"/>
      <c r="L58" s="405"/>
      <c r="M58" s="415"/>
      <c r="N58" s="301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/>
      <c r="B59" s="421"/>
      <c r="C59" s="296"/>
      <c r="D59" s="297"/>
      <c r="E59" s="296"/>
      <c r="F59" s="405"/>
      <c r="G59" s="405"/>
      <c r="H59" s="405"/>
      <c r="I59" s="405"/>
      <c r="J59" s="405"/>
      <c r="K59" s="405"/>
      <c r="L59" s="405"/>
      <c r="M59" s="415"/>
      <c r="N59" s="301"/>
      <c r="O59" s="74"/>
      <c r="P59" s="422"/>
      <c r="Q59" s="423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297"/>
      <c r="D60" s="297"/>
      <c r="E60" s="297"/>
      <c r="F60" s="405"/>
      <c r="G60" s="405"/>
      <c r="H60" s="405"/>
      <c r="I60" s="405"/>
      <c r="J60" s="405"/>
      <c r="K60" s="405"/>
      <c r="L60" s="405"/>
      <c r="M60" s="415"/>
      <c r="N60" s="301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299"/>
      <c r="D61" s="299"/>
      <c r="E61" s="299"/>
      <c r="F61" s="418"/>
      <c r="G61" s="418"/>
      <c r="H61" s="418"/>
      <c r="I61" s="418"/>
      <c r="J61" s="418"/>
      <c r="K61" s="418"/>
      <c r="L61" s="418"/>
      <c r="M61" s="419"/>
      <c r="N61" s="298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910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300" t="s">
        <v>2</v>
      </c>
      <c r="D63" s="300" t="s">
        <v>37</v>
      </c>
      <c r="E63" s="300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00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123</v>
      </c>
      <c r="D64" s="304"/>
      <c r="E64" s="302" t="s">
        <v>158</v>
      </c>
      <c r="F64" s="403" t="s">
        <v>911</v>
      </c>
      <c r="G64" s="395"/>
      <c r="H64" s="395"/>
      <c r="I64" s="395"/>
      <c r="J64" s="395"/>
      <c r="K64" s="395" t="s">
        <v>912</v>
      </c>
      <c r="L64" s="395"/>
      <c r="M64" s="54" t="s">
        <v>913</v>
      </c>
      <c r="N64" s="395">
        <v>14</v>
      </c>
      <c r="O64" s="395"/>
      <c r="P64" s="404">
        <v>250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 t="s">
        <v>156</v>
      </c>
      <c r="D65" s="304"/>
      <c r="E65" s="302" t="s">
        <v>158</v>
      </c>
      <c r="F65" s="403" t="s">
        <v>803</v>
      </c>
      <c r="G65" s="395"/>
      <c r="H65" s="395"/>
      <c r="I65" s="395"/>
      <c r="J65" s="395"/>
      <c r="K65" s="395" t="s">
        <v>804</v>
      </c>
      <c r="L65" s="395"/>
      <c r="M65" s="54" t="s">
        <v>719</v>
      </c>
      <c r="N65" s="395">
        <v>13</v>
      </c>
      <c r="O65" s="395"/>
      <c r="P65" s="404">
        <v>50</v>
      </c>
      <c r="Q65" s="404"/>
      <c r="R65" s="405" t="s">
        <v>914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 t="s">
        <v>123</v>
      </c>
      <c r="D66" s="304"/>
      <c r="E66" s="302" t="s">
        <v>125</v>
      </c>
      <c r="F66" s="403" t="s">
        <v>759</v>
      </c>
      <c r="G66" s="395"/>
      <c r="H66" s="395"/>
      <c r="I66" s="395"/>
      <c r="J66" s="395"/>
      <c r="K66" s="395" t="s">
        <v>727</v>
      </c>
      <c r="L66" s="395"/>
      <c r="M66" s="54" t="s">
        <v>719</v>
      </c>
      <c r="N66" s="395">
        <v>7</v>
      </c>
      <c r="O66" s="395"/>
      <c r="P66" s="404">
        <v>150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 t="s">
        <v>123</v>
      </c>
      <c r="D67" s="304"/>
      <c r="E67" s="302" t="s">
        <v>153</v>
      </c>
      <c r="F67" s="403" t="s">
        <v>726</v>
      </c>
      <c r="G67" s="395"/>
      <c r="H67" s="395"/>
      <c r="I67" s="395"/>
      <c r="J67" s="395"/>
      <c r="K67" s="395" t="s">
        <v>727</v>
      </c>
      <c r="L67" s="395"/>
      <c r="M67" s="54" t="s">
        <v>719</v>
      </c>
      <c r="N67" s="395">
        <v>13</v>
      </c>
      <c r="O67" s="395"/>
      <c r="P67" s="404">
        <v>150</v>
      </c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 t="s">
        <v>123</v>
      </c>
      <c r="D68" s="304"/>
      <c r="E68" s="302" t="s">
        <v>716</v>
      </c>
      <c r="F68" s="403" t="s">
        <v>717</v>
      </c>
      <c r="G68" s="395"/>
      <c r="H68" s="395"/>
      <c r="I68" s="395"/>
      <c r="J68" s="395"/>
      <c r="K68" s="395" t="s">
        <v>155</v>
      </c>
      <c r="L68" s="395"/>
      <c r="M68" s="54" t="s">
        <v>719</v>
      </c>
      <c r="N68" s="395">
        <v>12</v>
      </c>
      <c r="O68" s="395"/>
      <c r="P68" s="404">
        <v>150</v>
      </c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 t="s">
        <v>897</v>
      </c>
      <c r="D69" s="304"/>
      <c r="E69" s="302" t="s">
        <v>158</v>
      </c>
      <c r="F69" s="403" t="s">
        <v>877</v>
      </c>
      <c r="G69" s="395"/>
      <c r="H69" s="395"/>
      <c r="I69" s="395"/>
      <c r="J69" s="395"/>
      <c r="K69" s="395">
        <v>7301</v>
      </c>
      <c r="L69" s="395"/>
      <c r="M69" s="54" t="s">
        <v>913</v>
      </c>
      <c r="N69" s="395">
        <v>11</v>
      </c>
      <c r="O69" s="395"/>
      <c r="P69" s="404">
        <v>20</v>
      </c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304"/>
      <c r="E70" s="302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304"/>
      <c r="E71" s="302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916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303" t="s">
        <v>2</v>
      </c>
      <c r="D73" s="303" t="s">
        <v>37</v>
      </c>
      <c r="E73" s="303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305" t="s">
        <v>114</v>
      </c>
      <c r="D74" s="305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304" t="s">
        <v>114</v>
      </c>
      <c r="D75" s="304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0">A75+1</f>
        <v>3</v>
      </c>
      <c r="B76" s="363"/>
      <c r="C76" s="304"/>
      <c r="D76" s="304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0"/>
        <v>4</v>
      </c>
      <c r="B77" s="363"/>
      <c r="C77" s="304"/>
      <c r="D77" s="304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0"/>
        <v>5</v>
      </c>
      <c r="B78" s="363"/>
      <c r="C78" s="304"/>
      <c r="D78" s="304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0"/>
        <v>6</v>
      </c>
      <c r="B79" s="363"/>
      <c r="C79" s="304"/>
      <c r="D79" s="304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0"/>
        <v>7</v>
      </c>
      <c r="B80" s="363"/>
      <c r="C80" s="304"/>
      <c r="D80" s="304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0"/>
        <v>8</v>
      </c>
      <c r="B81" s="363"/>
      <c r="C81" s="304"/>
      <c r="D81" s="304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0"/>
        <v>9</v>
      </c>
      <c r="B82" s="363"/>
      <c r="C82" s="304"/>
      <c r="D82" s="304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917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918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869</v>
      </c>
      <c r="D6" s="55"/>
      <c r="E6" s="57" t="s">
        <v>891</v>
      </c>
      <c r="F6" s="33" t="s">
        <v>892</v>
      </c>
      <c r="G6" s="12">
        <v>1</v>
      </c>
      <c r="H6" s="13">
        <v>28</v>
      </c>
      <c r="I6" s="34">
        <v>10000</v>
      </c>
      <c r="J6" s="5">
        <v>3701</v>
      </c>
      <c r="K6" s="15">
        <f>L6+2004</f>
        <v>5705</v>
      </c>
      <c r="L6" s="15">
        <f>2076+1625</f>
        <v>3701</v>
      </c>
      <c r="M6" s="16">
        <f t="shared" ref="M6:M20" si="0">L6-N6</f>
        <v>3701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1</v>
      </c>
      <c r="AC6" s="9">
        <f t="shared" ref="AC6:AC20" si="5">IF(P6=0,"0",(P6/24))</f>
        <v>1</v>
      </c>
      <c r="AD6" s="10">
        <f t="shared" ref="AD6:AD20" si="6">AC6*AB6*(1-O6)</f>
        <v>1</v>
      </c>
      <c r="AE6" s="39">
        <f t="shared" ref="AE6:AE20" si="7">$AD$21</f>
        <v>0.49979530792196081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131</v>
      </c>
      <c r="D7" s="55" t="s">
        <v>546</v>
      </c>
      <c r="E7" s="57" t="s">
        <v>520</v>
      </c>
      <c r="F7" s="33" t="s">
        <v>548</v>
      </c>
      <c r="G7" s="12">
        <v>3</v>
      </c>
      <c r="H7" s="13">
        <v>25</v>
      </c>
      <c r="I7" s="34">
        <v>30000</v>
      </c>
      <c r="J7" s="5">
        <v>6244</v>
      </c>
      <c r="K7" s="15">
        <f>L7+7002+13602+6244</f>
        <v>26848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0.49979530792196081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11" t="s">
        <v>123</v>
      </c>
      <c r="D8" s="55" t="s">
        <v>135</v>
      </c>
      <c r="E8" s="56" t="s">
        <v>893</v>
      </c>
      <c r="F8" s="12" t="s">
        <v>665</v>
      </c>
      <c r="G8" s="12">
        <v>1</v>
      </c>
      <c r="H8" s="13">
        <v>25</v>
      </c>
      <c r="I8" s="34">
        <v>15000</v>
      </c>
      <c r="J8" s="14">
        <v>5950</v>
      </c>
      <c r="K8" s="15">
        <f>L8+3273</f>
        <v>9215</v>
      </c>
      <c r="L8" s="15">
        <f>3314+2628</f>
        <v>5942</v>
      </c>
      <c r="M8" s="16">
        <f t="shared" si="0"/>
        <v>5942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0.998655462184874</v>
      </c>
      <c r="AC8" s="9">
        <f t="shared" si="5"/>
        <v>1</v>
      </c>
      <c r="AD8" s="10">
        <f t="shared" si="6"/>
        <v>0.998655462184874</v>
      </c>
      <c r="AE8" s="39">
        <f t="shared" si="7"/>
        <v>0.49979530792196081</v>
      </c>
      <c r="AF8" s="94">
        <f>A8</f>
        <v>3</v>
      </c>
    </row>
    <row r="9" spans="1:36" ht="27" customHeight="1">
      <c r="A9" s="110">
        <v>4</v>
      </c>
      <c r="B9" s="11" t="s">
        <v>57</v>
      </c>
      <c r="C9" s="37" t="s">
        <v>123</v>
      </c>
      <c r="D9" s="55" t="s">
        <v>121</v>
      </c>
      <c r="E9" s="57" t="s">
        <v>652</v>
      </c>
      <c r="F9" s="33" t="s">
        <v>669</v>
      </c>
      <c r="G9" s="36">
        <v>1</v>
      </c>
      <c r="H9" s="38">
        <v>25</v>
      </c>
      <c r="I9" s="7">
        <v>35000</v>
      </c>
      <c r="J9" s="5">
        <v>6180</v>
      </c>
      <c r="K9" s="15">
        <f>L9+2702+3670+5212+4823+3102+5641</f>
        <v>31330</v>
      </c>
      <c r="L9" s="15">
        <f>3463+2717</f>
        <v>6180</v>
      </c>
      <c r="M9" s="16">
        <f t="shared" si="0"/>
        <v>6180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si="7"/>
        <v>0.49979530792196081</v>
      </c>
      <c r="AF9" s="94">
        <f t="shared" ref="AF9:AF11" si="9">A9</f>
        <v>4</v>
      </c>
    </row>
    <row r="10" spans="1:36" ht="27" customHeight="1">
      <c r="A10" s="110">
        <v>5</v>
      </c>
      <c r="B10" s="11" t="s">
        <v>57</v>
      </c>
      <c r="C10" s="11" t="s">
        <v>203</v>
      </c>
      <c r="D10" s="55" t="s">
        <v>144</v>
      </c>
      <c r="E10" s="57" t="s">
        <v>849</v>
      </c>
      <c r="F10" s="12" t="s">
        <v>850</v>
      </c>
      <c r="G10" s="12">
        <v>1</v>
      </c>
      <c r="H10" s="13">
        <v>25</v>
      </c>
      <c r="I10" s="34">
        <v>2000</v>
      </c>
      <c r="J10" s="14">
        <v>2330</v>
      </c>
      <c r="K10" s="15">
        <f>L10+2327</f>
        <v>2327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0.49979530792196081</v>
      </c>
      <c r="AF10" s="94">
        <f t="shared" si="9"/>
        <v>5</v>
      </c>
    </row>
    <row r="11" spans="1:36" ht="27" customHeight="1">
      <c r="A11" s="110">
        <v>6</v>
      </c>
      <c r="B11" s="11" t="s">
        <v>57</v>
      </c>
      <c r="C11" s="11" t="s">
        <v>114</v>
      </c>
      <c r="D11" s="55" t="s">
        <v>894</v>
      </c>
      <c r="E11" s="57" t="s">
        <v>895</v>
      </c>
      <c r="F11" s="12" t="s">
        <v>896</v>
      </c>
      <c r="G11" s="12">
        <v>1</v>
      </c>
      <c r="H11" s="13">
        <v>25</v>
      </c>
      <c r="I11" s="34">
        <v>7000</v>
      </c>
      <c r="J11" s="14">
        <v>5004</v>
      </c>
      <c r="K11" s="15">
        <f>L11+4943</f>
        <v>9947</v>
      </c>
      <c r="L11" s="15">
        <f>2872+2132</f>
        <v>5004</v>
      </c>
      <c r="M11" s="16">
        <f t="shared" si="0"/>
        <v>5004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0.49979530792196081</v>
      </c>
      <c r="AF11" s="94">
        <f t="shared" si="9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158</v>
      </c>
      <c r="E12" s="57" t="s">
        <v>354</v>
      </c>
      <c r="F12" s="12" t="s">
        <v>371</v>
      </c>
      <c r="G12" s="12">
        <v>1</v>
      </c>
      <c r="H12" s="13">
        <v>25</v>
      </c>
      <c r="I12" s="7">
        <v>2000</v>
      </c>
      <c r="J12" s="14">
        <v>2283</v>
      </c>
      <c r="K12" s="15">
        <f>L12+2283</f>
        <v>2283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0.49979530792196081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123</v>
      </c>
      <c r="D13" s="55" t="s">
        <v>158</v>
      </c>
      <c r="E13" s="57" t="s">
        <v>708</v>
      </c>
      <c r="F13" s="12" t="s">
        <v>738</v>
      </c>
      <c r="G13" s="12">
        <v>1</v>
      </c>
      <c r="H13" s="13">
        <v>25</v>
      </c>
      <c r="I13" s="7">
        <v>35000</v>
      </c>
      <c r="J13" s="14">
        <v>5340</v>
      </c>
      <c r="K13" s="15">
        <f>L13+3666+4964+4511+2599+3947</f>
        <v>25026</v>
      </c>
      <c r="L13" s="15">
        <f>2799+2540</f>
        <v>5339</v>
      </c>
      <c r="M13" s="16">
        <f t="shared" si="0"/>
        <v>5339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0.99981273408239701</v>
      </c>
      <c r="AC13" s="9">
        <f t="shared" si="5"/>
        <v>1</v>
      </c>
      <c r="AD13" s="10">
        <f t="shared" si="6"/>
        <v>0.99981273408239701</v>
      </c>
      <c r="AE13" s="39">
        <f t="shared" si="7"/>
        <v>0.49979530792196081</v>
      </c>
      <c r="AF13" s="94">
        <f t="shared" si="8"/>
        <v>8</v>
      </c>
    </row>
    <row r="14" spans="1:36" ht="27" customHeight="1">
      <c r="A14" s="109">
        <v>9</v>
      </c>
      <c r="B14" s="11" t="s">
        <v>813</v>
      </c>
      <c r="C14" s="37" t="s">
        <v>114</v>
      </c>
      <c r="D14" s="55" t="s">
        <v>158</v>
      </c>
      <c r="E14" s="57" t="s">
        <v>814</v>
      </c>
      <c r="F14" s="33" t="s">
        <v>815</v>
      </c>
      <c r="G14" s="36">
        <v>1</v>
      </c>
      <c r="H14" s="38">
        <v>25</v>
      </c>
      <c r="I14" s="7">
        <v>300</v>
      </c>
      <c r="J14" s="5">
        <v>610</v>
      </c>
      <c r="K14" s="15">
        <f>L14+609</f>
        <v>609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0.49979530792196081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919</v>
      </c>
      <c r="E15" s="57" t="s">
        <v>930</v>
      </c>
      <c r="F15" s="12" t="s">
        <v>920</v>
      </c>
      <c r="G15" s="12">
        <v>4</v>
      </c>
      <c r="H15" s="13">
        <v>24</v>
      </c>
      <c r="I15" s="34">
        <v>30000</v>
      </c>
      <c r="J15" s="14">
        <v>23260</v>
      </c>
      <c r="K15" s="15">
        <f>L15</f>
        <v>23252</v>
      </c>
      <c r="L15" s="15">
        <f>3590*4+2223*4</f>
        <v>23252</v>
      </c>
      <c r="M15" s="16">
        <f t="shared" si="0"/>
        <v>23252</v>
      </c>
      <c r="N15" s="16">
        <v>0</v>
      </c>
      <c r="O15" s="62">
        <f t="shared" si="1"/>
        <v>0</v>
      </c>
      <c r="P15" s="42">
        <f t="shared" si="2"/>
        <v>22</v>
      </c>
      <c r="Q15" s="43">
        <f t="shared" si="3"/>
        <v>2</v>
      </c>
      <c r="R15" s="7"/>
      <c r="S15" s="6"/>
      <c r="T15" s="17">
        <v>2</v>
      </c>
      <c r="U15" s="17"/>
      <c r="V15" s="18"/>
      <c r="W15" s="19"/>
      <c r="X15" s="17"/>
      <c r="Y15" s="20"/>
      <c r="Z15" s="20"/>
      <c r="AA15" s="21"/>
      <c r="AB15" s="8">
        <f t="shared" si="4"/>
        <v>0.99965606190885636</v>
      </c>
      <c r="AC15" s="9">
        <f t="shared" si="5"/>
        <v>0.91666666666666663</v>
      </c>
      <c r="AD15" s="10">
        <f t="shared" si="6"/>
        <v>0.91635139008311828</v>
      </c>
      <c r="AE15" s="39">
        <f t="shared" si="7"/>
        <v>0.49979530792196081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897</v>
      </c>
      <c r="D16" s="55" t="s">
        <v>898</v>
      </c>
      <c r="E16" s="56" t="s">
        <v>899</v>
      </c>
      <c r="F16" s="12">
        <v>7301</v>
      </c>
      <c r="G16" s="36">
        <v>1</v>
      </c>
      <c r="H16" s="38">
        <v>25</v>
      </c>
      <c r="I16" s="7">
        <v>500</v>
      </c>
      <c r="J16" s="14">
        <v>706</v>
      </c>
      <c r="K16" s="15">
        <f>L16+706</f>
        <v>706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0.49979530792196081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123</v>
      </c>
      <c r="D17" s="55" t="s">
        <v>153</v>
      </c>
      <c r="E17" s="56" t="s">
        <v>676</v>
      </c>
      <c r="F17" s="12" t="s">
        <v>155</v>
      </c>
      <c r="G17" s="12">
        <v>1</v>
      </c>
      <c r="H17" s="13">
        <v>25</v>
      </c>
      <c r="I17" s="34">
        <v>4000</v>
      </c>
      <c r="J17" s="5">
        <v>2420</v>
      </c>
      <c r="K17" s="15">
        <f>L17+2945+2411</f>
        <v>5356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0.49979530792196081</v>
      </c>
      <c r="AF17" s="94">
        <f t="shared" ref="AF17" si="10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617</v>
      </c>
      <c r="E18" s="57" t="s">
        <v>577</v>
      </c>
      <c r="F18" s="33" t="s">
        <v>231</v>
      </c>
      <c r="G18" s="36">
        <v>1</v>
      </c>
      <c r="H18" s="38">
        <v>25</v>
      </c>
      <c r="I18" s="7">
        <v>2500</v>
      </c>
      <c r="J18" s="5">
        <v>3115</v>
      </c>
      <c r="K18" s="15">
        <f>L18+3115</f>
        <v>3115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0.49979530792196081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123</v>
      </c>
      <c r="D19" s="55" t="s">
        <v>921</v>
      </c>
      <c r="E19" s="57" t="s">
        <v>922</v>
      </c>
      <c r="F19" s="12" t="s">
        <v>405</v>
      </c>
      <c r="G19" s="12">
        <v>1</v>
      </c>
      <c r="H19" s="13">
        <v>25</v>
      </c>
      <c r="I19" s="7">
        <v>12000</v>
      </c>
      <c r="J19" s="14">
        <v>2780</v>
      </c>
      <c r="K19" s="15">
        <f>L19+2051+1097</f>
        <v>5923</v>
      </c>
      <c r="L19" s="15">
        <f>2775</f>
        <v>2775</v>
      </c>
      <c r="M19" s="16">
        <f t="shared" si="0"/>
        <v>2775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/>
      <c r="T19" s="17">
        <v>10</v>
      </c>
      <c r="U19" s="17"/>
      <c r="V19" s="18"/>
      <c r="W19" s="19"/>
      <c r="X19" s="17"/>
      <c r="Y19" s="20"/>
      <c r="Z19" s="20"/>
      <c r="AA19" s="21"/>
      <c r="AB19" s="8">
        <f t="shared" si="4"/>
        <v>0.99820143884892087</v>
      </c>
      <c r="AC19" s="9">
        <f t="shared" si="5"/>
        <v>0.58333333333333337</v>
      </c>
      <c r="AD19" s="10">
        <f t="shared" si="6"/>
        <v>0.58228417266187049</v>
      </c>
      <c r="AE19" s="39">
        <f t="shared" si="7"/>
        <v>0.49979530792196081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770</v>
      </c>
      <c r="F20" s="12" t="s">
        <v>133</v>
      </c>
      <c r="G20" s="12">
        <v>4</v>
      </c>
      <c r="H20" s="38">
        <v>20</v>
      </c>
      <c r="I20" s="7">
        <v>800000</v>
      </c>
      <c r="J20" s="14">
        <v>45940</v>
      </c>
      <c r="K20" s="15">
        <f>L20+37488+44980+44780</f>
        <v>173180</v>
      </c>
      <c r="L20" s="15">
        <f>6788*4+4695*4</f>
        <v>45932</v>
      </c>
      <c r="M20" s="16">
        <f t="shared" si="0"/>
        <v>45932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0.99982585981715277</v>
      </c>
      <c r="AC20" s="9">
        <f t="shared" si="5"/>
        <v>1</v>
      </c>
      <c r="AD20" s="10">
        <f t="shared" si="6"/>
        <v>0.99982585981715277</v>
      </c>
      <c r="AE20" s="39">
        <f t="shared" si="7"/>
        <v>0.49979530792196081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1">SUM(I6:I20)</f>
        <v>985300</v>
      </c>
      <c r="J21" s="22">
        <f t="shared" si="11"/>
        <v>115863</v>
      </c>
      <c r="K21" s="23">
        <f t="shared" si="11"/>
        <v>324822</v>
      </c>
      <c r="L21" s="24">
        <f t="shared" si="11"/>
        <v>98125</v>
      </c>
      <c r="M21" s="23">
        <f t="shared" si="11"/>
        <v>98125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180</v>
      </c>
      <c r="Q21" s="46">
        <f t="shared" si="12"/>
        <v>180</v>
      </c>
      <c r="R21" s="26">
        <f t="shared" si="12"/>
        <v>0</v>
      </c>
      <c r="S21" s="27">
        <f t="shared" si="12"/>
        <v>0</v>
      </c>
      <c r="T21" s="27">
        <f t="shared" si="12"/>
        <v>12</v>
      </c>
      <c r="U21" s="27">
        <f t="shared" si="12"/>
        <v>0</v>
      </c>
      <c r="V21" s="28">
        <f t="shared" si="12"/>
        <v>0</v>
      </c>
      <c r="W21" s="29">
        <f t="shared" si="12"/>
        <v>168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0.53307677045614676</v>
      </c>
      <c r="AC21" s="4">
        <f>SUM(AC6:AC20)/15</f>
        <v>0.5</v>
      </c>
      <c r="AD21" s="4">
        <f>SUM(AD6:AD20)/15</f>
        <v>0.49979530792196081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923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931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316" t="s">
        <v>46</v>
      </c>
      <c r="D50" s="316" t="s">
        <v>47</v>
      </c>
      <c r="E50" s="316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316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924</v>
      </c>
      <c r="B51" s="421"/>
      <c r="C51" s="315" t="s">
        <v>925</v>
      </c>
      <c r="D51" s="312" t="s">
        <v>926</v>
      </c>
      <c r="E51" s="315" t="s">
        <v>922</v>
      </c>
      <c r="F51" s="405" t="s">
        <v>902</v>
      </c>
      <c r="G51" s="405"/>
      <c r="H51" s="405"/>
      <c r="I51" s="405"/>
      <c r="J51" s="405"/>
      <c r="K51" s="405"/>
      <c r="L51" s="405"/>
      <c r="M51" s="415"/>
      <c r="N51" s="311" t="s">
        <v>932</v>
      </c>
      <c r="O51" s="74" t="s">
        <v>933</v>
      </c>
      <c r="P51" s="422" t="s">
        <v>934</v>
      </c>
      <c r="Q51" s="423"/>
      <c r="R51" s="414" t="s">
        <v>935</v>
      </c>
      <c r="S51" s="414"/>
      <c r="T51" s="414"/>
      <c r="U51" s="414"/>
      <c r="V51" s="405" t="s">
        <v>157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927</v>
      </c>
      <c r="B52" s="421"/>
      <c r="C52" s="315" t="s">
        <v>928</v>
      </c>
      <c r="D52" s="312" t="s">
        <v>929</v>
      </c>
      <c r="E52" s="315" t="s">
        <v>930</v>
      </c>
      <c r="F52" s="405" t="s">
        <v>902</v>
      </c>
      <c r="G52" s="405"/>
      <c r="H52" s="405"/>
      <c r="I52" s="405"/>
      <c r="J52" s="405"/>
      <c r="K52" s="405"/>
      <c r="L52" s="405"/>
      <c r="M52" s="415"/>
      <c r="N52" s="311" t="s">
        <v>123</v>
      </c>
      <c r="O52" s="74" t="s">
        <v>937</v>
      </c>
      <c r="P52" s="422" t="s">
        <v>938</v>
      </c>
      <c r="Q52" s="423"/>
      <c r="R52" s="414" t="s">
        <v>936</v>
      </c>
      <c r="S52" s="414"/>
      <c r="T52" s="414"/>
      <c r="U52" s="414"/>
      <c r="V52" s="405" t="s">
        <v>157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/>
      <c r="B53" s="421"/>
      <c r="C53" s="315"/>
      <c r="D53" s="312"/>
      <c r="E53" s="315"/>
      <c r="F53" s="405"/>
      <c r="G53" s="405"/>
      <c r="H53" s="405"/>
      <c r="I53" s="405"/>
      <c r="J53" s="405"/>
      <c r="K53" s="405"/>
      <c r="L53" s="405"/>
      <c r="M53" s="415"/>
      <c r="N53" s="311"/>
      <c r="O53" s="74"/>
      <c r="P53" s="414"/>
      <c r="Q53" s="414"/>
      <c r="R53" s="414"/>
      <c r="S53" s="414"/>
      <c r="T53" s="414"/>
      <c r="U53" s="414"/>
      <c r="V53" s="405"/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/>
      <c r="B54" s="421"/>
      <c r="C54" s="315"/>
      <c r="D54" s="312"/>
      <c r="E54" s="315"/>
      <c r="F54" s="405"/>
      <c r="G54" s="405"/>
      <c r="H54" s="405"/>
      <c r="I54" s="405"/>
      <c r="J54" s="405"/>
      <c r="K54" s="405"/>
      <c r="L54" s="405"/>
      <c r="M54" s="415"/>
      <c r="N54" s="311"/>
      <c r="O54" s="74"/>
      <c r="P54" s="422"/>
      <c r="Q54" s="423"/>
      <c r="R54" s="414"/>
      <c r="S54" s="414"/>
      <c r="T54" s="414"/>
      <c r="U54" s="414"/>
      <c r="V54" s="405"/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315"/>
      <c r="D55" s="312"/>
      <c r="E55" s="315"/>
      <c r="F55" s="405"/>
      <c r="G55" s="405"/>
      <c r="H55" s="405"/>
      <c r="I55" s="405"/>
      <c r="J55" s="405"/>
      <c r="K55" s="405"/>
      <c r="L55" s="405"/>
      <c r="M55" s="415"/>
      <c r="N55" s="311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315"/>
      <c r="D56" s="312"/>
      <c r="E56" s="315"/>
      <c r="F56" s="405"/>
      <c r="G56" s="405"/>
      <c r="H56" s="405"/>
      <c r="I56" s="405"/>
      <c r="J56" s="405"/>
      <c r="K56" s="405"/>
      <c r="L56" s="405"/>
      <c r="M56" s="415"/>
      <c r="N56" s="311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315"/>
      <c r="D57" s="312"/>
      <c r="E57" s="315"/>
      <c r="F57" s="405"/>
      <c r="G57" s="405"/>
      <c r="H57" s="405"/>
      <c r="I57" s="405"/>
      <c r="J57" s="405"/>
      <c r="K57" s="405"/>
      <c r="L57" s="405"/>
      <c r="M57" s="415"/>
      <c r="N57" s="311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315"/>
      <c r="D58" s="312"/>
      <c r="E58" s="315"/>
      <c r="F58" s="405"/>
      <c r="G58" s="405"/>
      <c r="H58" s="405"/>
      <c r="I58" s="405"/>
      <c r="J58" s="405"/>
      <c r="K58" s="405"/>
      <c r="L58" s="405"/>
      <c r="M58" s="415"/>
      <c r="N58" s="311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312"/>
      <c r="D59" s="312"/>
      <c r="E59" s="312"/>
      <c r="F59" s="405"/>
      <c r="G59" s="405"/>
      <c r="H59" s="405"/>
      <c r="I59" s="405"/>
      <c r="J59" s="405"/>
      <c r="K59" s="405"/>
      <c r="L59" s="405"/>
      <c r="M59" s="415"/>
      <c r="N59" s="311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314"/>
      <c r="D60" s="314"/>
      <c r="E60" s="314"/>
      <c r="F60" s="418"/>
      <c r="G60" s="418"/>
      <c r="H60" s="418"/>
      <c r="I60" s="418"/>
      <c r="J60" s="418"/>
      <c r="K60" s="418"/>
      <c r="L60" s="418"/>
      <c r="M60" s="419"/>
      <c r="N60" s="313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939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310" t="s">
        <v>2</v>
      </c>
      <c r="D62" s="310" t="s">
        <v>37</v>
      </c>
      <c r="E62" s="31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310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692</v>
      </c>
      <c r="D63" s="306"/>
      <c r="E63" s="309" t="s">
        <v>688</v>
      </c>
      <c r="F63" s="403" t="s">
        <v>757</v>
      </c>
      <c r="G63" s="395"/>
      <c r="H63" s="395"/>
      <c r="I63" s="395"/>
      <c r="J63" s="395"/>
      <c r="K63" s="395" t="s">
        <v>758</v>
      </c>
      <c r="L63" s="395"/>
      <c r="M63" s="54" t="s">
        <v>719</v>
      </c>
      <c r="N63" s="395">
        <v>13</v>
      </c>
      <c r="O63" s="395"/>
      <c r="P63" s="404">
        <v>150</v>
      </c>
      <c r="Q63" s="404"/>
      <c r="R63" s="405" t="s">
        <v>720</v>
      </c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/>
      <c r="D64" s="306"/>
      <c r="E64" s="309"/>
      <c r="F64" s="403"/>
      <c r="G64" s="395"/>
      <c r="H64" s="395"/>
      <c r="I64" s="395"/>
      <c r="J64" s="395"/>
      <c r="K64" s="395"/>
      <c r="L64" s="395"/>
      <c r="M64" s="54"/>
      <c r="N64" s="395"/>
      <c r="O64" s="395"/>
      <c r="P64" s="404"/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/>
      <c r="D65" s="306"/>
      <c r="E65" s="309"/>
      <c r="F65" s="403"/>
      <c r="G65" s="395"/>
      <c r="H65" s="395"/>
      <c r="I65" s="395"/>
      <c r="J65" s="395"/>
      <c r="K65" s="395"/>
      <c r="L65" s="395"/>
      <c r="M65" s="54"/>
      <c r="N65" s="395"/>
      <c r="O65" s="395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306"/>
      <c r="E66" s="309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306"/>
      <c r="E67" s="309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306"/>
      <c r="E68" s="309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306"/>
      <c r="E69" s="309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306"/>
      <c r="E70" s="309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940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308" t="s">
        <v>2</v>
      </c>
      <c r="D72" s="308" t="s">
        <v>37</v>
      </c>
      <c r="E72" s="308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307" t="s">
        <v>114</v>
      </c>
      <c r="D73" s="307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306" t="s">
        <v>114</v>
      </c>
      <c r="D74" s="306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3">A74+1</f>
        <v>3</v>
      </c>
      <c r="B75" s="363"/>
      <c r="C75" s="306"/>
      <c r="D75" s="306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3"/>
        <v>4</v>
      </c>
      <c r="B76" s="363"/>
      <c r="C76" s="306"/>
      <c r="D76" s="306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3"/>
        <v>5</v>
      </c>
      <c r="B77" s="363"/>
      <c r="C77" s="306"/>
      <c r="D77" s="306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3"/>
        <v>6</v>
      </c>
      <c r="B78" s="363"/>
      <c r="C78" s="306"/>
      <c r="D78" s="306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3"/>
        <v>7</v>
      </c>
      <c r="B79" s="363"/>
      <c r="C79" s="306"/>
      <c r="D79" s="306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3"/>
        <v>8</v>
      </c>
      <c r="B80" s="363"/>
      <c r="C80" s="306"/>
      <c r="D80" s="306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3"/>
        <v>9</v>
      </c>
      <c r="B81" s="363"/>
      <c r="C81" s="306"/>
      <c r="D81" s="306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941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E85" sqref="E85:J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53" t="s">
        <v>942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2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2" ht="27" customHeight="1">
      <c r="A6" s="108">
        <v>1</v>
      </c>
      <c r="B6" s="11" t="s">
        <v>57</v>
      </c>
      <c r="C6" s="37" t="s">
        <v>869</v>
      </c>
      <c r="D6" s="55"/>
      <c r="E6" s="57" t="s">
        <v>891</v>
      </c>
      <c r="F6" s="33" t="s">
        <v>133</v>
      </c>
      <c r="G6" s="12">
        <v>1</v>
      </c>
      <c r="H6" s="13">
        <v>28</v>
      </c>
      <c r="I6" s="34">
        <v>10000</v>
      </c>
      <c r="J6" s="5">
        <v>2370</v>
      </c>
      <c r="K6" s="15">
        <f>L6+2004+3701</f>
        <v>8071</v>
      </c>
      <c r="L6" s="15">
        <f>1153+1213</f>
        <v>2366</v>
      </c>
      <c r="M6" s="16">
        <f t="shared" ref="M6:M21" si="0">L6-N6</f>
        <v>2366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20</v>
      </c>
      <c r="Q6" s="43">
        <f t="shared" ref="Q6:Q21" si="3">SUM(R6:AA6)</f>
        <v>4</v>
      </c>
      <c r="R6" s="7"/>
      <c r="S6" s="6"/>
      <c r="T6" s="17"/>
      <c r="U6" s="17"/>
      <c r="V6" s="18"/>
      <c r="W6" s="19">
        <v>4</v>
      </c>
      <c r="X6" s="17"/>
      <c r="Y6" s="20"/>
      <c r="Z6" s="20"/>
      <c r="AA6" s="21"/>
      <c r="AB6" s="8">
        <f t="shared" ref="AB6:AB21" si="4">IF(J6=0,"0",(L6/J6))</f>
        <v>0.99831223628691979</v>
      </c>
      <c r="AC6" s="9">
        <f t="shared" ref="AC6:AC21" si="5">IF(P6=0,"0",(P6/24))</f>
        <v>0.83333333333333337</v>
      </c>
      <c r="AD6" s="10">
        <f t="shared" ref="AD6:AD21" si="6">AC6*AB6*(1-O6)</f>
        <v>0.83192686357243317</v>
      </c>
      <c r="AE6" s="39">
        <f t="shared" ref="AE6:AE21" si="7">$AD$22</f>
        <v>0.5134930016610999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123</v>
      </c>
      <c r="D7" s="55" t="s">
        <v>135</v>
      </c>
      <c r="E7" s="57" t="s">
        <v>943</v>
      </c>
      <c r="F7" s="33" t="s">
        <v>944</v>
      </c>
      <c r="G7" s="12">
        <v>1</v>
      </c>
      <c r="H7" s="13">
        <v>25</v>
      </c>
      <c r="I7" s="34">
        <v>20000</v>
      </c>
      <c r="J7" s="5">
        <v>1560</v>
      </c>
      <c r="K7" s="15">
        <f>L7</f>
        <v>1556</v>
      </c>
      <c r="L7" s="15">
        <f>1556</f>
        <v>1556</v>
      </c>
      <c r="M7" s="16">
        <f t="shared" si="0"/>
        <v>1556</v>
      </c>
      <c r="N7" s="16">
        <v>0</v>
      </c>
      <c r="O7" s="62">
        <f t="shared" si="1"/>
        <v>0</v>
      </c>
      <c r="P7" s="42">
        <f t="shared" si="2"/>
        <v>8</v>
      </c>
      <c r="Q7" s="43">
        <f t="shared" si="3"/>
        <v>16</v>
      </c>
      <c r="R7" s="7"/>
      <c r="S7" s="6"/>
      <c r="T7" s="17"/>
      <c r="U7" s="17"/>
      <c r="V7" s="18">
        <v>16</v>
      </c>
      <c r="W7" s="19"/>
      <c r="X7" s="17"/>
      <c r="Y7" s="20"/>
      <c r="Z7" s="20"/>
      <c r="AA7" s="21"/>
      <c r="AB7" s="8">
        <f t="shared" si="4"/>
        <v>0.99743589743589745</v>
      </c>
      <c r="AC7" s="9">
        <f t="shared" si="5"/>
        <v>0.33333333333333331</v>
      </c>
      <c r="AD7" s="10">
        <f t="shared" si="6"/>
        <v>0.33247863247863246</v>
      </c>
      <c r="AE7" s="39">
        <f t="shared" si="7"/>
        <v>0.5134930016610999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123</v>
      </c>
      <c r="D8" s="55" t="s">
        <v>135</v>
      </c>
      <c r="E8" s="57" t="s">
        <v>943</v>
      </c>
      <c r="F8" s="33" t="s">
        <v>944</v>
      </c>
      <c r="G8" s="12">
        <v>1</v>
      </c>
      <c r="H8" s="13">
        <v>25</v>
      </c>
      <c r="I8" s="34">
        <v>20000</v>
      </c>
      <c r="J8" s="5">
        <v>2890</v>
      </c>
      <c r="K8" s="15">
        <f>L8+1556</f>
        <v>4445</v>
      </c>
      <c r="L8" s="15">
        <f>2889</f>
        <v>2889</v>
      </c>
      <c r="M8" s="16">
        <f t="shared" ref="M8" si="9">L8-N8</f>
        <v>2889</v>
      </c>
      <c r="N8" s="16">
        <v>0</v>
      </c>
      <c r="O8" s="62">
        <f t="shared" ref="O8" si="10">IF(L8=0,"0",N8/L8)</f>
        <v>0</v>
      </c>
      <c r="P8" s="42">
        <f t="shared" ref="P8" si="11">IF(L8=0,"0",(24-Q8))</f>
        <v>15</v>
      </c>
      <c r="Q8" s="43">
        <f t="shared" ref="Q8" si="12">SUM(R8:AA8)</f>
        <v>9</v>
      </c>
      <c r="R8" s="7"/>
      <c r="S8" s="6"/>
      <c r="T8" s="17">
        <v>9</v>
      </c>
      <c r="U8" s="17"/>
      <c r="V8" s="18"/>
      <c r="W8" s="19"/>
      <c r="X8" s="17"/>
      <c r="Y8" s="20"/>
      <c r="Z8" s="20"/>
      <c r="AA8" s="21"/>
      <c r="AB8" s="8">
        <f t="shared" ref="AB8" si="13">IF(J8=0,"0",(L8/J8))</f>
        <v>0.99965397923875432</v>
      </c>
      <c r="AC8" s="9">
        <f t="shared" ref="AC8" si="14">IF(P8=0,"0",(P8/24))</f>
        <v>0.625</v>
      </c>
      <c r="AD8" s="10">
        <f t="shared" ref="AD8" si="15">AC8*AB8*(1-O8)</f>
        <v>0.62478373702422141</v>
      </c>
      <c r="AE8" s="39">
        <f t="shared" si="7"/>
        <v>0.5134930016610999</v>
      </c>
      <c r="AF8" s="94">
        <f t="shared" ref="AF8" si="16">A8</f>
        <v>3</v>
      </c>
    </row>
    <row r="9" spans="1:32" ht="27" customHeight="1">
      <c r="A9" s="109">
        <v>3</v>
      </c>
      <c r="B9" s="11" t="s">
        <v>57</v>
      </c>
      <c r="C9" s="11" t="s">
        <v>123</v>
      </c>
      <c r="D9" s="55" t="s">
        <v>135</v>
      </c>
      <c r="E9" s="56" t="s">
        <v>893</v>
      </c>
      <c r="F9" s="12" t="s">
        <v>169</v>
      </c>
      <c r="G9" s="12">
        <v>1</v>
      </c>
      <c r="H9" s="13">
        <v>25</v>
      </c>
      <c r="I9" s="34">
        <v>15000</v>
      </c>
      <c r="J9" s="14">
        <v>2000</v>
      </c>
      <c r="K9" s="15">
        <f>L9+3273+5942</f>
        <v>11212</v>
      </c>
      <c r="L9" s="15">
        <v>1997</v>
      </c>
      <c r="M9" s="16">
        <f t="shared" si="0"/>
        <v>1997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0.99850000000000005</v>
      </c>
      <c r="AC9" s="9">
        <f t="shared" si="5"/>
        <v>0.33333333333333331</v>
      </c>
      <c r="AD9" s="10">
        <f t="shared" si="6"/>
        <v>0.33283333333333331</v>
      </c>
      <c r="AE9" s="39">
        <f t="shared" si="7"/>
        <v>0.5134930016610999</v>
      </c>
      <c r="AF9" s="94">
        <f>A9</f>
        <v>3</v>
      </c>
    </row>
    <row r="10" spans="1:32" ht="27" customHeight="1">
      <c r="A10" s="110">
        <v>4</v>
      </c>
      <c r="B10" s="11" t="s">
        <v>57</v>
      </c>
      <c r="C10" s="37" t="s">
        <v>123</v>
      </c>
      <c r="D10" s="55" t="s">
        <v>121</v>
      </c>
      <c r="E10" s="57" t="s">
        <v>652</v>
      </c>
      <c r="F10" s="33" t="s">
        <v>669</v>
      </c>
      <c r="G10" s="36">
        <v>1</v>
      </c>
      <c r="H10" s="38">
        <v>25</v>
      </c>
      <c r="I10" s="7">
        <v>35000</v>
      </c>
      <c r="J10" s="5">
        <v>5180</v>
      </c>
      <c r="K10" s="15">
        <f>L10+2702+3670+5212+4823+3102+5641+6180</f>
        <v>36504</v>
      </c>
      <c r="L10" s="15">
        <f>2914+2260</f>
        <v>5174</v>
      </c>
      <c r="M10" s="16">
        <f t="shared" si="0"/>
        <v>5174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0.99884169884169882</v>
      </c>
      <c r="AC10" s="9">
        <f t="shared" si="5"/>
        <v>1</v>
      </c>
      <c r="AD10" s="10">
        <f t="shared" si="6"/>
        <v>0.99884169884169882</v>
      </c>
      <c r="AE10" s="39">
        <f t="shared" si="7"/>
        <v>0.5134930016610999</v>
      </c>
      <c r="AF10" s="94">
        <f t="shared" ref="AF10:AF12" si="17">A10</f>
        <v>4</v>
      </c>
    </row>
    <row r="11" spans="1:32" ht="27" customHeight="1">
      <c r="A11" s="110">
        <v>5</v>
      </c>
      <c r="B11" s="11" t="s">
        <v>57</v>
      </c>
      <c r="C11" s="11" t="s">
        <v>123</v>
      </c>
      <c r="D11" s="55" t="s">
        <v>945</v>
      </c>
      <c r="E11" s="57" t="s">
        <v>946</v>
      </c>
      <c r="F11" s="12" t="s">
        <v>947</v>
      </c>
      <c r="G11" s="12">
        <v>1</v>
      </c>
      <c r="H11" s="13">
        <v>25</v>
      </c>
      <c r="I11" s="34">
        <v>7000</v>
      </c>
      <c r="J11" s="14">
        <v>4730</v>
      </c>
      <c r="K11" s="15">
        <f>L11</f>
        <v>4727</v>
      </c>
      <c r="L11" s="15">
        <f>2750+1977</f>
        <v>4727</v>
      </c>
      <c r="M11" s="16">
        <f t="shared" si="0"/>
        <v>4727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/>
      <c r="T11" s="17">
        <v>2</v>
      </c>
      <c r="U11" s="17"/>
      <c r="V11" s="18"/>
      <c r="W11" s="19"/>
      <c r="X11" s="17"/>
      <c r="Y11" s="20"/>
      <c r="Z11" s="20"/>
      <c r="AA11" s="21"/>
      <c r="AB11" s="8">
        <f t="shared" si="4"/>
        <v>0.99936575052854126</v>
      </c>
      <c r="AC11" s="9">
        <f t="shared" si="5"/>
        <v>0.91666666666666663</v>
      </c>
      <c r="AD11" s="10">
        <f t="shared" si="6"/>
        <v>0.91608527131782946</v>
      </c>
      <c r="AE11" s="39">
        <f t="shared" si="7"/>
        <v>0.5134930016610999</v>
      </c>
      <c r="AF11" s="94">
        <f t="shared" si="17"/>
        <v>5</v>
      </c>
    </row>
    <row r="12" spans="1:32" ht="27" customHeight="1">
      <c r="A12" s="110">
        <v>6</v>
      </c>
      <c r="B12" s="11" t="s">
        <v>57</v>
      </c>
      <c r="C12" s="11" t="s">
        <v>114</v>
      </c>
      <c r="D12" s="55" t="s">
        <v>140</v>
      </c>
      <c r="E12" s="57" t="s">
        <v>451</v>
      </c>
      <c r="F12" s="12" t="s">
        <v>896</v>
      </c>
      <c r="G12" s="12">
        <v>1</v>
      </c>
      <c r="H12" s="13">
        <v>25</v>
      </c>
      <c r="I12" s="34">
        <v>7000</v>
      </c>
      <c r="J12" s="14">
        <v>5004</v>
      </c>
      <c r="K12" s="15">
        <f>L12+4943+5004</f>
        <v>9947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0.5134930016610999</v>
      </c>
      <c r="AF12" s="94">
        <f t="shared" si="17"/>
        <v>6</v>
      </c>
    </row>
    <row r="13" spans="1:32" ht="27" customHeight="1">
      <c r="A13" s="110">
        <v>7</v>
      </c>
      <c r="B13" s="11" t="s">
        <v>57</v>
      </c>
      <c r="C13" s="11" t="s">
        <v>114</v>
      </c>
      <c r="D13" s="55" t="s">
        <v>158</v>
      </c>
      <c r="E13" s="57" t="s">
        <v>354</v>
      </c>
      <c r="F13" s="12" t="s">
        <v>371</v>
      </c>
      <c r="G13" s="12">
        <v>1</v>
      </c>
      <c r="H13" s="13">
        <v>25</v>
      </c>
      <c r="I13" s="7">
        <v>2000</v>
      </c>
      <c r="J13" s="14">
        <v>2283</v>
      </c>
      <c r="K13" s="15">
        <f>L13+2283</f>
        <v>2283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0.5134930016610999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123</v>
      </c>
      <c r="D14" s="55" t="s">
        <v>158</v>
      </c>
      <c r="E14" s="57" t="s">
        <v>708</v>
      </c>
      <c r="F14" s="12" t="s">
        <v>405</v>
      </c>
      <c r="G14" s="12">
        <v>1</v>
      </c>
      <c r="H14" s="13">
        <v>25</v>
      </c>
      <c r="I14" s="7">
        <v>35000</v>
      </c>
      <c r="J14" s="14">
        <v>3090</v>
      </c>
      <c r="K14" s="15">
        <f>L14+3666+4964+4511+2599+3947+5339</f>
        <v>28115</v>
      </c>
      <c r="L14" s="15">
        <f>2727+362</f>
        <v>3089</v>
      </c>
      <c r="M14" s="16">
        <f t="shared" si="0"/>
        <v>3089</v>
      </c>
      <c r="N14" s="16">
        <v>0</v>
      </c>
      <c r="O14" s="62">
        <f t="shared" si="1"/>
        <v>0</v>
      </c>
      <c r="P14" s="42">
        <f t="shared" si="2"/>
        <v>18</v>
      </c>
      <c r="Q14" s="43">
        <f t="shared" si="3"/>
        <v>6</v>
      </c>
      <c r="R14" s="7"/>
      <c r="S14" s="6">
        <v>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0.99967637540453069</v>
      </c>
      <c r="AC14" s="9">
        <f t="shared" si="5"/>
        <v>0.75</v>
      </c>
      <c r="AD14" s="10">
        <f t="shared" si="6"/>
        <v>0.74975728155339805</v>
      </c>
      <c r="AE14" s="39">
        <f t="shared" si="7"/>
        <v>0.5134930016610999</v>
      </c>
      <c r="AF14" s="94">
        <f t="shared" si="8"/>
        <v>8</v>
      </c>
    </row>
    <row r="15" spans="1:32" ht="27" customHeight="1">
      <c r="A15" s="109">
        <v>9</v>
      </c>
      <c r="B15" s="11" t="s">
        <v>813</v>
      </c>
      <c r="C15" s="37" t="s">
        <v>114</v>
      </c>
      <c r="D15" s="55" t="s">
        <v>158</v>
      </c>
      <c r="E15" s="57" t="s">
        <v>814</v>
      </c>
      <c r="F15" s="33" t="s">
        <v>815</v>
      </c>
      <c r="G15" s="36">
        <v>1</v>
      </c>
      <c r="H15" s="38">
        <v>25</v>
      </c>
      <c r="I15" s="7">
        <v>300</v>
      </c>
      <c r="J15" s="5">
        <v>610</v>
      </c>
      <c r="K15" s="15">
        <f>L15+609</f>
        <v>609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0.5134930016610999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131</v>
      </c>
      <c r="D16" s="55" t="s">
        <v>919</v>
      </c>
      <c r="E16" s="57" t="s">
        <v>930</v>
      </c>
      <c r="F16" s="12" t="s">
        <v>920</v>
      </c>
      <c r="G16" s="12">
        <v>4</v>
      </c>
      <c r="H16" s="13">
        <v>24</v>
      </c>
      <c r="I16" s="34">
        <v>30000</v>
      </c>
      <c r="J16" s="14">
        <v>21730</v>
      </c>
      <c r="K16" s="15">
        <f>L16+23252</f>
        <v>44976</v>
      </c>
      <c r="L16" s="15">
        <f>3131*4+2300*4</f>
        <v>21724</v>
      </c>
      <c r="M16" s="16">
        <f t="shared" si="0"/>
        <v>21724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0.9997238840312932</v>
      </c>
      <c r="AC16" s="9">
        <f t="shared" si="5"/>
        <v>1</v>
      </c>
      <c r="AD16" s="10">
        <f t="shared" si="6"/>
        <v>0.9997238840312932</v>
      </c>
      <c r="AE16" s="39">
        <f t="shared" si="7"/>
        <v>0.5134930016610999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897</v>
      </c>
      <c r="D17" s="55" t="s">
        <v>308</v>
      </c>
      <c r="E17" s="56" t="s">
        <v>899</v>
      </c>
      <c r="F17" s="12">
        <v>7301</v>
      </c>
      <c r="G17" s="36">
        <v>1</v>
      </c>
      <c r="H17" s="38">
        <v>25</v>
      </c>
      <c r="I17" s="7">
        <v>500</v>
      </c>
      <c r="J17" s="14">
        <v>706</v>
      </c>
      <c r="K17" s="15">
        <f>L17+706</f>
        <v>706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0.5134930016610999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123</v>
      </c>
      <c r="D18" s="55" t="s">
        <v>153</v>
      </c>
      <c r="E18" s="56" t="s">
        <v>676</v>
      </c>
      <c r="F18" s="12" t="s">
        <v>155</v>
      </c>
      <c r="G18" s="12">
        <v>1</v>
      </c>
      <c r="H18" s="13">
        <v>25</v>
      </c>
      <c r="I18" s="34">
        <v>4000</v>
      </c>
      <c r="J18" s="5">
        <v>2420</v>
      </c>
      <c r="K18" s="15">
        <f>L18+2945+2411</f>
        <v>5356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0.5134930016610999</v>
      </c>
      <c r="AF18" s="94">
        <f t="shared" ref="AF18" si="18">A18</f>
        <v>12</v>
      </c>
    </row>
    <row r="19" spans="1:36" ht="27" customHeight="1">
      <c r="A19" s="110">
        <v>13</v>
      </c>
      <c r="B19" s="11" t="s">
        <v>57</v>
      </c>
      <c r="C19" s="37" t="s">
        <v>122</v>
      </c>
      <c r="D19" s="55" t="s">
        <v>617</v>
      </c>
      <c r="E19" s="57" t="s">
        <v>577</v>
      </c>
      <c r="F19" s="33" t="s">
        <v>231</v>
      </c>
      <c r="G19" s="36">
        <v>1</v>
      </c>
      <c r="H19" s="38">
        <v>25</v>
      </c>
      <c r="I19" s="7">
        <v>2500</v>
      </c>
      <c r="J19" s="5">
        <v>3115</v>
      </c>
      <c r="K19" s="15">
        <f>L19+3115</f>
        <v>3115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0.5134930016610999</v>
      </c>
      <c r="AF19" s="94">
        <f t="shared" si="8"/>
        <v>13</v>
      </c>
    </row>
    <row r="20" spans="1:36" ht="27" customHeight="1">
      <c r="A20" s="110">
        <v>14</v>
      </c>
      <c r="B20" s="11" t="s">
        <v>57</v>
      </c>
      <c r="C20" s="11" t="s">
        <v>123</v>
      </c>
      <c r="D20" s="55" t="s">
        <v>688</v>
      </c>
      <c r="E20" s="57" t="s">
        <v>922</v>
      </c>
      <c r="F20" s="12" t="s">
        <v>405</v>
      </c>
      <c r="G20" s="12">
        <v>1</v>
      </c>
      <c r="H20" s="13">
        <v>25</v>
      </c>
      <c r="I20" s="7">
        <v>12000</v>
      </c>
      <c r="J20" s="14">
        <v>4930</v>
      </c>
      <c r="K20" s="15">
        <f>L20+2051+1097+2775</f>
        <v>10850</v>
      </c>
      <c r="L20" s="15">
        <f>2737+2190</f>
        <v>4927</v>
      </c>
      <c r="M20" s="16">
        <f t="shared" si="0"/>
        <v>4927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0.9993914807302231</v>
      </c>
      <c r="AC20" s="9">
        <f t="shared" si="5"/>
        <v>1</v>
      </c>
      <c r="AD20" s="10">
        <f t="shared" si="6"/>
        <v>0.9993914807302231</v>
      </c>
      <c r="AE20" s="39">
        <f t="shared" si="7"/>
        <v>0.5134930016610999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132</v>
      </c>
      <c r="D21" s="55"/>
      <c r="E21" s="56" t="s">
        <v>770</v>
      </c>
      <c r="F21" s="12" t="s">
        <v>133</v>
      </c>
      <c r="G21" s="12">
        <v>4</v>
      </c>
      <c r="H21" s="38">
        <v>20</v>
      </c>
      <c r="I21" s="7">
        <v>800000</v>
      </c>
      <c r="J21" s="14">
        <v>39080</v>
      </c>
      <c r="K21" s="15">
        <f>L21+37488+44980+44780+45932</f>
        <v>212256</v>
      </c>
      <c r="L21" s="15">
        <f>5935*4+3834*4</f>
        <v>39076</v>
      </c>
      <c r="M21" s="16">
        <f t="shared" si="0"/>
        <v>39076</v>
      </c>
      <c r="N21" s="16">
        <v>0</v>
      </c>
      <c r="O21" s="62">
        <f t="shared" si="1"/>
        <v>0</v>
      </c>
      <c r="P21" s="42">
        <f t="shared" si="2"/>
        <v>22</v>
      </c>
      <c r="Q21" s="43">
        <f t="shared" si="3"/>
        <v>2</v>
      </c>
      <c r="R21" s="7"/>
      <c r="S21" s="6"/>
      <c r="T21" s="17"/>
      <c r="U21" s="17"/>
      <c r="V21" s="18">
        <v>2</v>
      </c>
      <c r="W21" s="19"/>
      <c r="X21" s="17"/>
      <c r="Y21" s="20"/>
      <c r="Z21" s="20"/>
      <c r="AA21" s="21"/>
      <c r="AB21" s="8">
        <f t="shared" si="4"/>
        <v>0.99989764585465712</v>
      </c>
      <c r="AC21" s="9">
        <f t="shared" si="5"/>
        <v>0.91666666666666663</v>
      </c>
      <c r="AD21" s="10">
        <f t="shared" si="6"/>
        <v>0.9165728420334357</v>
      </c>
      <c r="AE21" s="39">
        <f t="shared" si="7"/>
        <v>0.5134930016610999</v>
      </c>
      <c r="AF21" s="94">
        <f t="shared" si="8"/>
        <v>15</v>
      </c>
    </row>
    <row r="22" spans="1:36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1000300</v>
      </c>
      <c r="J22" s="22">
        <f t="shared" si="19"/>
        <v>101698</v>
      </c>
      <c r="K22" s="23">
        <f t="shared" si="19"/>
        <v>384728</v>
      </c>
      <c r="L22" s="24">
        <f t="shared" si="19"/>
        <v>87525</v>
      </c>
      <c r="M22" s="23">
        <f t="shared" si="19"/>
        <v>87525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185</v>
      </c>
      <c r="Q22" s="46">
        <f t="shared" si="20"/>
        <v>199</v>
      </c>
      <c r="R22" s="26">
        <f t="shared" si="20"/>
        <v>0</v>
      </c>
      <c r="S22" s="27">
        <f t="shared" si="20"/>
        <v>6</v>
      </c>
      <c r="T22" s="27">
        <f t="shared" si="20"/>
        <v>11</v>
      </c>
      <c r="U22" s="27">
        <f t="shared" si="20"/>
        <v>0</v>
      </c>
      <c r="V22" s="28">
        <f t="shared" si="20"/>
        <v>18</v>
      </c>
      <c r="W22" s="29">
        <f t="shared" si="20"/>
        <v>164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0.66605326322350111</v>
      </c>
      <c r="AC22" s="4">
        <f>SUM(AC6:AC21)/15</f>
        <v>0.51388888888888895</v>
      </c>
      <c r="AD22" s="4">
        <f>SUM(AD6:AD21)/15</f>
        <v>0.5134930016610999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948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958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319" t="s">
        <v>46</v>
      </c>
      <c r="D51" s="319" t="s">
        <v>47</v>
      </c>
      <c r="E51" s="319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319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123</v>
      </c>
      <c r="B52" s="421"/>
      <c r="C52" s="320" t="s">
        <v>134</v>
      </c>
      <c r="D52" s="321" t="s">
        <v>179</v>
      </c>
      <c r="E52" s="320" t="s">
        <v>949</v>
      </c>
      <c r="F52" s="405" t="s">
        <v>950</v>
      </c>
      <c r="G52" s="405"/>
      <c r="H52" s="405"/>
      <c r="I52" s="405"/>
      <c r="J52" s="405"/>
      <c r="K52" s="405"/>
      <c r="L52" s="405"/>
      <c r="M52" s="415"/>
      <c r="N52" s="325" t="s">
        <v>954</v>
      </c>
      <c r="O52" s="74" t="s">
        <v>518</v>
      </c>
      <c r="P52" s="422" t="s">
        <v>959</v>
      </c>
      <c r="Q52" s="423"/>
      <c r="R52" s="414" t="s">
        <v>960</v>
      </c>
      <c r="S52" s="414"/>
      <c r="T52" s="414"/>
      <c r="U52" s="414"/>
      <c r="V52" s="405" t="s">
        <v>961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951</v>
      </c>
      <c r="B53" s="421"/>
      <c r="C53" s="320" t="s">
        <v>304</v>
      </c>
      <c r="D53" s="321" t="s">
        <v>952</v>
      </c>
      <c r="E53" s="320" t="s">
        <v>946</v>
      </c>
      <c r="F53" s="405" t="s">
        <v>142</v>
      </c>
      <c r="G53" s="405"/>
      <c r="H53" s="405"/>
      <c r="I53" s="405"/>
      <c r="J53" s="405"/>
      <c r="K53" s="405"/>
      <c r="L53" s="405"/>
      <c r="M53" s="415"/>
      <c r="N53" s="325" t="s">
        <v>962</v>
      </c>
      <c r="O53" s="74" t="s">
        <v>254</v>
      </c>
      <c r="P53" s="422"/>
      <c r="Q53" s="423"/>
      <c r="R53" s="414" t="s">
        <v>963</v>
      </c>
      <c r="S53" s="414"/>
      <c r="T53" s="414"/>
      <c r="U53" s="414"/>
      <c r="V53" s="405" t="s">
        <v>964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123</v>
      </c>
      <c r="B54" s="421"/>
      <c r="C54" s="320" t="s">
        <v>183</v>
      </c>
      <c r="D54" s="321" t="s">
        <v>953</v>
      </c>
      <c r="E54" s="320" t="s">
        <v>943</v>
      </c>
      <c r="F54" s="405" t="s">
        <v>142</v>
      </c>
      <c r="G54" s="405"/>
      <c r="H54" s="405"/>
      <c r="I54" s="405"/>
      <c r="J54" s="405"/>
      <c r="K54" s="405"/>
      <c r="L54" s="405"/>
      <c r="M54" s="415"/>
      <c r="N54" s="325" t="s">
        <v>954</v>
      </c>
      <c r="O54" s="74" t="s">
        <v>965</v>
      </c>
      <c r="P54" s="414" t="s">
        <v>966</v>
      </c>
      <c r="Q54" s="414"/>
      <c r="R54" s="414" t="s">
        <v>331</v>
      </c>
      <c r="S54" s="414"/>
      <c r="T54" s="414"/>
      <c r="U54" s="414"/>
      <c r="V54" s="405" t="s">
        <v>964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 t="s">
        <v>954</v>
      </c>
      <c r="B55" s="421"/>
      <c r="C55" s="320" t="s">
        <v>518</v>
      </c>
      <c r="D55" s="321" t="s">
        <v>955</v>
      </c>
      <c r="E55" s="320" t="s">
        <v>956</v>
      </c>
      <c r="F55" s="405" t="s">
        <v>957</v>
      </c>
      <c r="G55" s="405"/>
      <c r="H55" s="405"/>
      <c r="I55" s="405"/>
      <c r="J55" s="405"/>
      <c r="K55" s="405"/>
      <c r="L55" s="405"/>
      <c r="M55" s="415"/>
      <c r="N55" s="325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320"/>
      <c r="D56" s="321"/>
      <c r="E56" s="320"/>
      <c r="F56" s="405"/>
      <c r="G56" s="405"/>
      <c r="H56" s="405"/>
      <c r="I56" s="405"/>
      <c r="J56" s="405"/>
      <c r="K56" s="405"/>
      <c r="L56" s="405"/>
      <c r="M56" s="415"/>
      <c r="N56" s="325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320"/>
      <c r="D57" s="321"/>
      <c r="E57" s="320"/>
      <c r="F57" s="405"/>
      <c r="G57" s="405"/>
      <c r="H57" s="405"/>
      <c r="I57" s="405"/>
      <c r="J57" s="405"/>
      <c r="K57" s="405"/>
      <c r="L57" s="405"/>
      <c r="M57" s="415"/>
      <c r="N57" s="325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320"/>
      <c r="D58" s="321"/>
      <c r="E58" s="320"/>
      <c r="F58" s="405"/>
      <c r="G58" s="405"/>
      <c r="H58" s="405"/>
      <c r="I58" s="405"/>
      <c r="J58" s="405"/>
      <c r="K58" s="405"/>
      <c r="L58" s="405"/>
      <c r="M58" s="415"/>
      <c r="N58" s="325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/>
      <c r="B59" s="421"/>
      <c r="C59" s="320"/>
      <c r="D59" s="321"/>
      <c r="E59" s="320"/>
      <c r="F59" s="405"/>
      <c r="G59" s="405"/>
      <c r="H59" s="405"/>
      <c r="I59" s="405"/>
      <c r="J59" s="405"/>
      <c r="K59" s="405"/>
      <c r="L59" s="405"/>
      <c r="M59" s="415"/>
      <c r="N59" s="325"/>
      <c r="O59" s="74"/>
      <c r="P59" s="422"/>
      <c r="Q59" s="423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321"/>
      <c r="D60" s="321"/>
      <c r="E60" s="321"/>
      <c r="F60" s="405"/>
      <c r="G60" s="405"/>
      <c r="H60" s="405"/>
      <c r="I60" s="405"/>
      <c r="J60" s="405"/>
      <c r="K60" s="405"/>
      <c r="L60" s="405"/>
      <c r="M60" s="415"/>
      <c r="N60" s="325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323"/>
      <c r="D61" s="323"/>
      <c r="E61" s="323"/>
      <c r="F61" s="418"/>
      <c r="G61" s="418"/>
      <c r="H61" s="418"/>
      <c r="I61" s="418"/>
      <c r="J61" s="418"/>
      <c r="K61" s="418"/>
      <c r="L61" s="418"/>
      <c r="M61" s="419"/>
      <c r="N61" s="322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967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324" t="s">
        <v>2</v>
      </c>
      <c r="D63" s="324" t="s">
        <v>37</v>
      </c>
      <c r="E63" s="324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24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114</v>
      </c>
      <c r="D64" s="328"/>
      <c r="E64" s="326" t="s">
        <v>839</v>
      </c>
      <c r="F64" s="403" t="s">
        <v>968</v>
      </c>
      <c r="G64" s="395"/>
      <c r="H64" s="395"/>
      <c r="I64" s="395"/>
      <c r="J64" s="395"/>
      <c r="K64" s="395" t="s">
        <v>969</v>
      </c>
      <c r="L64" s="395"/>
      <c r="M64" s="54" t="s">
        <v>970</v>
      </c>
      <c r="N64" s="395">
        <v>13</v>
      </c>
      <c r="O64" s="395"/>
      <c r="P64" s="404">
        <v>100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/>
      <c r="D65" s="328"/>
      <c r="E65" s="326"/>
      <c r="F65" s="403"/>
      <c r="G65" s="395"/>
      <c r="H65" s="395"/>
      <c r="I65" s="395"/>
      <c r="J65" s="395"/>
      <c r="K65" s="395"/>
      <c r="L65" s="395"/>
      <c r="M65" s="54"/>
      <c r="N65" s="395"/>
      <c r="O65" s="395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/>
      <c r="D66" s="328"/>
      <c r="E66" s="326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/>
      <c r="D67" s="328"/>
      <c r="E67" s="326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/>
      <c r="D68" s="328"/>
      <c r="E68" s="326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328"/>
      <c r="E69" s="326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328"/>
      <c r="E70" s="326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328"/>
      <c r="E71" s="326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971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327" t="s">
        <v>2</v>
      </c>
      <c r="D73" s="327" t="s">
        <v>37</v>
      </c>
      <c r="E73" s="327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329" t="s">
        <v>114</v>
      </c>
      <c r="D74" s="329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328" t="s">
        <v>114</v>
      </c>
      <c r="D75" s="328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328"/>
      <c r="D76" s="328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328"/>
      <c r="D77" s="328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328"/>
      <c r="D78" s="328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328"/>
      <c r="D79" s="328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328"/>
      <c r="D80" s="328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328"/>
      <c r="D81" s="328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328"/>
      <c r="D82" s="328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972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P69" sqref="P69:Q6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53" t="s">
        <v>973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2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2" ht="27" customHeight="1">
      <c r="A6" s="108">
        <v>1</v>
      </c>
      <c r="B6" s="11" t="s">
        <v>57</v>
      </c>
      <c r="C6" s="37" t="s">
        <v>869</v>
      </c>
      <c r="D6" s="55"/>
      <c r="E6" s="57" t="s">
        <v>891</v>
      </c>
      <c r="F6" s="33" t="s">
        <v>133</v>
      </c>
      <c r="G6" s="12">
        <v>1</v>
      </c>
      <c r="H6" s="13">
        <v>28</v>
      </c>
      <c r="I6" s="34">
        <v>10000</v>
      </c>
      <c r="J6" s="5">
        <v>2370</v>
      </c>
      <c r="K6" s="15">
        <f>L6+2004+3701+2366</f>
        <v>8071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0.3745997148448435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974</v>
      </c>
      <c r="D7" s="55" t="s">
        <v>975</v>
      </c>
      <c r="E7" s="57" t="s">
        <v>976</v>
      </c>
      <c r="F7" s="33" t="s">
        <v>977</v>
      </c>
      <c r="G7" s="12">
        <v>4</v>
      </c>
      <c r="H7" s="13">
        <v>25</v>
      </c>
      <c r="I7" s="34">
        <v>100000</v>
      </c>
      <c r="J7" s="5">
        <v>1560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>
        <v>24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0.3745997148448435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123</v>
      </c>
      <c r="D8" s="55" t="s">
        <v>135</v>
      </c>
      <c r="E8" s="57" t="s">
        <v>943</v>
      </c>
      <c r="F8" s="33" t="s">
        <v>944</v>
      </c>
      <c r="G8" s="12">
        <v>1</v>
      </c>
      <c r="H8" s="13">
        <v>25</v>
      </c>
      <c r="I8" s="34">
        <v>20000</v>
      </c>
      <c r="J8" s="5">
        <v>5350</v>
      </c>
      <c r="K8" s="15">
        <f>L8+1556+2889</f>
        <v>9790</v>
      </c>
      <c r="L8" s="15">
        <f>2642+2703</f>
        <v>5345</v>
      </c>
      <c r="M8" s="16">
        <f t="shared" si="0"/>
        <v>5345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0.99906542056074765</v>
      </c>
      <c r="AC8" s="9">
        <f t="shared" si="5"/>
        <v>1</v>
      </c>
      <c r="AD8" s="10">
        <f t="shared" si="6"/>
        <v>0.99906542056074765</v>
      </c>
      <c r="AE8" s="39">
        <f t="shared" si="7"/>
        <v>0.3745997148448435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123</v>
      </c>
      <c r="D9" s="55" t="s">
        <v>121</v>
      </c>
      <c r="E9" s="57" t="s">
        <v>652</v>
      </c>
      <c r="F9" s="33" t="s">
        <v>669</v>
      </c>
      <c r="G9" s="36">
        <v>1</v>
      </c>
      <c r="H9" s="38">
        <v>25</v>
      </c>
      <c r="I9" s="7">
        <v>35000</v>
      </c>
      <c r="J9" s="5">
        <v>5160</v>
      </c>
      <c r="K9" s="15">
        <f>L9+2702+3670+5212+4823+3102+5641+6180+5174</f>
        <v>41658</v>
      </c>
      <c r="L9" s="15">
        <f>2431+2723</f>
        <v>5154</v>
      </c>
      <c r="M9" s="16">
        <f t="shared" si="0"/>
        <v>5154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0.99883720930232556</v>
      </c>
      <c r="AC9" s="9">
        <f t="shared" si="5"/>
        <v>1</v>
      </c>
      <c r="AD9" s="10">
        <f t="shared" si="6"/>
        <v>0.99883720930232556</v>
      </c>
      <c r="AE9" s="39">
        <f t="shared" si="7"/>
        <v>0.3745997148448435</v>
      </c>
      <c r="AF9" s="94">
        <f t="shared" ref="AF9:AF11" si="9">A9</f>
        <v>4</v>
      </c>
    </row>
    <row r="10" spans="1:32" ht="27" customHeight="1">
      <c r="A10" s="110">
        <v>5</v>
      </c>
      <c r="B10" s="11" t="s">
        <v>57</v>
      </c>
      <c r="C10" s="11" t="s">
        <v>123</v>
      </c>
      <c r="D10" s="55" t="s">
        <v>945</v>
      </c>
      <c r="E10" s="57" t="s">
        <v>946</v>
      </c>
      <c r="F10" s="12" t="s">
        <v>947</v>
      </c>
      <c r="G10" s="12">
        <v>1</v>
      </c>
      <c r="H10" s="13">
        <v>25</v>
      </c>
      <c r="I10" s="34">
        <v>7000</v>
      </c>
      <c r="J10" s="14">
        <v>4050</v>
      </c>
      <c r="K10" s="15">
        <f>L10+4727</f>
        <v>8776</v>
      </c>
      <c r="L10" s="15">
        <f>1459+2590</f>
        <v>4049</v>
      </c>
      <c r="M10" s="16">
        <f t="shared" si="0"/>
        <v>4049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0.99975308641975313</v>
      </c>
      <c r="AC10" s="9">
        <f t="shared" si="5"/>
        <v>1</v>
      </c>
      <c r="AD10" s="10">
        <f t="shared" si="6"/>
        <v>0.99975308641975313</v>
      </c>
      <c r="AE10" s="39">
        <f t="shared" si="7"/>
        <v>0.3745997148448435</v>
      </c>
      <c r="AF10" s="94">
        <f t="shared" si="9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140</v>
      </c>
      <c r="E11" s="57" t="s">
        <v>451</v>
      </c>
      <c r="F11" s="12" t="s">
        <v>896</v>
      </c>
      <c r="G11" s="12">
        <v>1</v>
      </c>
      <c r="H11" s="13">
        <v>25</v>
      </c>
      <c r="I11" s="34">
        <v>7000</v>
      </c>
      <c r="J11" s="14">
        <v>5004</v>
      </c>
      <c r="K11" s="15">
        <f>L11+4943+5004</f>
        <v>9947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0.3745997148448435</v>
      </c>
      <c r="AF11" s="94">
        <f t="shared" si="9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158</v>
      </c>
      <c r="E12" s="57" t="s">
        <v>354</v>
      </c>
      <c r="F12" s="12" t="s">
        <v>371</v>
      </c>
      <c r="G12" s="12">
        <v>1</v>
      </c>
      <c r="H12" s="13">
        <v>25</v>
      </c>
      <c r="I12" s="7">
        <v>2000</v>
      </c>
      <c r="J12" s="14">
        <v>2283</v>
      </c>
      <c r="K12" s="15">
        <f>L12+2283</f>
        <v>2283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0.3745997148448435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123</v>
      </c>
      <c r="D13" s="55" t="s">
        <v>158</v>
      </c>
      <c r="E13" s="57" t="s">
        <v>708</v>
      </c>
      <c r="F13" s="12" t="s">
        <v>405</v>
      </c>
      <c r="G13" s="12">
        <v>1</v>
      </c>
      <c r="H13" s="13">
        <v>25</v>
      </c>
      <c r="I13" s="7">
        <v>35000</v>
      </c>
      <c r="J13" s="14">
        <v>1600</v>
      </c>
      <c r="K13" s="15">
        <f>L13+3666+4964+4511+2599+3947+5339+3089</f>
        <v>29712</v>
      </c>
      <c r="L13" s="15">
        <v>1597</v>
      </c>
      <c r="M13" s="16">
        <f t="shared" si="0"/>
        <v>1597</v>
      </c>
      <c r="N13" s="16">
        <v>0</v>
      </c>
      <c r="O13" s="62">
        <f t="shared" si="1"/>
        <v>0</v>
      </c>
      <c r="P13" s="42">
        <f t="shared" si="2"/>
        <v>7</v>
      </c>
      <c r="Q13" s="43">
        <f t="shared" si="3"/>
        <v>17</v>
      </c>
      <c r="R13" s="7"/>
      <c r="S13" s="6"/>
      <c r="T13" s="17"/>
      <c r="U13" s="17"/>
      <c r="V13" s="18"/>
      <c r="W13" s="19">
        <v>17</v>
      </c>
      <c r="X13" s="17"/>
      <c r="Y13" s="20"/>
      <c r="Z13" s="20"/>
      <c r="AA13" s="21"/>
      <c r="AB13" s="8">
        <f t="shared" si="4"/>
        <v>0.99812500000000004</v>
      </c>
      <c r="AC13" s="9">
        <f t="shared" si="5"/>
        <v>0.29166666666666669</v>
      </c>
      <c r="AD13" s="10">
        <f t="shared" si="6"/>
        <v>0.29111979166666668</v>
      </c>
      <c r="AE13" s="39">
        <f t="shared" si="7"/>
        <v>0.3745997148448435</v>
      </c>
      <c r="AF13" s="94">
        <f t="shared" si="8"/>
        <v>8</v>
      </c>
    </row>
    <row r="14" spans="1:32" ht="27" customHeight="1">
      <c r="A14" s="110">
        <v>8</v>
      </c>
      <c r="B14" s="11" t="s">
        <v>57</v>
      </c>
      <c r="C14" s="11" t="s">
        <v>123</v>
      </c>
      <c r="D14" s="55" t="s">
        <v>688</v>
      </c>
      <c r="E14" s="57" t="s">
        <v>922</v>
      </c>
      <c r="F14" s="12" t="s">
        <v>405</v>
      </c>
      <c r="G14" s="12">
        <v>1</v>
      </c>
      <c r="H14" s="13">
        <v>25</v>
      </c>
      <c r="I14" s="7">
        <v>12000</v>
      </c>
      <c r="J14" s="14">
        <v>810</v>
      </c>
      <c r="K14" s="15">
        <f>L14+2051+1097+2775+4927+920</f>
        <v>12573</v>
      </c>
      <c r="L14" s="15">
        <v>803</v>
      </c>
      <c r="M14" s="16">
        <f t="shared" ref="M14" si="10">L14-N14</f>
        <v>803</v>
      </c>
      <c r="N14" s="16">
        <v>0</v>
      </c>
      <c r="O14" s="62">
        <f t="shared" ref="O14" si="11">IF(L14=0,"0",N14/L14)</f>
        <v>0</v>
      </c>
      <c r="P14" s="42">
        <f t="shared" ref="P14" si="12">IF(L14=0,"0",(24-Q14))</f>
        <v>4</v>
      </c>
      <c r="Q14" s="43">
        <f t="shared" ref="Q14" si="13">SUM(R14:AA14)</f>
        <v>20</v>
      </c>
      <c r="R14" s="7"/>
      <c r="S14" s="6">
        <v>20</v>
      </c>
      <c r="T14" s="17"/>
      <c r="U14" s="17"/>
      <c r="V14" s="18"/>
      <c r="W14" s="19"/>
      <c r="X14" s="17"/>
      <c r="Y14" s="20"/>
      <c r="Z14" s="20"/>
      <c r="AA14" s="21"/>
      <c r="AB14" s="8">
        <f t="shared" ref="AB14" si="14">IF(J14=0,"0",(L14/J14))</f>
        <v>0.99135802469135803</v>
      </c>
      <c r="AC14" s="9">
        <f t="shared" ref="AC14" si="15">IF(P14=0,"0",(P14/24))</f>
        <v>0.16666666666666666</v>
      </c>
      <c r="AD14" s="10">
        <f t="shared" ref="AD14" si="16">AC14*AB14*(1-O14)</f>
        <v>0.16522633744855966</v>
      </c>
      <c r="AE14" s="39">
        <f t="shared" si="7"/>
        <v>0.3745997148448435</v>
      </c>
      <c r="AF14" s="94">
        <f t="shared" ref="AF14" si="17">A14</f>
        <v>8</v>
      </c>
    </row>
    <row r="15" spans="1:32" ht="27" customHeight="1">
      <c r="A15" s="109">
        <v>9</v>
      </c>
      <c r="B15" s="11" t="s">
        <v>813</v>
      </c>
      <c r="C15" s="37" t="s">
        <v>114</v>
      </c>
      <c r="D15" s="55" t="s">
        <v>158</v>
      </c>
      <c r="E15" s="57" t="s">
        <v>814</v>
      </c>
      <c r="F15" s="33" t="s">
        <v>815</v>
      </c>
      <c r="G15" s="36">
        <v>1</v>
      </c>
      <c r="H15" s="38">
        <v>25</v>
      </c>
      <c r="I15" s="7">
        <v>300</v>
      </c>
      <c r="J15" s="5">
        <v>610</v>
      </c>
      <c r="K15" s="15">
        <f>L15+609</f>
        <v>609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0.3745997148448435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131</v>
      </c>
      <c r="D16" s="55" t="s">
        <v>978</v>
      </c>
      <c r="E16" s="57" t="s">
        <v>979</v>
      </c>
      <c r="F16" s="12" t="s">
        <v>920</v>
      </c>
      <c r="G16" s="12">
        <v>4</v>
      </c>
      <c r="H16" s="13">
        <v>24</v>
      </c>
      <c r="I16" s="34">
        <v>30000</v>
      </c>
      <c r="J16" s="14">
        <v>21400</v>
      </c>
      <c r="K16" s="15">
        <f>L16</f>
        <v>21368</v>
      </c>
      <c r="L16" s="15">
        <f>2982*4+2360*4</f>
        <v>21368</v>
      </c>
      <c r="M16" s="16">
        <f t="shared" si="0"/>
        <v>21368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0.99850467289719624</v>
      </c>
      <c r="AC16" s="9">
        <f t="shared" si="5"/>
        <v>1</v>
      </c>
      <c r="AD16" s="10">
        <f t="shared" si="6"/>
        <v>0.99850467289719624</v>
      </c>
      <c r="AE16" s="39">
        <f t="shared" si="7"/>
        <v>0.3745997148448435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897</v>
      </c>
      <c r="D17" s="55" t="s">
        <v>308</v>
      </c>
      <c r="E17" s="56" t="s">
        <v>899</v>
      </c>
      <c r="F17" s="12">
        <v>7301</v>
      </c>
      <c r="G17" s="36">
        <v>1</v>
      </c>
      <c r="H17" s="38">
        <v>25</v>
      </c>
      <c r="I17" s="7">
        <v>500</v>
      </c>
      <c r="J17" s="14">
        <v>706</v>
      </c>
      <c r="K17" s="15">
        <f>L17+706</f>
        <v>706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0.3745997148448435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980</v>
      </c>
      <c r="D18" s="55" t="s">
        <v>981</v>
      </c>
      <c r="E18" s="56" t="s">
        <v>982</v>
      </c>
      <c r="F18" s="12" t="s">
        <v>983</v>
      </c>
      <c r="G18" s="12">
        <v>1</v>
      </c>
      <c r="H18" s="13">
        <v>25</v>
      </c>
      <c r="I18" s="34">
        <v>5000</v>
      </c>
      <c r="J18" s="5">
        <v>4320</v>
      </c>
      <c r="K18" s="15">
        <f>L18</f>
        <v>4315</v>
      </c>
      <c r="L18" s="15">
        <f>2955+1360</f>
        <v>4315</v>
      </c>
      <c r="M18" s="16">
        <f t="shared" si="0"/>
        <v>4315</v>
      </c>
      <c r="N18" s="16">
        <v>0</v>
      </c>
      <c r="O18" s="62">
        <f t="shared" si="1"/>
        <v>0</v>
      </c>
      <c r="P18" s="42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0.99884259259259256</v>
      </c>
      <c r="AC18" s="9" t="str">
        <f t="shared" si="5"/>
        <v>0</v>
      </c>
      <c r="AD18" s="10">
        <f t="shared" si="6"/>
        <v>0</v>
      </c>
      <c r="AE18" s="39">
        <f t="shared" si="7"/>
        <v>0.3745997148448435</v>
      </c>
      <c r="AF18" s="94">
        <f t="shared" ref="AF18" si="18">A18</f>
        <v>12</v>
      </c>
    </row>
    <row r="19" spans="1:36" ht="27" customHeight="1">
      <c r="A19" s="110">
        <v>13</v>
      </c>
      <c r="B19" s="11" t="s">
        <v>57</v>
      </c>
      <c r="C19" s="37" t="s">
        <v>122</v>
      </c>
      <c r="D19" s="55" t="s">
        <v>617</v>
      </c>
      <c r="E19" s="57" t="s">
        <v>577</v>
      </c>
      <c r="F19" s="33" t="s">
        <v>231</v>
      </c>
      <c r="G19" s="36">
        <v>1</v>
      </c>
      <c r="H19" s="38">
        <v>25</v>
      </c>
      <c r="I19" s="7">
        <v>2500</v>
      </c>
      <c r="J19" s="5">
        <v>3115</v>
      </c>
      <c r="K19" s="15">
        <f>L19+3115</f>
        <v>3115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0.3745997148448435</v>
      </c>
      <c r="AF19" s="94">
        <f t="shared" si="8"/>
        <v>13</v>
      </c>
    </row>
    <row r="20" spans="1:36" ht="27" customHeight="1">
      <c r="A20" s="110">
        <v>14</v>
      </c>
      <c r="B20" s="11" t="s">
        <v>57</v>
      </c>
      <c r="C20" s="11" t="s">
        <v>123</v>
      </c>
      <c r="D20" s="55" t="s">
        <v>688</v>
      </c>
      <c r="E20" s="57" t="s">
        <v>922</v>
      </c>
      <c r="F20" s="12" t="s">
        <v>405</v>
      </c>
      <c r="G20" s="12">
        <v>1</v>
      </c>
      <c r="H20" s="13">
        <v>25</v>
      </c>
      <c r="I20" s="7">
        <v>12000</v>
      </c>
      <c r="J20" s="14">
        <v>920</v>
      </c>
      <c r="K20" s="15">
        <f>L20+2051+1097+2775+4927</f>
        <v>11770</v>
      </c>
      <c r="L20" s="15">
        <v>920</v>
      </c>
      <c r="M20" s="16">
        <f t="shared" si="0"/>
        <v>920</v>
      </c>
      <c r="N20" s="16">
        <v>0</v>
      </c>
      <c r="O20" s="62">
        <f t="shared" si="1"/>
        <v>0</v>
      </c>
      <c r="P20" s="42">
        <f t="shared" si="2"/>
        <v>4</v>
      </c>
      <c r="Q20" s="43">
        <f t="shared" si="3"/>
        <v>20</v>
      </c>
      <c r="R20" s="7"/>
      <c r="S20" s="6"/>
      <c r="T20" s="17"/>
      <c r="U20" s="17"/>
      <c r="V20" s="18">
        <v>20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9">
        <f t="shared" si="7"/>
        <v>0.3745997148448435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132</v>
      </c>
      <c r="D21" s="55"/>
      <c r="E21" s="56" t="s">
        <v>770</v>
      </c>
      <c r="F21" s="12" t="s">
        <v>133</v>
      </c>
      <c r="G21" s="12">
        <v>4</v>
      </c>
      <c r="H21" s="38">
        <v>20</v>
      </c>
      <c r="I21" s="7">
        <v>800000</v>
      </c>
      <c r="J21" s="14">
        <v>45080</v>
      </c>
      <c r="K21" s="15">
        <f>L21+37488+44980+44780+45932+39076</f>
        <v>257328</v>
      </c>
      <c r="L21" s="15">
        <f>5689*4+5579*4</f>
        <v>45072</v>
      </c>
      <c r="M21" s="16">
        <f t="shared" si="0"/>
        <v>45072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0.99982253771073648</v>
      </c>
      <c r="AC21" s="9">
        <f t="shared" si="5"/>
        <v>1</v>
      </c>
      <c r="AD21" s="10">
        <f t="shared" si="6"/>
        <v>0.99982253771073648</v>
      </c>
      <c r="AE21" s="39">
        <f t="shared" si="7"/>
        <v>0.3745997148448435</v>
      </c>
      <c r="AF21" s="94">
        <f t="shared" si="8"/>
        <v>15</v>
      </c>
    </row>
    <row r="22" spans="1:36" ht="31.5" customHeight="1" thickBot="1">
      <c r="A22" s="426" t="s">
        <v>34</v>
      </c>
      <c r="B22" s="427"/>
      <c r="C22" s="427"/>
      <c r="D22" s="427"/>
      <c r="E22" s="427"/>
      <c r="F22" s="427"/>
      <c r="G22" s="427"/>
      <c r="H22" s="428"/>
      <c r="I22" s="25">
        <f t="shared" ref="I22:N22" si="19">SUM(I6:I21)</f>
        <v>1078300</v>
      </c>
      <c r="J22" s="22">
        <f t="shared" si="19"/>
        <v>104338</v>
      </c>
      <c r="K22" s="23">
        <f t="shared" si="19"/>
        <v>422021</v>
      </c>
      <c r="L22" s="24">
        <f t="shared" si="19"/>
        <v>88623</v>
      </c>
      <c r="M22" s="23">
        <f t="shared" si="19"/>
        <v>88623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135</v>
      </c>
      <c r="Q22" s="46">
        <f t="shared" si="20"/>
        <v>249</v>
      </c>
      <c r="R22" s="26">
        <f t="shared" si="20"/>
        <v>0</v>
      </c>
      <c r="S22" s="27">
        <f t="shared" si="20"/>
        <v>44</v>
      </c>
      <c r="T22" s="27">
        <f t="shared" si="20"/>
        <v>0</v>
      </c>
      <c r="U22" s="27">
        <f t="shared" si="20"/>
        <v>0</v>
      </c>
      <c r="V22" s="28">
        <f t="shared" si="20"/>
        <v>20</v>
      </c>
      <c r="W22" s="29">
        <f t="shared" si="20"/>
        <v>185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0.59895390294498063</v>
      </c>
      <c r="AC22" s="4">
        <f>SUM(AC6:AC21)/15</f>
        <v>0.375</v>
      </c>
      <c r="AD22" s="4">
        <f>SUM(AD6:AD21)/15</f>
        <v>0.3745997148448435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29" t="s">
        <v>45</v>
      </c>
      <c r="B49" s="429"/>
      <c r="C49" s="429"/>
      <c r="D49" s="429"/>
      <c r="E49" s="42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0" t="s">
        <v>984</v>
      </c>
      <c r="B50" s="431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2"/>
      <c r="N50" s="433" t="s">
        <v>993</v>
      </c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5"/>
    </row>
    <row r="51" spans="1:32" ht="27" customHeight="1">
      <c r="A51" s="436" t="s">
        <v>2</v>
      </c>
      <c r="B51" s="437"/>
      <c r="C51" s="340" t="s">
        <v>46</v>
      </c>
      <c r="D51" s="340" t="s">
        <v>47</v>
      </c>
      <c r="E51" s="340" t="s">
        <v>108</v>
      </c>
      <c r="F51" s="437" t="s">
        <v>107</v>
      </c>
      <c r="G51" s="437"/>
      <c r="H51" s="437"/>
      <c r="I51" s="437"/>
      <c r="J51" s="437"/>
      <c r="K51" s="437"/>
      <c r="L51" s="437"/>
      <c r="M51" s="438"/>
      <c r="N51" s="73" t="s">
        <v>112</v>
      </c>
      <c r="O51" s="340" t="s">
        <v>46</v>
      </c>
      <c r="P51" s="439" t="s">
        <v>47</v>
      </c>
      <c r="Q51" s="440"/>
      <c r="R51" s="439" t="s">
        <v>38</v>
      </c>
      <c r="S51" s="441"/>
      <c r="T51" s="441"/>
      <c r="U51" s="440"/>
      <c r="V51" s="439" t="s">
        <v>48</v>
      </c>
      <c r="W51" s="441"/>
      <c r="X51" s="441"/>
      <c r="Y51" s="441"/>
      <c r="Z51" s="441"/>
      <c r="AA51" s="441"/>
      <c r="AB51" s="441"/>
      <c r="AC51" s="441"/>
      <c r="AD51" s="442"/>
    </row>
    <row r="52" spans="1:32" ht="27" customHeight="1">
      <c r="A52" s="420" t="s">
        <v>985</v>
      </c>
      <c r="B52" s="421"/>
      <c r="C52" s="339" t="s">
        <v>134</v>
      </c>
      <c r="D52" s="336" t="s">
        <v>179</v>
      </c>
      <c r="E52" s="339" t="s">
        <v>986</v>
      </c>
      <c r="F52" s="405" t="s">
        <v>987</v>
      </c>
      <c r="G52" s="405"/>
      <c r="H52" s="405"/>
      <c r="I52" s="405"/>
      <c r="J52" s="405"/>
      <c r="K52" s="405"/>
      <c r="L52" s="405"/>
      <c r="M52" s="415"/>
      <c r="N52" s="335" t="s">
        <v>954</v>
      </c>
      <c r="O52" s="74" t="s">
        <v>518</v>
      </c>
      <c r="P52" s="422" t="s">
        <v>959</v>
      </c>
      <c r="Q52" s="423"/>
      <c r="R52" s="414" t="s">
        <v>960</v>
      </c>
      <c r="S52" s="414"/>
      <c r="T52" s="414"/>
      <c r="U52" s="414"/>
      <c r="V52" s="405" t="s">
        <v>961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974</v>
      </c>
      <c r="B53" s="421"/>
      <c r="C53" s="339" t="s">
        <v>988</v>
      </c>
      <c r="D53" s="336" t="s">
        <v>989</v>
      </c>
      <c r="E53" s="339" t="s">
        <v>990</v>
      </c>
      <c r="F53" s="405" t="s">
        <v>991</v>
      </c>
      <c r="G53" s="405"/>
      <c r="H53" s="405"/>
      <c r="I53" s="405"/>
      <c r="J53" s="405"/>
      <c r="K53" s="405"/>
      <c r="L53" s="405"/>
      <c r="M53" s="415"/>
      <c r="N53" s="335" t="s">
        <v>994</v>
      </c>
      <c r="O53" s="74" t="s">
        <v>134</v>
      </c>
      <c r="P53" s="422" t="s">
        <v>995</v>
      </c>
      <c r="Q53" s="423"/>
      <c r="R53" s="414" t="s">
        <v>996</v>
      </c>
      <c r="S53" s="414"/>
      <c r="T53" s="414"/>
      <c r="U53" s="414"/>
      <c r="V53" s="405" t="s">
        <v>997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980</v>
      </c>
      <c r="B54" s="421"/>
      <c r="C54" s="339" t="s">
        <v>992</v>
      </c>
      <c r="D54" s="336" t="s">
        <v>981</v>
      </c>
      <c r="E54" s="339" t="s">
        <v>982</v>
      </c>
      <c r="F54" s="405" t="s">
        <v>991</v>
      </c>
      <c r="G54" s="405"/>
      <c r="H54" s="405"/>
      <c r="I54" s="405"/>
      <c r="J54" s="405"/>
      <c r="K54" s="405"/>
      <c r="L54" s="405"/>
      <c r="M54" s="415"/>
      <c r="N54" s="335" t="s">
        <v>980</v>
      </c>
      <c r="O54" s="74" t="s">
        <v>1000</v>
      </c>
      <c r="P54" s="414" t="s">
        <v>1001</v>
      </c>
      <c r="Q54" s="414"/>
      <c r="R54" s="414" t="s">
        <v>998</v>
      </c>
      <c r="S54" s="414"/>
      <c r="T54" s="414"/>
      <c r="U54" s="414"/>
      <c r="V54" s="405" t="s">
        <v>999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339"/>
      <c r="D55" s="336"/>
      <c r="E55" s="339"/>
      <c r="F55" s="405"/>
      <c r="G55" s="405"/>
      <c r="H55" s="405"/>
      <c r="I55" s="405"/>
      <c r="J55" s="405"/>
      <c r="K55" s="405"/>
      <c r="L55" s="405"/>
      <c r="M55" s="415"/>
      <c r="N55" s="335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339"/>
      <c r="D56" s="336"/>
      <c r="E56" s="339"/>
      <c r="F56" s="405"/>
      <c r="G56" s="405"/>
      <c r="H56" s="405"/>
      <c r="I56" s="405"/>
      <c r="J56" s="405"/>
      <c r="K56" s="405"/>
      <c r="L56" s="405"/>
      <c r="M56" s="415"/>
      <c r="N56" s="335"/>
      <c r="O56" s="74"/>
      <c r="P56" s="422"/>
      <c r="Q56" s="423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339"/>
      <c r="D57" s="336"/>
      <c r="E57" s="339"/>
      <c r="F57" s="405"/>
      <c r="G57" s="405"/>
      <c r="H57" s="405"/>
      <c r="I57" s="405"/>
      <c r="J57" s="405"/>
      <c r="K57" s="405"/>
      <c r="L57" s="405"/>
      <c r="M57" s="415"/>
      <c r="N57" s="335"/>
      <c r="O57" s="74"/>
      <c r="P57" s="414"/>
      <c r="Q57" s="414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339"/>
      <c r="D58" s="336"/>
      <c r="E58" s="339"/>
      <c r="F58" s="405"/>
      <c r="G58" s="405"/>
      <c r="H58" s="405"/>
      <c r="I58" s="405"/>
      <c r="J58" s="405"/>
      <c r="K58" s="405"/>
      <c r="L58" s="405"/>
      <c r="M58" s="415"/>
      <c r="N58" s="335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20"/>
      <c r="B59" s="421"/>
      <c r="C59" s="339"/>
      <c r="D59" s="336"/>
      <c r="E59" s="339"/>
      <c r="F59" s="405"/>
      <c r="G59" s="405"/>
      <c r="H59" s="405"/>
      <c r="I59" s="405"/>
      <c r="J59" s="405"/>
      <c r="K59" s="405"/>
      <c r="L59" s="405"/>
      <c r="M59" s="415"/>
      <c r="N59" s="335"/>
      <c r="O59" s="74"/>
      <c r="P59" s="422"/>
      <c r="Q59" s="423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</row>
    <row r="60" spans="1:32" ht="27" customHeight="1">
      <c r="A60" s="413"/>
      <c r="B60" s="414"/>
      <c r="C60" s="336"/>
      <c r="D60" s="336"/>
      <c r="E60" s="336"/>
      <c r="F60" s="405"/>
      <c r="G60" s="405"/>
      <c r="H60" s="405"/>
      <c r="I60" s="405"/>
      <c r="J60" s="405"/>
      <c r="K60" s="405"/>
      <c r="L60" s="405"/>
      <c r="M60" s="415"/>
      <c r="N60" s="335"/>
      <c r="O60" s="74"/>
      <c r="P60" s="414"/>
      <c r="Q60" s="414"/>
      <c r="R60" s="414"/>
      <c r="S60" s="414"/>
      <c r="T60" s="414"/>
      <c r="U60" s="414"/>
      <c r="V60" s="405"/>
      <c r="W60" s="405"/>
      <c r="X60" s="405"/>
      <c r="Y60" s="405"/>
      <c r="Z60" s="405"/>
      <c r="AA60" s="405"/>
      <c r="AB60" s="405"/>
      <c r="AC60" s="405"/>
      <c r="AD60" s="415"/>
      <c r="AF60" s="94">
        <f>8*3000</f>
        <v>24000</v>
      </c>
    </row>
    <row r="61" spans="1:32" ht="27" customHeight="1" thickBot="1">
      <c r="A61" s="416"/>
      <c r="B61" s="417"/>
      <c r="C61" s="338"/>
      <c r="D61" s="338"/>
      <c r="E61" s="338"/>
      <c r="F61" s="418"/>
      <c r="G61" s="418"/>
      <c r="H61" s="418"/>
      <c r="I61" s="418"/>
      <c r="J61" s="418"/>
      <c r="K61" s="418"/>
      <c r="L61" s="418"/>
      <c r="M61" s="419"/>
      <c r="N61" s="337"/>
      <c r="O61" s="121"/>
      <c r="P61" s="417"/>
      <c r="Q61" s="417"/>
      <c r="R61" s="417"/>
      <c r="S61" s="417"/>
      <c r="T61" s="417"/>
      <c r="U61" s="417"/>
      <c r="V61" s="418"/>
      <c r="W61" s="418"/>
      <c r="X61" s="418"/>
      <c r="Y61" s="418"/>
      <c r="Z61" s="418"/>
      <c r="AA61" s="418"/>
      <c r="AB61" s="418"/>
      <c r="AC61" s="418"/>
      <c r="AD61" s="419"/>
      <c r="AF61" s="94">
        <f>16*3000</f>
        <v>48000</v>
      </c>
    </row>
    <row r="62" spans="1:32" ht="27.75" thickBot="1">
      <c r="A62" s="411" t="s">
        <v>1002</v>
      </c>
      <c r="B62" s="411"/>
      <c r="C62" s="411"/>
      <c r="D62" s="411"/>
      <c r="E62" s="41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12" t="s">
        <v>113</v>
      </c>
      <c r="B63" s="409"/>
      <c r="C63" s="334" t="s">
        <v>2</v>
      </c>
      <c r="D63" s="334" t="s">
        <v>37</v>
      </c>
      <c r="E63" s="334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34" t="s">
        <v>40</v>
      </c>
      <c r="N63" s="409" t="s">
        <v>41</v>
      </c>
      <c r="O63" s="409"/>
      <c r="P63" s="406" t="s">
        <v>42</v>
      </c>
      <c r="Q63" s="408"/>
      <c r="R63" s="406" t="s">
        <v>43</v>
      </c>
      <c r="S63" s="407"/>
      <c r="T63" s="407"/>
      <c r="U63" s="407"/>
      <c r="V63" s="407"/>
      <c r="W63" s="407"/>
      <c r="X63" s="407"/>
      <c r="Y63" s="407"/>
      <c r="Z63" s="407"/>
      <c r="AA63" s="408"/>
      <c r="AB63" s="409" t="s">
        <v>44</v>
      </c>
      <c r="AC63" s="409"/>
      <c r="AD63" s="410"/>
      <c r="AF63" s="94">
        <f>SUM(AF60:AF62)</f>
        <v>96000</v>
      </c>
    </row>
    <row r="64" spans="1:32" ht="25.5" customHeight="1">
      <c r="A64" s="401">
        <v>1</v>
      </c>
      <c r="B64" s="402"/>
      <c r="C64" s="124" t="s">
        <v>114</v>
      </c>
      <c r="D64" s="330"/>
      <c r="E64" s="333" t="s">
        <v>1003</v>
      </c>
      <c r="F64" s="403" t="s">
        <v>1004</v>
      </c>
      <c r="G64" s="395"/>
      <c r="H64" s="395"/>
      <c r="I64" s="395"/>
      <c r="J64" s="395"/>
      <c r="K64" s="395">
        <v>7301</v>
      </c>
      <c r="L64" s="395"/>
      <c r="M64" s="54" t="s">
        <v>970</v>
      </c>
      <c r="N64" s="395">
        <v>13</v>
      </c>
      <c r="O64" s="395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2</v>
      </c>
      <c r="B65" s="402"/>
      <c r="C65" s="124" t="s">
        <v>1005</v>
      </c>
      <c r="D65" s="330"/>
      <c r="E65" s="333" t="s">
        <v>995</v>
      </c>
      <c r="F65" s="403" t="s">
        <v>1006</v>
      </c>
      <c r="G65" s="395"/>
      <c r="H65" s="395"/>
      <c r="I65" s="395"/>
      <c r="J65" s="395"/>
      <c r="K65" s="395" t="s">
        <v>1007</v>
      </c>
      <c r="L65" s="395"/>
      <c r="M65" s="54" t="s">
        <v>1008</v>
      </c>
      <c r="N65" s="395">
        <v>7</v>
      </c>
      <c r="O65" s="395"/>
      <c r="P65" s="404"/>
      <c r="Q65" s="404"/>
      <c r="R65" s="405" t="s">
        <v>1009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3</v>
      </c>
      <c r="B66" s="402"/>
      <c r="C66" s="124" t="s">
        <v>980</v>
      </c>
      <c r="D66" s="330"/>
      <c r="E66" s="333" t="s">
        <v>981</v>
      </c>
      <c r="F66" s="403" t="s">
        <v>1010</v>
      </c>
      <c r="G66" s="395"/>
      <c r="H66" s="395"/>
      <c r="I66" s="395"/>
      <c r="J66" s="395"/>
      <c r="K66" s="395" t="s">
        <v>1011</v>
      </c>
      <c r="L66" s="395"/>
      <c r="M66" s="54" t="s">
        <v>1012</v>
      </c>
      <c r="N66" s="395">
        <v>6</v>
      </c>
      <c r="O66" s="395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4</v>
      </c>
      <c r="B67" s="402"/>
      <c r="C67" s="124" t="s">
        <v>1013</v>
      </c>
      <c r="D67" s="330"/>
      <c r="E67" s="333" t="s">
        <v>1014</v>
      </c>
      <c r="F67" s="403" t="s">
        <v>1015</v>
      </c>
      <c r="G67" s="395"/>
      <c r="H67" s="395"/>
      <c r="I67" s="395"/>
      <c r="J67" s="395"/>
      <c r="K67" s="395" t="s">
        <v>1016</v>
      </c>
      <c r="L67" s="395"/>
      <c r="M67" s="54" t="s">
        <v>1012</v>
      </c>
      <c r="N67" s="395">
        <v>13</v>
      </c>
      <c r="O67" s="395"/>
      <c r="P67" s="404" t="s">
        <v>1017</v>
      </c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5</v>
      </c>
      <c r="B68" s="402"/>
      <c r="C68" s="124" t="s">
        <v>1018</v>
      </c>
      <c r="D68" s="330"/>
      <c r="E68" s="333" t="s">
        <v>1019</v>
      </c>
      <c r="F68" s="403" t="s">
        <v>1020</v>
      </c>
      <c r="G68" s="395"/>
      <c r="H68" s="395"/>
      <c r="I68" s="395"/>
      <c r="J68" s="395"/>
      <c r="K68" s="395" t="s">
        <v>1021</v>
      </c>
      <c r="L68" s="395"/>
      <c r="M68" s="54" t="s">
        <v>1008</v>
      </c>
      <c r="N68" s="395">
        <v>6</v>
      </c>
      <c r="O68" s="395"/>
      <c r="P68" s="404">
        <v>100</v>
      </c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6</v>
      </c>
      <c r="B69" s="402"/>
      <c r="C69" s="124"/>
      <c r="D69" s="330"/>
      <c r="E69" s="333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7</v>
      </c>
      <c r="B70" s="402"/>
      <c r="C70" s="124"/>
      <c r="D70" s="330"/>
      <c r="E70" s="333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5.5" customHeight="1">
      <c r="A71" s="401">
        <v>8</v>
      </c>
      <c r="B71" s="402"/>
      <c r="C71" s="124"/>
      <c r="D71" s="330"/>
      <c r="E71" s="333"/>
      <c r="F71" s="403"/>
      <c r="G71" s="395"/>
      <c r="H71" s="395"/>
      <c r="I71" s="395"/>
      <c r="J71" s="395"/>
      <c r="K71" s="395"/>
      <c r="L71" s="395"/>
      <c r="M71" s="54"/>
      <c r="N71" s="395"/>
      <c r="O71" s="395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5"/>
      <c r="AC71" s="395"/>
      <c r="AD71" s="396"/>
      <c r="AF71" s="53"/>
    </row>
    <row r="72" spans="1:32" ht="26.25" customHeight="1" thickBot="1">
      <c r="A72" s="375" t="s">
        <v>1022</v>
      </c>
      <c r="B72" s="375"/>
      <c r="C72" s="375"/>
      <c r="D72" s="375"/>
      <c r="E72" s="375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76" t="s">
        <v>113</v>
      </c>
      <c r="B73" s="377"/>
      <c r="C73" s="332" t="s">
        <v>2</v>
      </c>
      <c r="D73" s="332" t="s">
        <v>37</v>
      </c>
      <c r="E73" s="332" t="s">
        <v>3</v>
      </c>
      <c r="F73" s="377" t="s">
        <v>38</v>
      </c>
      <c r="G73" s="377"/>
      <c r="H73" s="377"/>
      <c r="I73" s="377"/>
      <c r="J73" s="377"/>
      <c r="K73" s="397" t="s">
        <v>58</v>
      </c>
      <c r="L73" s="398"/>
      <c r="M73" s="398"/>
      <c r="N73" s="398"/>
      <c r="O73" s="398"/>
      <c r="P73" s="398"/>
      <c r="Q73" s="398"/>
      <c r="R73" s="398"/>
      <c r="S73" s="399"/>
      <c r="T73" s="377" t="s">
        <v>49</v>
      </c>
      <c r="U73" s="377"/>
      <c r="V73" s="397" t="s">
        <v>50</v>
      </c>
      <c r="W73" s="399"/>
      <c r="X73" s="398" t="s">
        <v>51</v>
      </c>
      <c r="Y73" s="398"/>
      <c r="Z73" s="398"/>
      <c r="AA73" s="398"/>
      <c r="AB73" s="398"/>
      <c r="AC73" s="398"/>
      <c r="AD73" s="400"/>
      <c r="AF73" s="53"/>
    </row>
    <row r="74" spans="1:32" ht="33.75" customHeight="1">
      <c r="A74" s="369">
        <v>1</v>
      </c>
      <c r="B74" s="370"/>
      <c r="C74" s="331" t="s">
        <v>114</v>
      </c>
      <c r="D74" s="331"/>
      <c r="E74" s="71" t="s">
        <v>119</v>
      </c>
      <c r="F74" s="384" t="s">
        <v>120</v>
      </c>
      <c r="G74" s="385"/>
      <c r="H74" s="385"/>
      <c r="I74" s="385"/>
      <c r="J74" s="386"/>
      <c r="K74" s="387" t="s">
        <v>115</v>
      </c>
      <c r="L74" s="388"/>
      <c r="M74" s="388"/>
      <c r="N74" s="388"/>
      <c r="O74" s="388"/>
      <c r="P74" s="388"/>
      <c r="Q74" s="388"/>
      <c r="R74" s="388"/>
      <c r="S74" s="389"/>
      <c r="T74" s="390">
        <v>42901</v>
      </c>
      <c r="U74" s="391"/>
      <c r="V74" s="392"/>
      <c r="W74" s="392"/>
      <c r="X74" s="393"/>
      <c r="Y74" s="393"/>
      <c r="Z74" s="393"/>
      <c r="AA74" s="393"/>
      <c r="AB74" s="393"/>
      <c r="AC74" s="393"/>
      <c r="AD74" s="394"/>
      <c r="AF74" s="53"/>
    </row>
    <row r="75" spans="1:32" ht="30" customHeight="1">
      <c r="A75" s="362">
        <f>A74+1</f>
        <v>2</v>
      </c>
      <c r="B75" s="363"/>
      <c r="C75" s="330" t="s">
        <v>114</v>
      </c>
      <c r="D75" s="330"/>
      <c r="E75" s="35" t="s">
        <v>116</v>
      </c>
      <c r="F75" s="363" t="s">
        <v>117</v>
      </c>
      <c r="G75" s="363"/>
      <c r="H75" s="363"/>
      <c r="I75" s="363"/>
      <c r="J75" s="363"/>
      <c r="K75" s="378" t="s">
        <v>118</v>
      </c>
      <c r="L75" s="379"/>
      <c r="M75" s="379"/>
      <c r="N75" s="379"/>
      <c r="O75" s="379"/>
      <c r="P75" s="379"/>
      <c r="Q75" s="379"/>
      <c r="R75" s="379"/>
      <c r="S75" s="380"/>
      <c r="T75" s="381">
        <v>42867</v>
      </c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ref="A76:A82" si="21">A75+1</f>
        <v>3</v>
      </c>
      <c r="B76" s="363"/>
      <c r="C76" s="330"/>
      <c r="D76" s="330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21"/>
        <v>4</v>
      </c>
      <c r="B77" s="363"/>
      <c r="C77" s="330"/>
      <c r="D77" s="330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21"/>
        <v>5</v>
      </c>
      <c r="B78" s="363"/>
      <c r="C78" s="330"/>
      <c r="D78" s="330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21"/>
        <v>6</v>
      </c>
      <c r="B79" s="363"/>
      <c r="C79" s="330"/>
      <c r="D79" s="330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21"/>
        <v>7</v>
      </c>
      <c r="B80" s="363"/>
      <c r="C80" s="330"/>
      <c r="D80" s="330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21"/>
        <v>8</v>
      </c>
      <c r="B81" s="363"/>
      <c r="C81" s="330"/>
      <c r="D81" s="330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0" customHeight="1">
      <c r="A82" s="362">
        <f t="shared" si="21"/>
        <v>9</v>
      </c>
      <c r="B82" s="363"/>
      <c r="C82" s="330"/>
      <c r="D82" s="330"/>
      <c r="E82" s="35"/>
      <c r="F82" s="363"/>
      <c r="G82" s="363"/>
      <c r="H82" s="363"/>
      <c r="I82" s="363"/>
      <c r="J82" s="363"/>
      <c r="K82" s="378"/>
      <c r="L82" s="379"/>
      <c r="M82" s="379"/>
      <c r="N82" s="379"/>
      <c r="O82" s="379"/>
      <c r="P82" s="379"/>
      <c r="Q82" s="379"/>
      <c r="R82" s="379"/>
      <c r="S82" s="380"/>
      <c r="T82" s="381"/>
      <c r="U82" s="381"/>
      <c r="V82" s="381"/>
      <c r="W82" s="381"/>
      <c r="X82" s="382"/>
      <c r="Y82" s="382"/>
      <c r="Z82" s="382"/>
      <c r="AA82" s="382"/>
      <c r="AB82" s="382"/>
      <c r="AC82" s="382"/>
      <c r="AD82" s="383"/>
      <c r="AF82" s="53"/>
    </row>
    <row r="83" spans="1:32" ht="36" thickBot="1">
      <c r="A83" s="375" t="s">
        <v>1023</v>
      </c>
      <c r="B83" s="375"/>
      <c r="C83" s="375"/>
      <c r="D83" s="375"/>
      <c r="E83" s="375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76" t="s">
        <v>113</v>
      </c>
      <c r="B84" s="377"/>
      <c r="C84" s="367" t="s">
        <v>52</v>
      </c>
      <c r="D84" s="367"/>
      <c r="E84" s="367" t="s">
        <v>53</v>
      </c>
      <c r="F84" s="367"/>
      <c r="G84" s="367"/>
      <c r="H84" s="367"/>
      <c r="I84" s="367"/>
      <c r="J84" s="367"/>
      <c r="K84" s="367" t="s">
        <v>54</v>
      </c>
      <c r="L84" s="367"/>
      <c r="M84" s="367"/>
      <c r="N84" s="367"/>
      <c r="O84" s="367"/>
      <c r="P84" s="367"/>
      <c r="Q84" s="367"/>
      <c r="R84" s="367"/>
      <c r="S84" s="367"/>
      <c r="T84" s="367" t="s">
        <v>55</v>
      </c>
      <c r="U84" s="367"/>
      <c r="V84" s="367" t="s">
        <v>56</v>
      </c>
      <c r="W84" s="367"/>
      <c r="X84" s="367"/>
      <c r="Y84" s="367" t="s">
        <v>51</v>
      </c>
      <c r="Z84" s="367"/>
      <c r="AA84" s="367"/>
      <c r="AB84" s="367"/>
      <c r="AC84" s="367"/>
      <c r="AD84" s="368"/>
      <c r="AF84" s="53"/>
    </row>
    <row r="85" spans="1:32" ht="30.75" customHeight="1">
      <c r="A85" s="369">
        <v>1</v>
      </c>
      <c r="B85" s="370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2"/>
      <c r="W85" s="372"/>
      <c r="X85" s="372"/>
      <c r="Y85" s="373"/>
      <c r="Z85" s="373"/>
      <c r="AA85" s="373"/>
      <c r="AB85" s="373"/>
      <c r="AC85" s="373"/>
      <c r="AD85" s="374"/>
      <c r="AF85" s="53"/>
    </row>
    <row r="86" spans="1:32" ht="30.75" customHeight="1">
      <c r="A86" s="362">
        <v>2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5"/>
      <c r="U86" s="365"/>
      <c r="V86" s="366"/>
      <c r="W86" s="366"/>
      <c r="X86" s="366"/>
      <c r="Y86" s="355"/>
      <c r="Z86" s="355"/>
      <c r="AA86" s="355"/>
      <c r="AB86" s="355"/>
      <c r="AC86" s="355"/>
      <c r="AD86" s="356"/>
      <c r="AF86" s="53"/>
    </row>
    <row r="87" spans="1:32" ht="30.75" customHeight="1" thickBot="1">
      <c r="A87" s="357">
        <v>3</v>
      </c>
      <c r="B87" s="358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60"/>
      <c r="Z87" s="360"/>
      <c r="AA87" s="360"/>
      <c r="AB87" s="360"/>
      <c r="AC87" s="360"/>
      <c r="AD87" s="36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abSelected="1" zoomScale="72" zoomScaleNormal="72" zoomScaleSheetLayoutView="70" workbookViewId="0">
      <selection activeCell="F52" sqref="F52:M5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53" t="s">
        <v>1024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53"/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54"/>
      <c r="B3" s="454"/>
      <c r="C3" s="454"/>
      <c r="D3" s="454"/>
      <c r="E3" s="454"/>
      <c r="F3" s="454"/>
      <c r="G3" s="454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55" t="s">
        <v>0</v>
      </c>
      <c r="B4" s="457" t="s">
        <v>1</v>
      </c>
      <c r="C4" s="457" t="s">
        <v>2</v>
      </c>
      <c r="D4" s="460" t="s">
        <v>3</v>
      </c>
      <c r="E4" s="462" t="s">
        <v>4</v>
      </c>
      <c r="F4" s="460" t="s">
        <v>5</v>
      </c>
      <c r="G4" s="457" t="s">
        <v>6</v>
      </c>
      <c r="H4" s="463" t="s">
        <v>7</v>
      </c>
      <c r="I4" s="443" t="s">
        <v>8</v>
      </c>
      <c r="J4" s="444"/>
      <c r="K4" s="444"/>
      <c r="L4" s="444"/>
      <c r="M4" s="444"/>
      <c r="N4" s="444"/>
      <c r="O4" s="445"/>
      <c r="P4" s="446" t="s">
        <v>9</v>
      </c>
      <c r="Q4" s="447"/>
      <c r="R4" s="448" t="s">
        <v>10</v>
      </c>
      <c r="S4" s="448"/>
      <c r="T4" s="448"/>
      <c r="U4" s="448"/>
      <c r="V4" s="448"/>
      <c r="W4" s="449" t="s">
        <v>11</v>
      </c>
      <c r="X4" s="448"/>
      <c r="Y4" s="448"/>
      <c r="Z4" s="448"/>
      <c r="AA4" s="450"/>
      <c r="AB4" s="451" t="s">
        <v>12</v>
      </c>
      <c r="AC4" s="424" t="s">
        <v>13</v>
      </c>
      <c r="AD4" s="424" t="s">
        <v>14</v>
      </c>
      <c r="AE4" s="58"/>
    </row>
    <row r="5" spans="1:36" ht="51" customHeight="1" thickBot="1">
      <c r="A5" s="456"/>
      <c r="B5" s="458"/>
      <c r="C5" s="459"/>
      <c r="D5" s="461"/>
      <c r="E5" s="461"/>
      <c r="F5" s="461"/>
      <c r="G5" s="458"/>
      <c r="H5" s="464"/>
      <c r="I5" s="59" t="s">
        <v>15</v>
      </c>
      <c r="J5" s="60" t="s">
        <v>16</v>
      </c>
      <c r="K5" s="353" t="s">
        <v>17</v>
      </c>
      <c r="L5" s="353" t="s">
        <v>18</v>
      </c>
      <c r="M5" s="353" t="s">
        <v>19</v>
      </c>
      <c r="N5" s="35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2"/>
      <c r="AC5" s="425"/>
      <c r="AD5" s="425"/>
      <c r="AE5" s="58"/>
    </row>
    <row r="6" spans="1:36" ht="27" customHeight="1">
      <c r="A6" s="108">
        <v>1</v>
      </c>
      <c r="B6" s="11" t="s">
        <v>57</v>
      </c>
      <c r="C6" s="37" t="s">
        <v>869</v>
      </c>
      <c r="D6" s="55"/>
      <c r="E6" s="57" t="s">
        <v>891</v>
      </c>
      <c r="F6" s="33" t="s">
        <v>133</v>
      </c>
      <c r="G6" s="12">
        <v>1</v>
      </c>
      <c r="H6" s="13">
        <v>28</v>
      </c>
      <c r="I6" s="34">
        <v>10000</v>
      </c>
      <c r="J6" s="5">
        <v>2370</v>
      </c>
      <c r="K6" s="15">
        <f>L6+2004+3701+2366</f>
        <v>8071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0.32754904193115314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974</v>
      </c>
      <c r="D7" s="55" t="s">
        <v>975</v>
      </c>
      <c r="E7" s="57" t="s">
        <v>956</v>
      </c>
      <c r="F7" s="33" t="s">
        <v>977</v>
      </c>
      <c r="G7" s="12">
        <v>4</v>
      </c>
      <c r="H7" s="13">
        <v>25</v>
      </c>
      <c r="I7" s="34">
        <v>100000</v>
      </c>
      <c r="J7" s="5">
        <v>1560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>
        <v>24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0.32754904193115314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123</v>
      </c>
      <c r="D8" s="55" t="s">
        <v>135</v>
      </c>
      <c r="E8" s="57" t="s">
        <v>943</v>
      </c>
      <c r="F8" s="33" t="s">
        <v>944</v>
      </c>
      <c r="G8" s="12">
        <v>1</v>
      </c>
      <c r="H8" s="13">
        <v>25</v>
      </c>
      <c r="I8" s="34">
        <v>20000</v>
      </c>
      <c r="J8" s="5">
        <v>5611</v>
      </c>
      <c r="K8" s="15">
        <f>L8+1556+2889+5345</f>
        <v>15401</v>
      </c>
      <c r="L8" s="15">
        <f>2890+2721</f>
        <v>5611</v>
      </c>
      <c r="M8" s="16">
        <f t="shared" si="0"/>
        <v>5611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0.32754904193115314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123</v>
      </c>
      <c r="D9" s="55" t="s">
        <v>121</v>
      </c>
      <c r="E9" s="57" t="s">
        <v>652</v>
      </c>
      <c r="F9" s="33" t="s">
        <v>669</v>
      </c>
      <c r="G9" s="36">
        <v>1</v>
      </c>
      <c r="H9" s="38">
        <v>25</v>
      </c>
      <c r="I9" s="7">
        <v>35000</v>
      </c>
      <c r="J9" s="5">
        <v>5160</v>
      </c>
      <c r="K9" s="15">
        <f>L9+2702+3670+5212+4823+3102+5641+6180+5174+5154</f>
        <v>41658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0.32754904193115314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123</v>
      </c>
      <c r="D10" s="55" t="s">
        <v>121</v>
      </c>
      <c r="E10" s="57" t="s">
        <v>946</v>
      </c>
      <c r="F10" s="12" t="s">
        <v>496</v>
      </c>
      <c r="G10" s="12">
        <v>1</v>
      </c>
      <c r="H10" s="13">
        <v>25</v>
      </c>
      <c r="I10" s="34">
        <v>7000</v>
      </c>
      <c r="J10" s="14">
        <v>4050</v>
      </c>
      <c r="K10" s="15">
        <f>L10+4727+4049</f>
        <v>8776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0.32754904193115314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114</v>
      </c>
      <c r="D11" s="55" t="s">
        <v>140</v>
      </c>
      <c r="E11" s="57" t="s">
        <v>451</v>
      </c>
      <c r="F11" s="12" t="s">
        <v>896</v>
      </c>
      <c r="G11" s="12">
        <v>1</v>
      </c>
      <c r="H11" s="13">
        <v>25</v>
      </c>
      <c r="I11" s="34">
        <v>7000</v>
      </c>
      <c r="J11" s="14">
        <v>5004</v>
      </c>
      <c r="K11" s="15">
        <f>L11+4943+5004</f>
        <v>9947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0.32754904193115314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158</v>
      </c>
      <c r="E12" s="57" t="s">
        <v>354</v>
      </c>
      <c r="F12" s="12" t="s">
        <v>371</v>
      </c>
      <c r="G12" s="12">
        <v>1</v>
      </c>
      <c r="H12" s="13">
        <v>25</v>
      </c>
      <c r="I12" s="7">
        <v>2000</v>
      </c>
      <c r="J12" s="14">
        <v>2170</v>
      </c>
      <c r="K12" s="15">
        <f>L12</f>
        <v>2166</v>
      </c>
      <c r="L12" s="15">
        <v>2166</v>
      </c>
      <c r="M12" s="16">
        <f t="shared" si="0"/>
        <v>2166</v>
      </c>
      <c r="N12" s="16">
        <v>0</v>
      </c>
      <c r="O12" s="62">
        <f t="shared" si="1"/>
        <v>0</v>
      </c>
      <c r="P12" s="42">
        <f t="shared" si="2"/>
        <v>13</v>
      </c>
      <c r="Q12" s="43">
        <f t="shared" si="3"/>
        <v>11</v>
      </c>
      <c r="R12" s="7"/>
      <c r="S12" s="6">
        <v>11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0.99815668202764973</v>
      </c>
      <c r="AC12" s="9">
        <f t="shared" si="5"/>
        <v>0.54166666666666663</v>
      </c>
      <c r="AD12" s="10">
        <f t="shared" si="6"/>
        <v>0.54066820276497696</v>
      </c>
      <c r="AE12" s="39">
        <f t="shared" si="7"/>
        <v>0.32754904193115314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123</v>
      </c>
      <c r="D13" s="55" t="s">
        <v>688</v>
      </c>
      <c r="E13" s="57" t="s">
        <v>540</v>
      </c>
      <c r="F13" s="12" t="s">
        <v>405</v>
      </c>
      <c r="G13" s="12">
        <v>1</v>
      </c>
      <c r="H13" s="13">
        <v>25</v>
      </c>
      <c r="I13" s="7">
        <v>26000</v>
      </c>
      <c r="J13" s="14">
        <v>3565</v>
      </c>
      <c r="K13" s="15">
        <f>L13+2051+1097+2775+4927+920+803</f>
        <v>16138</v>
      </c>
      <c r="L13" s="15">
        <v>3565</v>
      </c>
      <c r="M13" s="16">
        <f t="shared" si="0"/>
        <v>3565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9">
        <f t="shared" si="7"/>
        <v>0.32754904193115314</v>
      </c>
      <c r="AF13" s="94">
        <f t="shared" si="8"/>
        <v>8</v>
      </c>
    </row>
    <row r="14" spans="1:36" ht="27" customHeight="1">
      <c r="A14" s="109">
        <v>9</v>
      </c>
      <c r="B14" s="11" t="s">
        <v>813</v>
      </c>
      <c r="C14" s="37" t="s">
        <v>114</v>
      </c>
      <c r="D14" s="55" t="s">
        <v>158</v>
      </c>
      <c r="E14" s="57" t="s">
        <v>814</v>
      </c>
      <c r="F14" s="33" t="s">
        <v>815</v>
      </c>
      <c r="G14" s="36">
        <v>1</v>
      </c>
      <c r="H14" s="38">
        <v>25</v>
      </c>
      <c r="I14" s="7">
        <v>300</v>
      </c>
      <c r="J14" s="5">
        <v>610</v>
      </c>
      <c r="K14" s="15">
        <f>L14+609</f>
        <v>609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0.32754904193115314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131</v>
      </c>
      <c r="D15" s="55" t="s">
        <v>978</v>
      </c>
      <c r="E15" s="57" t="s">
        <v>979</v>
      </c>
      <c r="F15" s="12" t="s">
        <v>920</v>
      </c>
      <c r="G15" s="12">
        <v>4</v>
      </c>
      <c r="H15" s="13">
        <v>24</v>
      </c>
      <c r="I15" s="34">
        <v>30000</v>
      </c>
      <c r="J15" s="14">
        <v>18250</v>
      </c>
      <c r="K15" s="15">
        <f>L15+21368</f>
        <v>39616</v>
      </c>
      <c r="L15" s="15">
        <f>2882*4+1680*4</f>
        <v>18248</v>
      </c>
      <c r="M15" s="16">
        <f t="shared" si="0"/>
        <v>18248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0.99989041095890407</v>
      </c>
      <c r="AC15" s="9">
        <f t="shared" si="5"/>
        <v>1</v>
      </c>
      <c r="AD15" s="10">
        <f t="shared" si="6"/>
        <v>0.99989041095890407</v>
      </c>
      <c r="AE15" s="39">
        <f t="shared" si="7"/>
        <v>0.32754904193115314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315</v>
      </c>
      <c r="D16" s="55" t="s">
        <v>308</v>
      </c>
      <c r="E16" s="56" t="s">
        <v>877</v>
      </c>
      <c r="F16" s="12">
        <v>7301</v>
      </c>
      <c r="G16" s="36">
        <v>1</v>
      </c>
      <c r="H16" s="38">
        <v>25</v>
      </c>
      <c r="I16" s="7">
        <v>500</v>
      </c>
      <c r="J16" s="14">
        <v>706</v>
      </c>
      <c r="K16" s="15">
        <f>L16+706</f>
        <v>706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0.32754904193115314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796</v>
      </c>
      <c r="D17" s="55" t="s">
        <v>981</v>
      </c>
      <c r="E17" s="56" t="s">
        <v>982</v>
      </c>
      <c r="F17" s="12" t="s">
        <v>983</v>
      </c>
      <c r="G17" s="12">
        <v>1</v>
      </c>
      <c r="H17" s="13">
        <v>25</v>
      </c>
      <c r="I17" s="34">
        <v>5000</v>
      </c>
      <c r="J17" s="5">
        <v>1850</v>
      </c>
      <c r="K17" s="15">
        <f>L17+4315</f>
        <v>6157</v>
      </c>
      <c r="L17" s="15">
        <v>1842</v>
      </c>
      <c r="M17" s="16">
        <f t="shared" si="0"/>
        <v>1842</v>
      </c>
      <c r="N17" s="16">
        <v>0</v>
      </c>
      <c r="O17" s="62">
        <f t="shared" si="1"/>
        <v>0</v>
      </c>
      <c r="P17" s="42">
        <f t="shared" si="2"/>
        <v>10</v>
      </c>
      <c r="Q17" s="43">
        <f t="shared" si="3"/>
        <v>14</v>
      </c>
      <c r="R17" s="7"/>
      <c r="S17" s="6"/>
      <c r="T17" s="17"/>
      <c r="U17" s="17"/>
      <c r="V17" s="18"/>
      <c r="W17" s="19">
        <v>14</v>
      </c>
      <c r="X17" s="17"/>
      <c r="Y17" s="20"/>
      <c r="Z17" s="20"/>
      <c r="AA17" s="21"/>
      <c r="AB17" s="8">
        <f t="shared" si="4"/>
        <v>0.99567567567567572</v>
      </c>
      <c r="AC17" s="9">
        <f t="shared" si="5"/>
        <v>0.41666666666666669</v>
      </c>
      <c r="AD17" s="10">
        <f t="shared" si="6"/>
        <v>0.4148648648648649</v>
      </c>
      <c r="AE17" s="39">
        <f t="shared" si="7"/>
        <v>0.32754904193115314</v>
      </c>
      <c r="AF17" s="94">
        <f t="shared" ref="AF17" si="9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617</v>
      </c>
      <c r="E18" s="57" t="s">
        <v>577</v>
      </c>
      <c r="F18" s="33" t="s">
        <v>231</v>
      </c>
      <c r="G18" s="36">
        <v>1</v>
      </c>
      <c r="H18" s="38">
        <v>25</v>
      </c>
      <c r="I18" s="7">
        <v>2500</v>
      </c>
      <c r="J18" s="5">
        <v>3115</v>
      </c>
      <c r="K18" s="15">
        <f>L18+3115</f>
        <v>3115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0.32754904193115314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796</v>
      </c>
      <c r="D19" s="55" t="s">
        <v>1025</v>
      </c>
      <c r="E19" s="57" t="s">
        <v>998</v>
      </c>
      <c r="F19" s="12" t="s">
        <v>405</v>
      </c>
      <c r="G19" s="12" t="s">
        <v>1026</v>
      </c>
      <c r="H19" s="13">
        <v>25</v>
      </c>
      <c r="I19" s="7">
        <v>130000</v>
      </c>
      <c r="J19" s="14">
        <v>3260</v>
      </c>
      <c r="K19" s="15">
        <f>L19</f>
        <v>3258</v>
      </c>
      <c r="L19" s="15">
        <v>3258</v>
      </c>
      <c r="M19" s="16">
        <f t="shared" si="0"/>
        <v>3258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0.99938650306748467</v>
      </c>
      <c r="AC19" s="9">
        <f t="shared" si="5"/>
        <v>0.58333333333333337</v>
      </c>
      <c r="AD19" s="10">
        <f t="shared" si="6"/>
        <v>0.58297546012269941</v>
      </c>
      <c r="AE19" s="39">
        <f t="shared" si="7"/>
        <v>0.32754904193115314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132</v>
      </c>
      <c r="D20" s="55"/>
      <c r="E20" s="56" t="s">
        <v>770</v>
      </c>
      <c r="F20" s="12" t="s">
        <v>133</v>
      </c>
      <c r="G20" s="12">
        <v>4</v>
      </c>
      <c r="H20" s="38">
        <v>20</v>
      </c>
      <c r="I20" s="7">
        <v>800000</v>
      </c>
      <c r="J20" s="14">
        <v>18370</v>
      </c>
      <c r="K20" s="15">
        <f>L20+37488+44980+44780+45932+39076+45072</f>
        <v>275692</v>
      </c>
      <c r="L20" s="15">
        <f>4591*4</f>
        <v>18364</v>
      </c>
      <c r="M20" s="16">
        <f t="shared" si="0"/>
        <v>18364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>
        <v>12</v>
      </c>
      <c r="W20" s="19"/>
      <c r="X20" s="17"/>
      <c r="Y20" s="20"/>
      <c r="Z20" s="20"/>
      <c r="AA20" s="21"/>
      <c r="AB20" s="8">
        <f t="shared" si="4"/>
        <v>0.99967338051170385</v>
      </c>
      <c r="AC20" s="9">
        <f t="shared" si="5"/>
        <v>0.5</v>
      </c>
      <c r="AD20" s="10">
        <f t="shared" si="6"/>
        <v>0.49983669025585192</v>
      </c>
      <c r="AE20" s="39">
        <f t="shared" si="7"/>
        <v>0.32754904193115314</v>
      </c>
      <c r="AF20" s="94">
        <f t="shared" si="8"/>
        <v>15</v>
      </c>
    </row>
    <row r="21" spans="1:32" ht="31.5" customHeight="1" thickBot="1">
      <c r="A21" s="426" t="s">
        <v>34</v>
      </c>
      <c r="B21" s="427"/>
      <c r="C21" s="427"/>
      <c r="D21" s="427"/>
      <c r="E21" s="427"/>
      <c r="F21" s="427"/>
      <c r="G21" s="427"/>
      <c r="H21" s="428"/>
      <c r="I21" s="25">
        <f t="shared" ref="I21:N21" si="10">SUM(I6:I20)</f>
        <v>1175300</v>
      </c>
      <c r="J21" s="22">
        <f t="shared" si="10"/>
        <v>75651</v>
      </c>
      <c r="K21" s="23">
        <f t="shared" si="10"/>
        <v>431310</v>
      </c>
      <c r="L21" s="24">
        <f t="shared" si="10"/>
        <v>53054</v>
      </c>
      <c r="M21" s="23">
        <f t="shared" si="10"/>
        <v>53054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118</v>
      </c>
      <c r="Q21" s="46">
        <f t="shared" si="11"/>
        <v>242</v>
      </c>
      <c r="R21" s="26">
        <f t="shared" si="11"/>
        <v>0</v>
      </c>
      <c r="S21" s="27">
        <f t="shared" si="11"/>
        <v>48</v>
      </c>
      <c r="T21" s="27">
        <f t="shared" si="11"/>
        <v>0</v>
      </c>
      <c r="U21" s="27">
        <f t="shared" si="11"/>
        <v>0</v>
      </c>
      <c r="V21" s="28">
        <f t="shared" si="11"/>
        <v>12</v>
      </c>
      <c r="W21" s="29">
        <f t="shared" si="11"/>
        <v>182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0.46618551014942783</v>
      </c>
      <c r="AC21" s="4">
        <f>SUM(AC6:AC20)/15</f>
        <v>0.32777777777777772</v>
      </c>
      <c r="AD21" s="4">
        <f>SUM(AD6:AD20)/15</f>
        <v>0.32754904193115314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29" t="s">
        <v>45</v>
      </c>
      <c r="B48" s="429"/>
      <c r="C48" s="429"/>
      <c r="D48" s="429"/>
      <c r="E48" s="42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0" t="s">
        <v>1027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2"/>
      <c r="N49" s="433" t="s">
        <v>1037</v>
      </c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5"/>
    </row>
    <row r="50" spans="1:32" ht="27" customHeight="1">
      <c r="A50" s="436" t="s">
        <v>2</v>
      </c>
      <c r="B50" s="437"/>
      <c r="C50" s="352" t="s">
        <v>46</v>
      </c>
      <c r="D50" s="352" t="s">
        <v>47</v>
      </c>
      <c r="E50" s="352" t="s">
        <v>108</v>
      </c>
      <c r="F50" s="437" t="s">
        <v>107</v>
      </c>
      <c r="G50" s="437"/>
      <c r="H50" s="437"/>
      <c r="I50" s="437"/>
      <c r="J50" s="437"/>
      <c r="K50" s="437"/>
      <c r="L50" s="437"/>
      <c r="M50" s="438"/>
      <c r="N50" s="73" t="s">
        <v>112</v>
      </c>
      <c r="O50" s="352" t="s">
        <v>46</v>
      </c>
      <c r="P50" s="439" t="s">
        <v>47</v>
      </c>
      <c r="Q50" s="440"/>
      <c r="R50" s="439" t="s">
        <v>38</v>
      </c>
      <c r="S50" s="441"/>
      <c r="T50" s="441"/>
      <c r="U50" s="440"/>
      <c r="V50" s="439" t="s">
        <v>48</v>
      </c>
      <c r="W50" s="441"/>
      <c r="X50" s="441"/>
      <c r="Y50" s="441"/>
      <c r="Z50" s="441"/>
      <c r="AA50" s="441"/>
      <c r="AB50" s="441"/>
      <c r="AC50" s="441"/>
      <c r="AD50" s="442"/>
    </row>
    <row r="51" spans="1:32" ht="27" customHeight="1">
      <c r="A51" s="420" t="s">
        <v>985</v>
      </c>
      <c r="B51" s="421"/>
      <c r="C51" s="351" t="s">
        <v>134</v>
      </c>
      <c r="D51" s="348" t="s">
        <v>158</v>
      </c>
      <c r="E51" s="351" t="s">
        <v>540</v>
      </c>
      <c r="F51" s="405" t="s">
        <v>1028</v>
      </c>
      <c r="G51" s="405"/>
      <c r="H51" s="405"/>
      <c r="I51" s="405"/>
      <c r="J51" s="405"/>
      <c r="K51" s="405"/>
      <c r="L51" s="405"/>
      <c r="M51" s="415"/>
      <c r="N51" s="347" t="s">
        <v>131</v>
      </c>
      <c r="O51" s="74" t="s">
        <v>518</v>
      </c>
      <c r="P51" s="422" t="s">
        <v>955</v>
      </c>
      <c r="Q51" s="423"/>
      <c r="R51" s="414" t="s">
        <v>960</v>
      </c>
      <c r="S51" s="414"/>
      <c r="T51" s="414"/>
      <c r="U51" s="414"/>
      <c r="V51" s="405" t="s">
        <v>961</v>
      </c>
      <c r="W51" s="405"/>
      <c r="X51" s="405"/>
      <c r="Y51" s="405"/>
      <c r="Z51" s="405"/>
      <c r="AA51" s="405"/>
      <c r="AB51" s="405"/>
      <c r="AC51" s="405"/>
      <c r="AD51" s="415"/>
    </row>
    <row r="52" spans="1:32" ht="27" customHeight="1">
      <c r="A52" s="420" t="s">
        <v>1029</v>
      </c>
      <c r="B52" s="421"/>
      <c r="C52" s="351" t="s">
        <v>267</v>
      </c>
      <c r="D52" s="348" t="s">
        <v>1030</v>
      </c>
      <c r="E52" s="351" t="s">
        <v>1040</v>
      </c>
      <c r="F52" s="405" t="s">
        <v>1038</v>
      </c>
      <c r="G52" s="405"/>
      <c r="H52" s="405"/>
      <c r="I52" s="405"/>
      <c r="J52" s="405"/>
      <c r="K52" s="405"/>
      <c r="L52" s="405"/>
      <c r="M52" s="415"/>
      <c r="N52" s="347" t="s">
        <v>143</v>
      </c>
      <c r="O52" s="74" t="s">
        <v>134</v>
      </c>
      <c r="P52" s="422" t="s">
        <v>492</v>
      </c>
      <c r="Q52" s="423"/>
      <c r="R52" s="414" t="s">
        <v>540</v>
      </c>
      <c r="S52" s="414"/>
      <c r="T52" s="414"/>
      <c r="U52" s="414"/>
      <c r="V52" s="405" t="s">
        <v>211</v>
      </c>
      <c r="W52" s="405"/>
      <c r="X52" s="405"/>
      <c r="Y52" s="405"/>
      <c r="Z52" s="405"/>
      <c r="AA52" s="405"/>
      <c r="AB52" s="405"/>
      <c r="AC52" s="405"/>
      <c r="AD52" s="415"/>
    </row>
    <row r="53" spans="1:32" ht="27" customHeight="1">
      <c r="A53" s="420" t="s">
        <v>1031</v>
      </c>
      <c r="B53" s="421"/>
      <c r="C53" s="351" t="s">
        <v>356</v>
      </c>
      <c r="D53" s="348" t="s">
        <v>158</v>
      </c>
      <c r="E53" s="351" t="s">
        <v>1032</v>
      </c>
      <c r="F53" s="405" t="s">
        <v>1033</v>
      </c>
      <c r="G53" s="405"/>
      <c r="H53" s="405"/>
      <c r="I53" s="405"/>
      <c r="J53" s="405"/>
      <c r="K53" s="405"/>
      <c r="L53" s="405"/>
      <c r="M53" s="415"/>
      <c r="N53" s="347" t="s">
        <v>796</v>
      </c>
      <c r="O53" s="74" t="s">
        <v>267</v>
      </c>
      <c r="P53" s="414" t="s">
        <v>1001</v>
      </c>
      <c r="Q53" s="414"/>
      <c r="R53" s="414" t="s">
        <v>998</v>
      </c>
      <c r="S53" s="414"/>
      <c r="T53" s="414"/>
      <c r="U53" s="414"/>
      <c r="V53" s="405" t="s">
        <v>1039</v>
      </c>
      <c r="W53" s="405"/>
      <c r="X53" s="405"/>
      <c r="Y53" s="405"/>
      <c r="Z53" s="405"/>
      <c r="AA53" s="405"/>
      <c r="AB53" s="405"/>
      <c r="AC53" s="405"/>
      <c r="AD53" s="415"/>
    </row>
    <row r="54" spans="1:32" ht="27" customHeight="1">
      <c r="A54" s="420" t="s">
        <v>178</v>
      </c>
      <c r="B54" s="421"/>
      <c r="C54" s="351" t="s">
        <v>1034</v>
      </c>
      <c r="D54" s="348" t="s">
        <v>158</v>
      </c>
      <c r="E54" s="351" t="s">
        <v>1035</v>
      </c>
      <c r="F54" s="405" t="s">
        <v>1036</v>
      </c>
      <c r="G54" s="405"/>
      <c r="H54" s="405"/>
      <c r="I54" s="405"/>
      <c r="J54" s="405"/>
      <c r="K54" s="405"/>
      <c r="L54" s="405"/>
      <c r="M54" s="415"/>
      <c r="N54" s="347" t="s">
        <v>1031</v>
      </c>
      <c r="O54" s="74" t="s">
        <v>1034</v>
      </c>
      <c r="P54" s="422" t="s">
        <v>158</v>
      </c>
      <c r="Q54" s="423"/>
      <c r="R54" s="414" t="s">
        <v>1035</v>
      </c>
      <c r="S54" s="414"/>
      <c r="T54" s="414"/>
      <c r="U54" s="414"/>
      <c r="V54" s="405" t="s">
        <v>211</v>
      </c>
      <c r="W54" s="405"/>
      <c r="X54" s="405"/>
      <c r="Y54" s="405"/>
      <c r="Z54" s="405"/>
      <c r="AA54" s="405"/>
      <c r="AB54" s="405"/>
      <c r="AC54" s="405"/>
      <c r="AD54" s="415"/>
    </row>
    <row r="55" spans="1:32" ht="27" customHeight="1">
      <c r="A55" s="420"/>
      <c r="B55" s="421"/>
      <c r="C55" s="351"/>
      <c r="D55" s="348"/>
      <c r="E55" s="351"/>
      <c r="F55" s="405"/>
      <c r="G55" s="405"/>
      <c r="H55" s="405"/>
      <c r="I55" s="405"/>
      <c r="J55" s="405"/>
      <c r="K55" s="405"/>
      <c r="L55" s="405"/>
      <c r="M55" s="415"/>
      <c r="N55" s="347"/>
      <c r="O55" s="74"/>
      <c r="P55" s="422"/>
      <c r="Q55" s="423"/>
      <c r="R55" s="414"/>
      <c r="S55" s="414"/>
      <c r="T55" s="414"/>
      <c r="U55" s="414"/>
      <c r="V55" s="405"/>
      <c r="W55" s="405"/>
      <c r="X55" s="405"/>
      <c r="Y55" s="405"/>
      <c r="Z55" s="405"/>
      <c r="AA55" s="405"/>
      <c r="AB55" s="405"/>
      <c r="AC55" s="405"/>
      <c r="AD55" s="415"/>
    </row>
    <row r="56" spans="1:32" ht="27" customHeight="1">
      <c r="A56" s="420"/>
      <c r="B56" s="421"/>
      <c r="C56" s="351"/>
      <c r="D56" s="348"/>
      <c r="E56" s="351"/>
      <c r="F56" s="405"/>
      <c r="G56" s="405"/>
      <c r="H56" s="405"/>
      <c r="I56" s="405"/>
      <c r="J56" s="405"/>
      <c r="K56" s="405"/>
      <c r="L56" s="405"/>
      <c r="M56" s="415"/>
      <c r="N56" s="347"/>
      <c r="O56" s="74"/>
      <c r="P56" s="414"/>
      <c r="Q56" s="414"/>
      <c r="R56" s="414"/>
      <c r="S56" s="414"/>
      <c r="T56" s="414"/>
      <c r="U56" s="414"/>
      <c r="V56" s="405"/>
      <c r="W56" s="405"/>
      <c r="X56" s="405"/>
      <c r="Y56" s="405"/>
      <c r="Z56" s="405"/>
      <c r="AA56" s="405"/>
      <c r="AB56" s="405"/>
      <c r="AC56" s="405"/>
      <c r="AD56" s="415"/>
    </row>
    <row r="57" spans="1:32" ht="27" customHeight="1">
      <c r="A57" s="420"/>
      <c r="B57" s="421"/>
      <c r="C57" s="351"/>
      <c r="D57" s="348"/>
      <c r="E57" s="351"/>
      <c r="F57" s="405"/>
      <c r="G57" s="405"/>
      <c r="H57" s="405"/>
      <c r="I57" s="405"/>
      <c r="J57" s="405"/>
      <c r="K57" s="405"/>
      <c r="L57" s="405"/>
      <c r="M57" s="415"/>
      <c r="N57" s="347"/>
      <c r="O57" s="74"/>
      <c r="P57" s="422"/>
      <c r="Q57" s="423"/>
      <c r="R57" s="414"/>
      <c r="S57" s="414"/>
      <c r="T57" s="414"/>
      <c r="U57" s="414"/>
      <c r="V57" s="405"/>
      <c r="W57" s="405"/>
      <c r="X57" s="405"/>
      <c r="Y57" s="405"/>
      <c r="Z57" s="405"/>
      <c r="AA57" s="405"/>
      <c r="AB57" s="405"/>
      <c r="AC57" s="405"/>
      <c r="AD57" s="415"/>
    </row>
    <row r="58" spans="1:32" ht="27" customHeight="1">
      <c r="A58" s="420"/>
      <c r="B58" s="421"/>
      <c r="C58" s="351"/>
      <c r="D58" s="348"/>
      <c r="E58" s="351"/>
      <c r="F58" s="405"/>
      <c r="G58" s="405"/>
      <c r="H58" s="405"/>
      <c r="I58" s="405"/>
      <c r="J58" s="405"/>
      <c r="K58" s="405"/>
      <c r="L58" s="405"/>
      <c r="M58" s="415"/>
      <c r="N58" s="347"/>
      <c r="O58" s="74"/>
      <c r="P58" s="422"/>
      <c r="Q58" s="423"/>
      <c r="R58" s="414"/>
      <c r="S58" s="414"/>
      <c r="T58" s="414"/>
      <c r="U58" s="414"/>
      <c r="V58" s="405"/>
      <c r="W58" s="405"/>
      <c r="X58" s="405"/>
      <c r="Y58" s="405"/>
      <c r="Z58" s="405"/>
      <c r="AA58" s="405"/>
      <c r="AB58" s="405"/>
      <c r="AC58" s="405"/>
      <c r="AD58" s="415"/>
    </row>
    <row r="59" spans="1:32" ht="27" customHeight="1">
      <c r="A59" s="413"/>
      <c r="B59" s="414"/>
      <c r="C59" s="348"/>
      <c r="D59" s="348"/>
      <c r="E59" s="348"/>
      <c r="F59" s="405"/>
      <c r="G59" s="405"/>
      <c r="H59" s="405"/>
      <c r="I59" s="405"/>
      <c r="J59" s="405"/>
      <c r="K59" s="405"/>
      <c r="L59" s="405"/>
      <c r="M59" s="415"/>
      <c r="N59" s="347"/>
      <c r="O59" s="74"/>
      <c r="P59" s="414"/>
      <c r="Q59" s="414"/>
      <c r="R59" s="414"/>
      <c r="S59" s="414"/>
      <c r="T59" s="414"/>
      <c r="U59" s="414"/>
      <c r="V59" s="405"/>
      <c r="W59" s="405"/>
      <c r="X59" s="405"/>
      <c r="Y59" s="405"/>
      <c r="Z59" s="405"/>
      <c r="AA59" s="405"/>
      <c r="AB59" s="405"/>
      <c r="AC59" s="405"/>
      <c r="AD59" s="415"/>
      <c r="AF59" s="94">
        <f>8*3000</f>
        <v>24000</v>
      </c>
    </row>
    <row r="60" spans="1:32" ht="27" customHeight="1" thickBot="1">
      <c r="A60" s="416"/>
      <c r="B60" s="417"/>
      <c r="C60" s="350"/>
      <c r="D60" s="350"/>
      <c r="E60" s="350"/>
      <c r="F60" s="418"/>
      <c r="G60" s="418"/>
      <c r="H60" s="418"/>
      <c r="I60" s="418"/>
      <c r="J60" s="418"/>
      <c r="K60" s="418"/>
      <c r="L60" s="418"/>
      <c r="M60" s="419"/>
      <c r="N60" s="349"/>
      <c r="O60" s="121"/>
      <c r="P60" s="417"/>
      <c r="Q60" s="417"/>
      <c r="R60" s="417"/>
      <c r="S60" s="417"/>
      <c r="T60" s="417"/>
      <c r="U60" s="417"/>
      <c r="V60" s="418"/>
      <c r="W60" s="418"/>
      <c r="X60" s="418"/>
      <c r="Y60" s="418"/>
      <c r="Z60" s="418"/>
      <c r="AA60" s="418"/>
      <c r="AB60" s="418"/>
      <c r="AC60" s="418"/>
      <c r="AD60" s="419"/>
      <c r="AF60" s="94">
        <f>16*3000</f>
        <v>48000</v>
      </c>
    </row>
    <row r="61" spans="1:32" ht="27.75" thickBot="1">
      <c r="A61" s="411" t="s">
        <v>1051</v>
      </c>
      <c r="B61" s="411"/>
      <c r="C61" s="411"/>
      <c r="D61" s="411"/>
      <c r="E61" s="41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12" t="s">
        <v>113</v>
      </c>
      <c r="B62" s="409"/>
      <c r="C62" s="346" t="s">
        <v>2</v>
      </c>
      <c r="D62" s="346" t="s">
        <v>37</v>
      </c>
      <c r="E62" s="34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346" t="s">
        <v>40</v>
      </c>
      <c r="N62" s="409" t="s">
        <v>41</v>
      </c>
      <c r="O62" s="409"/>
      <c r="P62" s="406" t="s">
        <v>42</v>
      </c>
      <c r="Q62" s="408"/>
      <c r="R62" s="406" t="s">
        <v>43</v>
      </c>
      <c r="S62" s="407"/>
      <c r="T62" s="407"/>
      <c r="U62" s="407"/>
      <c r="V62" s="407"/>
      <c r="W62" s="407"/>
      <c r="X62" s="407"/>
      <c r="Y62" s="407"/>
      <c r="Z62" s="407"/>
      <c r="AA62" s="408"/>
      <c r="AB62" s="409" t="s">
        <v>44</v>
      </c>
      <c r="AC62" s="409"/>
      <c r="AD62" s="410"/>
      <c r="AF62" s="94">
        <f>SUM(AF59:AF61)</f>
        <v>96000</v>
      </c>
    </row>
    <row r="63" spans="1:32" ht="25.5" customHeight="1">
      <c r="A63" s="401">
        <v>1</v>
      </c>
      <c r="B63" s="402"/>
      <c r="C63" s="124" t="s">
        <v>796</v>
      </c>
      <c r="D63" s="342"/>
      <c r="E63" s="345" t="s">
        <v>1025</v>
      </c>
      <c r="F63" s="403" t="s">
        <v>1040</v>
      </c>
      <c r="G63" s="395"/>
      <c r="H63" s="395"/>
      <c r="I63" s="395"/>
      <c r="J63" s="395"/>
      <c r="K63" s="395" t="s">
        <v>1041</v>
      </c>
      <c r="L63" s="395"/>
      <c r="M63" s="54" t="s">
        <v>970</v>
      </c>
      <c r="N63" s="395">
        <v>14</v>
      </c>
      <c r="O63" s="395"/>
      <c r="P63" s="404">
        <v>50</v>
      </c>
      <c r="Q63" s="404"/>
      <c r="R63" s="405" t="s">
        <v>1042</v>
      </c>
      <c r="S63" s="405"/>
      <c r="T63" s="405"/>
      <c r="U63" s="405"/>
      <c r="V63" s="405"/>
      <c r="W63" s="405"/>
      <c r="X63" s="405"/>
      <c r="Y63" s="405"/>
      <c r="Z63" s="405"/>
      <c r="AA63" s="405"/>
      <c r="AB63" s="395"/>
      <c r="AC63" s="395"/>
      <c r="AD63" s="396"/>
      <c r="AF63" s="53"/>
    </row>
    <row r="64" spans="1:32" ht="25.5" customHeight="1">
      <c r="A64" s="401">
        <v>2</v>
      </c>
      <c r="B64" s="402"/>
      <c r="C64" s="124" t="s">
        <v>796</v>
      </c>
      <c r="D64" s="342"/>
      <c r="E64" s="345" t="s">
        <v>1043</v>
      </c>
      <c r="F64" s="403" t="s">
        <v>1044</v>
      </c>
      <c r="G64" s="395"/>
      <c r="H64" s="395"/>
      <c r="I64" s="395"/>
      <c r="J64" s="395"/>
      <c r="K64" s="395" t="s">
        <v>1045</v>
      </c>
      <c r="L64" s="395"/>
      <c r="M64" s="54" t="s">
        <v>1046</v>
      </c>
      <c r="N64" s="395">
        <v>5</v>
      </c>
      <c r="O64" s="395"/>
      <c r="P64" s="404">
        <v>100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5"/>
      <c r="AC64" s="395"/>
      <c r="AD64" s="396"/>
      <c r="AF64" s="53"/>
    </row>
    <row r="65" spans="1:32" ht="25.5" customHeight="1">
      <c r="A65" s="401">
        <v>3</v>
      </c>
      <c r="B65" s="402"/>
      <c r="C65" s="124" t="s">
        <v>178</v>
      </c>
      <c r="D65" s="342"/>
      <c r="E65" s="345" t="s">
        <v>1047</v>
      </c>
      <c r="F65" s="403" t="s">
        <v>1048</v>
      </c>
      <c r="G65" s="395"/>
      <c r="H65" s="395"/>
      <c r="I65" s="395"/>
      <c r="J65" s="395"/>
      <c r="K65" s="395" t="s">
        <v>1049</v>
      </c>
      <c r="L65" s="395"/>
      <c r="M65" s="54" t="s">
        <v>1050</v>
      </c>
      <c r="N65" s="395">
        <v>9</v>
      </c>
      <c r="O65" s="395"/>
      <c r="P65" s="404">
        <v>20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5"/>
      <c r="AC65" s="395"/>
      <c r="AD65" s="396"/>
      <c r="AF65" s="53"/>
    </row>
    <row r="66" spans="1:32" ht="25.5" customHeight="1">
      <c r="A66" s="401">
        <v>4</v>
      </c>
      <c r="B66" s="402"/>
      <c r="C66" s="124"/>
      <c r="D66" s="342"/>
      <c r="E66" s="345"/>
      <c r="F66" s="403"/>
      <c r="G66" s="395"/>
      <c r="H66" s="395"/>
      <c r="I66" s="395"/>
      <c r="J66" s="395"/>
      <c r="K66" s="395"/>
      <c r="L66" s="395"/>
      <c r="M66" s="54"/>
      <c r="N66" s="395"/>
      <c r="O66" s="395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5"/>
      <c r="AC66" s="395"/>
      <c r="AD66" s="396"/>
      <c r="AF66" s="53"/>
    </row>
    <row r="67" spans="1:32" ht="25.5" customHeight="1">
      <c r="A67" s="401">
        <v>5</v>
      </c>
      <c r="B67" s="402"/>
      <c r="C67" s="124"/>
      <c r="D67" s="342"/>
      <c r="E67" s="345"/>
      <c r="F67" s="403"/>
      <c r="G67" s="395"/>
      <c r="H67" s="395"/>
      <c r="I67" s="395"/>
      <c r="J67" s="395"/>
      <c r="K67" s="395"/>
      <c r="L67" s="395"/>
      <c r="M67" s="54"/>
      <c r="N67" s="395"/>
      <c r="O67" s="395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5"/>
      <c r="AC67" s="395"/>
      <c r="AD67" s="396"/>
      <c r="AF67" s="53"/>
    </row>
    <row r="68" spans="1:32" ht="25.5" customHeight="1">
      <c r="A68" s="401">
        <v>6</v>
      </c>
      <c r="B68" s="402"/>
      <c r="C68" s="124"/>
      <c r="D68" s="342"/>
      <c r="E68" s="345"/>
      <c r="F68" s="403"/>
      <c r="G68" s="395"/>
      <c r="H68" s="395"/>
      <c r="I68" s="395"/>
      <c r="J68" s="395"/>
      <c r="K68" s="395"/>
      <c r="L68" s="395"/>
      <c r="M68" s="54"/>
      <c r="N68" s="395"/>
      <c r="O68" s="395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5"/>
      <c r="AC68" s="395"/>
      <c r="AD68" s="396"/>
      <c r="AF68" s="53"/>
    </row>
    <row r="69" spans="1:32" ht="25.5" customHeight="1">
      <c r="A69" s="401">
        <v>7</v>
      </c>
      <c r="B69" s="402"/>
      <c r="C69" s="124"/>
      <c r="D69" s="342"/>
      <c r="E69" s="345"/>
      <c r="F69" s="403"/>
      <c r="G69" s="395"/>
      <c r="H69" s="395"/>
      <c r="I69" s="395"/>
      <c r="J69" s="395"/>
      <c r="K69" s="395"/>
      <c r="L69" s="395"/>
      <c r="M69" s="54"/>
      <c r="N69" s="395"/>
      <c r="O69" s="395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5"/>
      <c r="AC69" s="395"/>
      <c r="AD69" s="396"/>
      <c r="AF69" s="53"/>
    </row>
    <row r="70" spans="1:32" ht="25.5" customHeight="1">
      <c r="A70" s="401">
        <v>8</v>
      </c>
      <c r="B70" s="402"/>
      <c r="C70" s="124"/>
      <c r="D70" s="342"/>
      <c r="E70" s="345"/>
      <c r="F70" s="403"/>
      <c r="G70" s="395"/>
      <c r="H70" s="395"/>
      <c r="I70" s="395"/>
      <c r="J70" s="395"/>
      <c r="K70" s="395"/>
      <c r="L70" s="395"/>
      <c r="M70" s="54"/>
      <c r="N70" s="395"/>
      <c r="O70" s="395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5"/>
      <c r="AC70" s="395"/>
      <c r="AD70" s="396"/>
      <c r="AF70" s="53"/>
    </row>
    <row r="71" spans="1:32" ht="26.25" customHeight="1" thickBot="1">
      <c r="A71" s="375" t="s">
        <v>1052</v>
      </c>
      <c r="B71" s="375"/>
      <c r="C71" s="375"/>
      <c r="D71" s="375"/>
      <c r="E71" s="375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76" t="s">
        <v>113</v>
      </c>
      <c r="B72" s="377"/>
      <c r="C72" s="344" t="s">
        <v>2</v>
      </c>
      <c r="D72" s="344" t="s">
        <v>37</v>
      </c>
      <c r="E72" s="344" t="s">
        <v>3</v>
      </c>
      <c r="F72" s="377" t="s">
        <v>38</v>
      </c>
      <c r="G72" s="377"/>
      <c r="H72" s="377"/>
      <c r="I72" s="377"/>
      <c r="J72" s="377"/>
      <c r="K72" s="397" t="s">
        <v>58</v>
      </c>
      <c r="L72" s="398"/>
      <c r="M72" s="398"/>
      <c r="N72" s="398"/>
      <c r="O72" s="398"/>
      <c r="P72" s="398"/>
      <c r="Q72" s="398"/>
      <c r="R72" s="398"/>
      <c r="S72" s="399"/>
      <c r="T72" s="377" t="s">
        <v>49</v>
      </c>
      <c r="U72" s="377"/>
      <c r="V72" s="397" t="s">
        <v>50</v>
      </c>
      <c r="W72" s="399"/>
      <c r="X72" s="398" t="s">
        <v>51</v>
      </c>
      <c r="Y72" s="398"/>
      <c r="Z72" s="398"/>
      <c r="AA72" s="398"/>
      <c r="AB72" s="398"/>
      <c r="AC72" s="398"/>
      <c r="AD72" s="400"/>
      <c r="AF72" s="53"/>
    </row>
    <row r="73" spans="1:32" ht="33.75" customHeight="1">
      <c r="A73" s="369">
        <v>1</v>
      </c>
      <c r="B73" s="370"/>
      <c r="C73" s="343" t="s">
        <v>114</v>
      </c>
      <c r="D73" s="343"/>
      <c r="E73" s="71" t="s">
        <v>119</v>
      </c>
      <c r="F73" s="384" t="s">
        <v>120</v>
      </c>
      <c r="G73" s="385"/>
      <c r="H73" s="385"/>
      <c r="I73" s="385"/>
      <c r="J73" s="386"/>
      <c r="K73" s="387" t="s">
        <v>115</v>
      </c>
      <c r="L73" s="388"/>
      <c r="M73" s="388"/>
      <c r="N73" s="388"/>
      <c r="O73" s="388"/>
      <c r="P73" s="388"/>
      <c r="Q73" s="388"/>
      <c r="R73" s="388"/>
      <c r="S73" s="389"/>
      <c r="T73" s="390">
        <v>42901</v>
      </c>
      <c r="U73" s="391"/>
      <c r="V73" s="392"/>
      <c r="W73" s="392"/>
      <c r="X73" s="393"/>
      <c r="Y73" s="393"/>
      <c r="Z73" s="393"/>
      <c r="AA73" s="393"/>
      <c r="AB73" s="393"/>
      <c r="AC73" s="393"/>
      <c r="AD73" s="394"/>
      <c r="AF73" s="53"/>
    </row>
    <row r="74" spans="1:32" ht="30" customHeight="1">
      <c r="A74" s="362">
        <f>A73+1</f>
        <v>2</v>
      </c>
      <c r="B74" s="363"/>
      <c r="C74" s="342" t="s">
        <v>114</v>
      </c>
      <c r="D74" s="342"/>
      <c r="E74" s="35" t="s">
        <v>116</v>
      </c>
      <c r="F74" s="363" t="s">
        <v>117</v>
      </c>
      <c r="G74" s="363"/>
      <c r="H74" s="363"/>
      <c r="I74" s="363"/>
      <c r="J74" s="363"/>
      <c r="K74" s="378" t="s">
        <v>118</v>
      </c>
      <c r="L74" s="379"/>
      <c r="M74" s="379"/>
      <c r="N74" s="379"/>
      <c r="O74" s="379"/>
      <c r="P74" s="379"/>
      <c r="Q74" s="379"/>
      <c r="R74" s="379"/>
      <c r="S74" s="380"/>
      <c r="T74" s="381">
        <v>42867</v>
      </c>
      <c r="U74" s="381"/>
      <c r="V74" s="381"/>
      <c r="W74" s="381"/>
      <c r="X74" s="382"/>
      <c r="Y74" s="382"/>
      <c r="Z74" s="382"/>
      <c r="AA74" s="382"/>
      <c r="AB74" s="382"/>
      <c r="AC74" s="382"/>
      <c r="AD74" s="383"/>
      <c r="AF74" s="53"/>
    </row>
    <row r="75" spans="1:32" ht="30" customHeight="1">
      <c r="A75" s="362">
        <f t="shared" ref="A75:A81" si="12">A74+1</f>
        <v>3</v>
      </c>
      <c r="B75" s="363"/>
      <c r="C75" s="342"/>
      <c r="D75" s="342"/>
      <c r="E75" s="35"/>
      <c r="F75" s="363"/>
      <c r="G75" s="363"/>
      <c r="H75" s="363"/>
      <c r="I75" s="363"/>
      <c r="J75" s="363"/>
      <c r="K75" s="378"/>
      <c r="L75" s="379"/>
      <c r="M75" s="379"/>
      <c r="N75" s="379"/>
      <c r="O75" s="379"/>
      <c r="P75" s="379"/>
      <c r="Q75" s="379"/>
      <c r="R75" s="379"/>
      <c r="S75" s="380"/>
      <c r="T75" s="381"/>
      <c r="U75" s="381"/>
      <c r="V75" s="381"/>
      <c r="W75" s="381"/>
      <c r="X75" s="382"/>
      <c r="Y75" s="382"/>
      <c r="Z75" s="382"/>
      <c r="AA75" s="382"/>
      <c r="AB75" s="382"/>
      <c r="AC75" s="382"/>
      <c r="AD75" s="383"/>
      <c r="AF75" s="53"/>
    </row>
    <row r="76" spans="1:32" ht="30" customHeight="1">
      <c r="A76" s="362">
        <f t="shared" si="12"/>
        <v>4</v>
      </c>
      <c r="B76" s="363"/>
      <c r="C76" s="342"/>
      <c r="D76" s="342"/>
      <c r="E76" s="35"/>
      <c r="F76" s="363"/>
      <c r="G76" s="363"/>
      <c r="H76" s="363"/>
      <c r="I76" s="363"/>
      <c r="J76" s="363"/>
      <c r="K76" s="378"/>
      <c r="L76" s="379"/>
      <c r="M76" s="379"/>
      <c r="N76" s="379"/>
      <c r="O76" s="379"/>
      <c r="P76" s="379"/>
      <c r="Q76" s="379"/>
      <c r="R76" s="379"/>
      <c r="S76" s="380"/>
      <c r="T76" s="381"/>
      <c r="U76" s="381"/>
      <c r="V76" s="381"/>
      <c r="W76" s="381"/>
      <c r="X76" s="382"/>
      <c r="Y76" s="382"/>
      <c r="Z76" s="382"/>
      <c r="AA76" s="382"/>
      <c r="AB76" s="382"/>
      <c r="AC76" s="382"/>
      <c r="AD76" s="383"/>
      <c r="AF76" s="53"/>
    </row>
    <row r="77" spans="1:32" ht="30" customHeight="1">
      <c r="A77" s="362">
        <f t="shared" si="12"/>
        <v>5</v>
      </c>
      <c r="B77" s="363"/>
      <c r="C77" s="342"/>
      <c r="D77" s="342"/>
      <c r="E77" s="35"/>
      <c r="F77" s="363"/>
      <c r="G77" s="363"/>
      <c r="H77" s="363"/>
      <c r="I77" s="363"/>
      <c r="J77" s="363"/>
      <c r="K77" s="378"/>
      <c r="L77" s="379"/>
      <c r="M77" s="379"/>
      <c r="N77" s="379"/>
      <c r="O77" s="379"/>
      <c r="P77" s="379"/>
      <c r="Q77" s="379"/>
      <c r="R77" s="379"/>
      <c r="S77" s="380"/>
      <c r="T77" s="381"/>
      <c r="U77" s="381"/>
      <c r="V77" s="381"/>
      <c r="W77" s="381"/>
      <c r="X77" s="382"/>
      <c r="Y77" s="382"/>
      <c r="Z77" s="382"/>
      <c r="AA77" s="382"/>
      <c r="AB77" s="382"/>
      <c r="AC77" s="382"/>
      <c r="AD77" s="383"/>
      <c r="AF77" s="53"/>
    </row>
    <row r="78" spans="1:32" ht="30" customHeight="1">
      <c r="A78" s="362">
        <f t="shared" si="12"/>
        <v>6</v>
      </c>
      <c r="B78" s="363"/>
      <c r="C78" s="342"/>
      <c r="D78" s="342"/>
      <c r="E78" s="35"/>
      <c r="F78" s="363"/>
      <c r="G78" s="363"/>
      <c r="H78" s="363"/>
      <c r="I78" s="363"/>
      <c r="J78" s="363"/>
      <c r="K78" s="378"/>
      <c r="L78" s="379"/>
      <c r="M78" s="379"/>
      <c r="N78" s="379"/>
      <c r="O78" s="379"/>
      <c r="P78" s="379"/>
      <c r="Q78" s="379"/>
      <c r="R78" s="379"/>
      <c r="S78" s="380"/>
      <c r="T78" s="381"/>
      <c r="U78" s="381"/>
      <c r="V78" s="381"/>
      <c r="W78" s="381"/>
      <c r="X78" s="382"/>
      <c r="Y78" s="382"/>
      <c r="Z78" s="382"/>
      <c r="AA78" s="382"/>
      <c r="AB78" s="382"/>
      <c r="AC78" s="382"/>
      <c r="AD78" s="383"/>
      <c r="AF78" s="53"/>
    </row>
    <row r="79" spans="1:32" ht="30" customHeight="1">
      <c r="A79" s="362">
        <f t="shared" si="12"/>
        <v>7</v>
      </c>
      <c r="B79" s="363"/>
      <c r="C79" s="342"/>
      <c r="D79" s="342"/>
      <c r="E79" s="35"/>
      <c r="F79" s="363"/>
      <c r="G79" s="363"/>
      <c r="H79" s="363"/>
      <c r="I79" s="363"/>
      <c r="J79" s="363"/>
      <c r="K79" s="378"/>
      <c r="L79" s="379"/>
      <c r="M79" s="379"/>
      <c r="N79" s="379"/>
      <c r="O79" s="379"/>
      <c r="P79" s="379"/>
      <c r="Q79" s="379"/>
      <c r="R79" s="379"/>
      <c r="S79" s="380"/>
      <c r="T79" s="381"/>
      <c r="U79" s="381"/>
      <c r="V79" s="381"/>
      <c r="W79" s="381"/>
      <c r="X79" s="382"/>
      <c r="Y79" s="382"/>
      <c r="Z79" s="382"/>
      <c r="AA79" s="382"/>
      <c r="AB79" s="382"/>
      <c r="AC79" s="382"/>
      <c r="AD79" s="383"/>
      <c r="AF79" s="53"/>
    </row>
    <row r="80" spans="1:32" ht="30" customHeight="1">
      <c r="A80" s="362">
        <f t="shared" si="12"/>
        <v>8</v>
      </c>
      <c r="B80" s="363"/>
      <c r="C80" s="342"/>
      <c r="D80" s="342"/>
      <c r="E80" s="35"/>
      <c r="F80" s="363"/>
      <c r="G80" s="363"/>
      <c r="H80" s="363"/>
      <c r="I80" s="363"/>
      <c r="J80" s="363"/>
      <c r="K80" s="378"/>
      <c r="L80" s="379"/>
      <c r="M80" s="379"/>
      <c r="N80" s="379"/>
      <c r="O80" s="379"/>
      <c r="P80" s="379"/>
      <c r="Q80" s="379"/>
      <c r="R80" s="379"/>
      <c r="S80" s="380"/>
      <c r="T80" s="381"/>
      <c r="U80" s="381"/>
      <c r="V80" s="381"/>
      <c r="W80" s="381"/>
      <c r="X80" s="382"/>
      <c r="Y80" s="382"/>
      <c r="Z80" s="382"/>
      <c r="AA80" s="382"/>
      <c r="AB80" s="382"/>
      <c r="AC80" s="382"/>
      <c r="AD80" s="383"/>
      <c r="AF80" s="53"/>
    </row>
    <row r="81" spans="1:32" ht="30" customHeight="1">
      <c r="A81" s="362">
        <f t="shared" si="12"/>
        <v>9</v>
      </c>
      <c r="B81" s="363"/>
      <c r="C81" s="342"/>
      <c r="D81" s="342"/>
      <c r="E81" s="35"/>
      <c r="F81" s="363"/>
      <c r="G81" s="363"/>
      <c r="H81" s="363"/>
      <c r="I81" s="363"/>
      <c r="J81" s="363"/>
      <c r="K81" s="378"/>
      <c r="L81" s="379"/>
      <c r="M81" s="379"/>
      <c r="N81" s="379"/>
      <c r="O81" s="379"/>
      <c r="P81" s="379"/>
      <c r="Q81" s="379"/>
      <c r="R81" s="379"/>
      <c r="S81" s="380"/>
      <c r="T81" s="381"/>
      <c r="U81" s="381"/>
      <c r="V81" s="381"/>
      <c r="W81" s="381"/>
      <c r="X81" s="382"/>
      <c r="Y81" s="382"/>
      <c r="Z81" s="382"/>
      <c r="AA81" s="382"/>
      <c r="AB81" s="382"/>
      <c r="AC81" s="382"/>
      <c r="AD81" s="383"/>
      <c r="AF81" s="53"/>
    </row>
    <row r="82" spans="1:32" ht="36" thickBot="1">
      <c r="A82" s="375" t="s">
        <v>1053</v>
      </c>
      <c r="B82" s="375"/>
      <c r="C82" s="375"/>
      <c r="D82" s="375"/>
      <c r="E82" s="375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76" t="s">
        <v>113</v>
      </c>
      <c r="B83" s="377"/>
      <c r="C83" s="367" t="s">
        <v>52</v>
      </c>
      <c r="D83" s="367"/>
      <c r="E83" s="367" t="s">
        <v>53</v>
      </c>
      <c r="F83" s="367"/>
      <c r="G83" s="367"/>
      <c r="H83" s="367"/>
      <c r="I83" s="367"/>
      <c r="J83" s="367"/>
      <c r="K83" s="367" t="s">
        <v>54</v>
      </c>
      <c r="L83" s="367"/>
      <c r="M83" s="367"/>
      <c r="N83" s="367"/>
      <c r="O83" s="367"/>
      <c r="P83" s="367"/>
      <c r="Q83" s="367"/>
      <c r="R83" s="367"/>
      <c r="S83" s="367"/>
      <c r="T83" s="367" t="s">
        <v>55</v>
      </c>
      <c r="U83" s="367"/>
      <c r="V83" s="367" t="s">
        <v>56</v>
      </c>
      <c r="W83" s="367"/>
      <c r="X83" s="367"/>
      <c r="Y83" s="367" t="s">
        <v>51</v>
      </c>
      <c r="Z83" s="367"/>
      <c r="AA83" s="367"/>
      <c r="AB83" s="367"/>
      <c r="AC83" s="367"/>
      <c r="AD83" s="368"/>
      <c r="AF83" s="53"/>
    </row>
    <row r="84" spans="1:32" ht="30.75" customHeight="1">
      <c r="A84" s="369">
        <v>1</v>
      </c>
      <c r="B84" s="370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2"/>
      <c r="W84" s="372"/>
      <c r="X84" s="372"/>
      <c r="Y84" s="373"/>
      <c r="Z84" s="373"/>
      <c r="AA84" s="373"/>
      <c r="AB84" s="373"/>
      <c r="AC84" s="373"/>
      <c r="AD84" s="374"/>
      <c r="AF84" s="53"/>
    </row>
    <row r="85" spans="1:32" ht="30.75" customHeight="1">
      <c r="A85" s="362">
        <v>2</v>
      </c>
      <c r="B85" s="363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5"/>
      <c r="U85" s="365"/>
      <c r="V85" s="366"/>
      <c r="W85" s="366"/>
      <c r="X85" s="366"/>
      <c r="Y85" s="355"/>
      <c r="Z85" s="355"/>
      <c r="AA85" s="355"/>
      <c r="AB85" s="355"/>
      <c r="AC85" s="355"/>
      <c r="AD85" s="356"/>
      <c r="AF85" s="53"/>
    </row>
    <row r="86" spans="1:32" ht="30.75" customHeight="1" thickBot="1">
      <c r="A86" s="357">
        <v>3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60"/>
      <c r="Z86" s="360"/>
      <c r="AA86" s="360"/>
      <c r="AB86" s="360"/>
      <c r="AC86" s="360"/>
      <c r="AD86" s="3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이름이 지정된 범위</vt:lpstr>
      </vt:variant>
      <vt:variant>
        <vt:i4>22</vt:i4>
      </vt:variant>
    </vt:vector>
  </HeadingPairs>
  <TitlesOfParts>
    <vt:vector size="45" baseType="lpstr">
      <vt:lpstr>총괄</vt:lpstr>
      <vt:lpstr>02</vt:lpstr>
      <vt:lpstr>03</vt:lpstr>
      <vt:lpstr>04</vt:lpstr>
      <vt:lpstr>05</vt:lpstr>
      <vt:lpstr>08</vt:lpstr>
      <vt:lpstr>09</vt:lpstr>
      <vt:lpstr>10</vt:lpstr>
      <vt:lpstr>11</vt:lpstr>
      <vt:lpstr>12</vt:lpstr>
      <vt:lpstr>15</vt:lpstr>
      <vt:lpstr>16</vt:lpstr>
      <vt:lpstr>17</vt:lpstr>
      <vt:lpstr>18</vt:lpstr>
      <vt:lpstr>19</vt:lpstr>
      <vt:lpstr>22</vt:lpstr>
      <vt:lpstr>23</vt:lpstr>
      <vt:lpstr>24</vt:lpstr>
      <vt:lpstr>25</vt:lpstr>
      <vt:lpstr>26</vt:lpstr>
      <vt:lpstr>29</vt:lpstr>
      <vt:lpstr>30</vt:lpstr>
      <vt:lpstr>31</vt:lpstr>
      <vt:lpstr>'02'!Print_Area</vt:lpstr>
      <vt:lpstr>'03'!Print_Area</vt:lpstr>
      <vt:lpstr>'04'!Print_Area</vt:lpstr>
      <vt:lpstr>'05'!Print_Area</vt:lpstr>
      <vt:lpstr>'08'!Print_Area</vt:lpstr>
      <vt:lpstr>'09'!Print_Area</vt:lpstr>
      <vt:lpstr>'10'!Print_Area</vt:lpstr>
      <vt:lpstr>'11'!Print_Area</vt:lpstr>
      <vt:lpstr>'12'!Print_Area</vt:lpstr>
      <vt:lpstr>'15'!Print_Area</vt:lpstr>
      <vt:lpstr>'16'!Print_Area</vt:lpstr>
      <vt:lpstr>'17'!Print_Area</vt:lpstr>
      <vt:lpstr>'18'!Print_Area</vt:lpstr>
      <vt:lpstr>'19'!Print_Area</vt:lpstr>
      <vt:lpstr>'22'!Print_Area</vt:lpstr>
      <vt:lpstr>'23'!Print_Area</vt:lpstr>
      <vt:lpstr>'24'!Print_Area</vt:lpstr>
      <vt:lpstr>'25'!Print_Area</vt:lpstr>
      <vt:lpstr>'26'!Print_Area</vt:lpstr>
      <vt:lpstr>'29'!Print_Area</vt:lpstr>
      <vt:lpstr>'30'!Print_Area</vt:lpstr>
      <vt:lpstr>'31'!Print_Area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2018-02-02T07:39:30Z</dcterms:modified>
</cp:coreProperties>
</file>