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18년도\일일업무\생산일보\"/>
    </mc:Choice>
  </mc:AlternateContent>
  <xr:revisionPtr revIDLastSave="0" documentId="13_ncr:1_{FF6319AE-212E-4DF3-B6F9-0545CB6343ED}" xr6:coauthVersionLast="38" xr6:coauthVersionMax="38" xr10:uidLastSave="{00000000-0000-0000-0000-000000000000}"/>
  <bookViews>
    <workbookView xWindow="480" yWindow="1470" windowWidth="14880" windowHeight="7125" activeTab="18" xr2:uid="{00000000-000D-0000-FFFF-FFFF00000000}"/>
  </bookViews>
  <sheets>
    <sheet name="총괄" sheetId="16" r:id="rId1"/>
    <sheet name="01" sheetId="1290" r:id="rId2"/>
    <sheet name="02" sheetId="1291" r:id="rId3"/>
    <sheet name="04" sheetId="1292" r:id="rId4"/>
    <sheet name="05" sheetId="1293" r:id="rId5"/>
    <sheet name="08" sheetId="1294" r:id="rId6"/>
    <sheet name="10" sheetId="1295" r:id="rId7"/>
    <sheet name="11" sheetId="1296" r:id="rId8"/>
    <sheet name="15" sheetId="1297" r:id="rId9"/>
    <sheet name="16" sheetId="1298" r:id="rId10"/>
    <sheet name="17" sheetId="1299" r:id="rId11"/>
    <sheet name="18" sheetId="1300" r:id="rId12"/>
    <sheet name="22" sheetId="1301" r:id="rId13"/>
    <sheet name="23" sheetId="1302" r:id="rId14"/>
    <sheet name="24" sheetId="1303" r:id="rId15"/>
    <sheet name="25" sheetId="1304" r:id="rId16"/>
    <sheet name="29" sheetId="1305" r:id="rId17"/>
    <sheet name="30" sheetId="1306" r:id="rId18"/>
    <sheet name="31" sheetId="1307" r:id="rId19"/>
  </sheets>
  <definedNames>
    <definedName name="_xlnm.Print_Area" localSheetId="1">'01'!$A$1:$AD$87</definedName>
    <definedName name="_xlnm.Print_Area" localSheetId="2">'02'!$A$1:$AD$88</definedName>
    <definedName name="_xlnm.Print_Area" localSheetId="3">'04'!$A$1:$AD$86</definedName>
    <definedName name="_xlnm.Print_Area" localSheetId="4">'05'!$A$1:$AD$87</definedName>
    <definedName name="_xlnm.Print_Area" localSheetId="5">'08'!$A$1:$AD$87</definedName>
    <definedName name="_xlnm.Print_Area" localSheetId="6">'10'!$A$1:$AD$86</definedName>
    <definedName name="_xlnm.Print_Area" localSheetId="7">'11'!$A$1:$AD$86</definedName>
    <definedName name="_xlnm.Print_Area" localSheetId="8">'15'!$A$1:$AD$86</definedName>
    <definedName name="_xlnm.Print_Area" localSheetId="9">'16'!$A$1:$AD$86</definedName>
    <definedName name="_xlnm.Print_Area" localSheetId="10">'17'!$A$1:$AD$86</definedName>
    <definedName name="_xlnm.Print_Area" localSheetId="11">'18'!$A$1:$AD$88</definedName>
    <definedName name="_xlnm.Print_Area" localSheetId="12">'22'!$A$1:$AD$86</definedName>
    <definedName name="_xlnm.Print_Area" localSheetId="13">'23'!$A$1:$AD$88</definedName>
    <definedName name="_xlnm.Print_Area" localSheetId="14">'24'!$A$1:$AD$89</definedName>
    <definedName name="_xlnm.Print_Area" localSheetId="15">'25'!$A$1:$AD$87</definedName>
    <definedName name="_xlnm.Print_Area" localSheetId="16">'29'!$A$1:$AD$86</definedName>
    <definedName name="_xlnm.Print_Area" localSheetId="17">'30'!$A$1:$AD$87</definedName>
    <definedName name="_xlnm.Print_Area" localSheetId="18">'31'!$A$1:$AD$86</definedName>
  </definedNames>
  <calcPr calcId="162913"/>
</workbook>
</file>

<file path=xl/calcChain.xml><?xml version="1.0" encoding="utf-8"?>
<calcChain xmlns="http://schemas.openxmlformats.org/spreadsheetml/2006/main">
  <c r="AF17" i="16" l="1"/>
  <c r="AF16" i="16"/>
  <c r="AF15" i="16"/>
  <c r="AF14" i="16"/>
  <c r="AF13" i="16"/>
  <c r="AF12" i="16"/>
  <c r="AF11" i="16"/>
  <c r="AF10" i="16"/>
  <c r="AF9" i="16"/>
  <c r="AF8" i="16"/>
  <c r="AF7" i="16"/>
  <c r="AF5" i="16"/>
  <c r="AF4" i="16"/>
  <c r="AF3" i="16"/>
  <c r="L20" i="1307"/>
  <c r="L19" i="1307"/>
  <c r="L18" i="1307"/>
  <c r="L16" i="1307"/>
  <c r="K16" i="1307" s="1"/>
  <c r="L15" i="1307"/>
  <c r="K15" i="1307" s="1"/>
  <c r="L14" i="1307"/>
  <c r="L13" i="1307"/>
  <c r="K13" i="1307"/>
  <c r="L12" i="1307"/>
  <c r="K12" i="1307"/>
  <c r="L11" i="1307"/>
  <c r="L10" i="1307"/>
  <c r="L9" i="1307"/>
  <c r="L8" i="1307"/>
  <c r="K20" i="1307" l="1"/>
  <c r="K19" i="1307"/>
  <c r="K18" i="1307"/>
  <c r="K14" i="1307"/>
  <c r="K11" i="1307"/>
  <c r="K10" i="1307"/>
  <c r="K9" i="1307"/>
  <c r="K8" i="1307"/>
  <c r="A74" i="1307"/>
  <c r="A75" i="1307" s="1"/>
  <c r="A76" i="1307" s="1"/>
  <c r="A77" i="1307" s="1"/>
  <c r="A78" i="1307" s="1"/>
  <c r="A79" i="1307" s="1"/>
  <c r="A80" i="1307" s="1"/>
  <c r="A81" i="1307" s="1"/>
  <c r="AF60" i="1307"/>
  <c r="AF59" i="1307"/>
  <c r="AF62" i="1307" s="1"/>
  <c r="AA21" i="1307"/>
  <c r="Z21" i="1307"/>
  <c r="Y21" i="1307"/>
  <c r="X21" i="1307"/>
  <c r="W21" i="1307"/>
  <c r="V21" i="1307"/>
  <c r="U21" i="1307"/>
  <c r="T21" i="1307"/>
  <c r="S21" i="1307"/>
  <c r="R21" i="1307"/>
  <c r="N21" i="1307"/>
  <c r="J21" i="1307"/>
  <c r="AF20" i="1307"/>
  <c r="AB20" i="1307"/>
  <c r="Q20" i="1307"/>
  <c r="P20" i="1307"/>
  <c r="AC20" i="1307" s="1"/>
  <c r="O20" i="1307"/>
  <c r="M20" i="1307"/>
  <c r="AF19" i="1307"/>
  <c r="AB19" i="1307"/>
  <c r="Q19" i="1307"/>
  <c r="P19" i="1307" s="1"/>
  <c r="AC19" i="1307" s="1"/>
  <c r="M19" i="1307"/>
  <c r="AF18" i="1307"/>
  <c r="Q18" i="1307"/>
  <c r="P18" i="1307" s="1"/>
  <c r="AC18" i="1307" s="1"/>
  <c r="AF17" i="1307"/>
  <c r="AB17" i="1307"/>
  <c r="Q17" i="1307"/>
  <c r="P17" i="1307"/>
  <c r="AC17" i="1307" s="1"/>
  <c r="O17" i="1307"/>
  <c r="M17" i="1307"/>
  <c r="K17" i="1307"/>
  <c r="AF16" i="1307"/>
  <c r="Q16" i="1307"/>
  <c r="P16" i="1307" s="1"/>
  <c r="AC16" i="1307" s="1"/>
  <c r="AF15" i="1307"/>
  <c r="AB15" i="1307"/>
  <c r="Q15" i="1307"/>
  <c r="P15" i="1307" s="1"/>
  <c r="AC15" i="1307" s="1"/>
  <c r="O15" i="1307"/>
  <c r="M15" i="1307"/>
  <c r="AF14" i="1307"/>
  <c r="AB14" i="1307"/>
  <c r="Q14" i="1307"/>
  <c r="M14" i="1307"/>
  <c r="P14" i="1307"/>
  <c r="AC14" i="1307" s="1"/>
  <c r="I14" i="1307"/>
  <c r="I21" i="1307" s="1"/>
  <c r="AF13" i="1307"/>
  <c r="AB13" i="1307"/>
  <c r="Q13" i="1307"/>
  <c r="P13" i="1307" s="1"/>
  <c r="AC13" i="1307" s="1"/>
  <c r="O13" i="1307"/>
  <c r="M13" i="1307"/>
  <c r="AF12" i="1307"/>
  <c r="Q12" i="1307"/>
  <c r="P12" i="1307" s="1"/>
  <c r="AC12" i="1307" s="1"/>
  <c r="O12" i="1307"/>
  <c r="AB12" i="1307"/>
  <c r="AF11" i="1307"/>
  <c r="AB11" i="1307"/>
  <c r="Q11" i="1307"/>
  <c r="P11" i="1307"/>
  <c r="AC11" i="1307" s="1"/>
  <c r="O11" i="1307"/>
  <c r="M11" i="1307"/>
  <c r="AF10" i="1307"/>
  <c r="AB10" i="1307"/>
  <c r="Q10" i="1307"/>
  <c r="P10" i="1307" s="1"/>
  <c r="AC10" i="1307" s="1"/>
  <c r="M10" i="1307"/>
  <c r="AF9" i="1307"/>
  <c r="Q9" i="1307"/>
  <c r="P9" i="1307" s="1"/>
  <c r="AC9" i="1307" s="1"/>
  <c r="AF8" i="1307"/>
  <c r="Q8" i="1307"/>
  <c r="P8" i="1307"/>
  <c r="AC8" i="1307" s="1"/>
  <c r="O8" i="1307"/>
  <c r="L21" i="1307"/>
  <c r="O21" i="1307" s="1"/>
  <c r="AF7" i="1307"/>
  <c r="AC7" i="1307"/>
  <c r="AB7" i="1307"/>
  <c r="Q7" i="1307"/>
  <c r="P7" i="1307"/>
  <c r="O7" i="1307"/>
  <c r="M7" i="1307"/>
  <c r="K7" i="1307"/>
  <c r="AF6" i="1307"/>
  <c r="AB6" i="1307"/>
  <c r="Q6" i="1307"/>
  <c r="P6" i="1307"/>
  <c r="O6" i="1307"/>
  <c r="M6" i="1307"/>
  <c r="K6" i="1307"/>
  <c r="Q21" i="1307" l="1"/>
  <c r="AD7" i="1307"/>
  <c r="AD12" i="1307"/>
  <c r="AD15" i="1307"/>
  <c r="AD13" i="1307"/>
  <c r="AD17" i="1307"/>
  <c r="AD20" i="1307"/>
  <c r="AD11" i="1307"/>
  <c r="AD14" i="1307"/>
  <c r="AD19" i="1307"/>
  <c r="P21" i="1307"/>
  <c r="M9" i="1307"/>
  <c r="AB9" i="1307"/>
  <c r="O10" i="1307"/>
  <c r="AD10" i="1307" s="1"/>
  <c r="O14" i="1307"/>
  <c r="M16" i="1307"/>
  <c r="AB16" i="1307"/>
  <c r="M18" i="1307"/>
  <c r="AB18" i="1307"/>
  <c r="O19" i="1307"/>
  <c r="AC6" i="1307"/>
  <c r="M8" i="1307"/>
  <c r="AB8" i="1307"/>
  <c r="AD8" i="1307" s="1"/>
  <c r="O9" i="1307"/>
  <c r="M12" i="1307"/>
  <c r="O16" i="1307"/>
  <c r="O18" i="1307"/>
  <c r="K21" i="1307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L21" i="1306"/>
  <c r="K21" i="1306" s="1"/>
  <c r="L20" i="1306"/>
  <c r="K20" i="1306"/>
  <c r="L19" i="1306"/>
  <c r="K19" i="1306"/>
  <c r="AF18" i="1306"/>
  <c r="AB18" i="1306"/>
  <c r="Q18" i="1306"/>
  <c r="P18" i="1306"/>
  <c r="AC18" i="1306" s="1"/>
  <c r="AD18" i="1306" s="1"/>
  <c r="M18" i="1306"/>
  <c r="L18" i="1306"/>
  <c r="O18" i="1306" s="1"/>
  <c r="K18" i="1306"/>
  <c r="L16" i="1306"/>
  <c r="K16" i="1306"/>
  <c r="L14" i="1306"/>
  <c r="K14" i="1306"/>
  <c r="I14" i="1306"/>
  <c r="I22" i="1306" s="1"/>
  <c r="L12" i="1306"/>
  <c r="O12" i="1306" s="1"/>
  <c r="L11" i="1306"/>
  <c r="AB11" i="1306" s="1"/>
  <c r="K11" i="1306"/>
  <c r="L10" i="1306"/>
  <c r="K10" i="1306" s="1"/>
  <c r="L9" i="1306"/>
  <c r="L8" i="1306"/>
  <c r="K17" i="1306"/>
  <c r="K12" i="1306"/>
  <c r="K9" i="1306"/>
  <c r="A75" i="1306"/>
  <c r="A76" i="1306" s="1"/>
  <c r="A77" i="1306" s="1"/>
  <c r="A78" i="1306" s="1"/>
  <c r="A79" i="1306" s="1"/>
  <c r="A80" i="1306" s="1"/>
  <c r="A81" i="1306" s="1"/>
  <c r="A82" i="1306" s="1"/>
  <c r="AF61" i="1306"/>
  <c r="AF60" i="1306"/>
  <c r="AF63" i="1306" s="1"/>
  <c r="AA22" i="1306"/>
  <c r="Z22" i="1306"/>
  <c r="Y22" i="1306"/>
  <c r="X22" i="1306"/>
  <c r="W22" i="1306"/>
  <c r="V22" i="1306"/>
  <c r="U22" i="1306"/>
  <c r="T22" i="1306"/>
  <c r="S22" i="1306"/>
  <c r="R22" i="1306"/>
  <c r="N22" i="1306"/>
  <c r="J22" i="1306"/>
  <c r="AF21" i="1306"/>
  <c r="Q21" i="1306"/>
  <c r="O21" i="1306"/>
  <c r="AF20" i="1306"/>
  <c r="AB20" i="1306"/>
  <c r="Q20" i="1306"/>
  <c r="P20" i="1306" s="1"/>
  <c r="AC20" i="1306" s="1"/>
  <c r="O20" i="1306"/>
  <c r="M20" i="1306"/>
  <c r="AF19" i="1306"/>
  <c r="Q19" i="1306"/>
  <c r="P19" i="1306"/>
  <c r="AC19" i="1306" s="1"/>
  <c r="AF17" i="1306"/>
  <c r="Q17" i="1306"/>
  <c r="P17" i="1306"/>
  <c r="AC17" i="1306" s="1"/>
  <c r="O17" i="1306"/>
  <c r="AF16" i="1306"/>
  <c r="AB16" i="1306"/>
  <c r="Q16" i="1306"/>
  <c r="P16" i="1306" s="1"/>
  <c r="AC16" i="1306" s="1"/>
  <c r="O16" i="1306"/>
  <c r="M16" i="1306"/>
  <c r="AF15" i="1306"/>
  <c r="AB15" i="1306"/>
  <c r="Q15" i="1306"/>
  <c r="P15" i="1306"/>
  <c r="AC15" i="1306" s="1"/>
  <c r="O15" i="1306"/>
  <c r="M15" i="1306"/>
  <c r="K15" i="1306"/>
  <c r="AF14" i="1306"/>
  <c r="AB14" i="1306"/>
  <c r="Q14" i="1306"/>
  <c r="P14" i="1306" s="1"/>
  <c r="AC14" i="1306" s="1"/>
  <c r="O14" i="1306"/>
  <c r="M14" i="1306"/>
  <c r="AF13" i="1306"/>
  <c r="AB13" i="1306"/>
  <c r="Q13" i="1306"/>
  <c r="P13" i="1306"/>
  <c r="AC13" i="1306" s="1"/>
  <c r="O13" i="1306"/>
  <c r="M13" i="1306"/>
  <c r="K13" i="1306"/>
  <c r="AF12" i="1306"/>
  <c r="AB12" i="1306"/>
  <c r="Q12" i="1306"/>
  <c r="P12" i="1306" s="1"/>
  <c r="AC12" i="1306" s="1"/>
  <c r="M12" i="1306"/>
  <c r="AF11" i="1306"/>
  <c r="Q11" i="1306"/>
  <c r="P11" i="1306" s="1"/>
  <c r="AC11" i="1306" s="1"/>
  <c r="O11" i="1306"/>
  <c r="AF10" i="1306"/>
  <c r="Q10" i="1306"/>
  <c r="P10" i="1306" s="1"/>
  <c r="AC10" i="1306" s="1"/>
  <c r="O10" i="1306"/>
  <c r="AF9" i="1306"/>
  <c r="AB9" i="1306"/>
  <c r="Q9" i="1306"/>
  <c r="P9" i="1306" s="1"/>
  <c r="AC9" i="1306" s="1"/>
  <c r="O9" i="1306"/>
  <c r="M9" i="1306"/>
  <c r="AF8" i="1306"/>
  <c r="Q8" i="1306"/>
  <c r="AF7" i="1306"/>
  <c r="AB7" i="1306"/>
  <c r="Q7" i="1306"/>
  <c r="P7" i="1306"/>
  <c r="AC7" i="1306" s="1"/>
  <c r="AD7" i="1306" s="1"/>
  <c r="O7" i="1306"/>
  <c r="M7" i="1306"/>
  <c r="K7" i="1306"/>
  <c r="AF6" i="1306"/>
  <c r="AB6" i="1306"/>
  <c r="Q6" i="1306"/>
  <c r="P6" i="1306"/>
  <c r="AC6" i="1306" s="1"/>
  <c r="O6" i="1306"/>
  <c r="M6" i="1306"/>
  <c r="K6" i="1306"/>
  <c r="AD9" i="1307" l="1"/>
  <c r="AF6" i="16" s="1"/>
  <c r="M21" i="1307"/>
  <c r="AD16" i="1307"/>
  <c r="AD18" i="1307"/>
  <c r="AC21" i="1307"/>
  <c r="AD6" i="1307"/>
  <c r="AB21" i="1307"/>
  <c r="P21" i="1306"/>
  <c r="AC21" i="1306" s="1"/>
  <c r="AD20" i="1306"/>
  <c r="AD16" i="1306"/>
  <c r="M11" i="1306"/>
  <c r="L22" i="1306"/>
  <c r="O22" i="1306" s="1"/>
  <c r="Q22" i="1306"/>
  <c r="AB8" i="1306"/>
  <c r="K8" i="1306"/>
  <c r="P8" i="1306"/>
  <c r="AC8" i="1306" s="1"/>
  <c r="AD8" i="1306" s="1"/>
  <c r="M8" i="1306"/>
  <c r="O8" i="1306"/>
  <c r="AD12" i="1306"/>
  <c r="AD13" i="1306"/>
  <c r="AD15" i="1306"/>
  <c r="AD14" i="1306"/>
  <c r="AD9" i="1306"/>
  <c r="AD11" i="1306"/>
  <c r="M19" i="1306"/>
  <c r="AD6" i="1306"/>
  <c r="M10" i="1306"/>
  <c r="AB10" i="1306"/>
  <c r="M17" i="1306"/>
  <c r="AB17" i="1306"/>
  <c r="AD17" i="1306" s="1"/>
  <c r="O19" i="1306"/>
  <c r="M21" i="1306"/>
  <c r="AB21" i="1306"/>
  <c r="AD21" i="1306" s="1"/>
  <c r="AB19" i="1306"/>
  <c r="K22" i="130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L20" i="1305"/>
  <c r="K20" i="1305"/>
  <c r="L18" i="1305"/>
  <c r="L17" i="1305"/>
  <c r="K17" i="1305"/>
  <c r="L12" i="1305"/>
  <c r="L10" i="1305"/>
  <c r="K10" i="1305"/>
  <c r="L9" i="1305"/>
  <c r="AD21" i="1307" l="1"/>
  <c r="AC22" i="1306"/>
  <c r="P22" i="1306"/>
  <c r="AD19" i="1306"/>
  <c r="AB22" i="1306"/>
  <c r="M22" i="1306"/>
  <c r="AD10" i="1306"/>
  <c r="K19" i="1305"/>
  <c r="K18" i="1305"/>
  <c r="K12" i="1305"/>
  <c r="K9" i="1305"/>
  <c r="K8" i="1305"/>
  <c r="A74" i="1305"/>
  <c r="A75" i="1305" s="1"/>
  <c r="A76" i="1305" s="1"/>
  <c r="A77" i="1305" s="1"/>
  <c r="A78" i="1305" s="1"/>
  <c r="A79" i="1305" s="1"/>
  <c r="A80" i="1305" s="1"/>
  <c r="A81" i="1305" s="1"/>
  <c r="AF60" i="1305"/>
  <c r="AF59" i="1305"/>
  <c r="AF62" i="1305" s="1"/>
  <c r="AA21" i="1305"/>
  <c r="Z21" i="1305"/>
  <c r="Y21" i="1305"/>
  <c r="X21" i="1305"/>
  <c r="W21" i="1305"/>
  <c r="V21" i="1305"/>
  <c r="U21" i="1305"/>
  <c r="T21" i="1305"/>
  <c r="S21" i="1305"/>
  <c r="R21" i="1305"/>
  <c r="N21" i="1305"/>
  <c r="J21" i="1305"/>
  <c r="I21" i="1305"/>
  <c r="AF20" i="1305"/>
  <c r="AB20" i="1305"/>
  <c r="Q20" i="1305"/>
  <c r="P20" i="1305"/>
  <c r="AC20" i="1305" s="1"/>
  <c r="O20" i="1305"/>
  <c r="M20" i="1305"/>
  <c r="AF19" i="1305"/>
  <c r="Q19" i="1305"/>
  <c r="O19" i="1305"/>
  <c r="P19" i="1305"/>
  <c r="AC19" i="1305" s="1"/>
  <c r="AF18" i="1305"/>
  <c r="AB18" i="1305"/>
  <c r="Q18" i="1305"/>
  <c r="P18" i="1305"/>
  <c r="AC18" i="1305" s="1"/>
  <c r="M18" i="1305"/>
  <c r="O18" i="1305"/>
  <c r="AF17" i="1305"/>
  <c r="AB17" i="1305"/>
  <c r="Q17" i="1305"/>
  <c r="P17" i="1305" s="1"/>
  <c r="AC17" i="1305" s="1"/>
  <c r="O17" i="1305"/>
  <c r="M17" i="1305"/>
  <c r="AF16" i="1305"/>
  <c r="AB16" i="1305"/>
  <c r="Q16" i="1305"/>
  <c r="P16" i="1305"/>
  <c r="AC16" i="1305" s="1"/>
  <c r="AD16" i="1305" s="1"/>
  <c r="O16" i="1305"/>
  <c r="M16" i="1305"/>
  <c r="K16" i="1305"/>
  <c r="AF15" i="1305"/>
  <c r="AB15" i="1305"/>
  <c r="Q15" i="1305"/>
  <c r="P15" i="1305"/>
  <c r="AC15" i="1305" s="1"/>
  <c r="O15" i="1305"/>
  <c r="M15" i="1305"/>
  <c r="K15" i="1305"/>
  <c r="AF14" i="1305"/>
  <c r="AB14" i="1305"/>
  <c r="Q14" i="1305"/>
  <c r="P14" i="1305"/>
  <c r="AC14" i="1305" s="1"/>
  <c r="O14" i="1305"/>
  <c r="M14" i="1305"/>
  <c r="K14" i="1305"/>
  <c r="AF13" i="1305"/>
  <c r="AB13" i="1305"/>
  <c r="Q13" i="1305"/>
  <c r="P13" i="1305"/>
  <c r="AC13" i="1305" s="1"/>
  <c r="O13" i="1305"/>
  <c r="M13" i="1305"/>
  <c r="K13" i="1305"/>
  <c r="AF12" i="1305"/>
  <c r="Q12" i="1305"/>
  <c r="O12" i="1305"/>
  <c r="P12" i="1305"/>
  <c r="AC12" i="1305" s="1"/>
  <c r="AF11" i="1305"/>
  <c r="AB11" i="1305"/>
  <c r="Q11" i="1305"/>
  <c r="P11" i="1305"/>
  <c r="AC11" i="1305" s="1"/>
  <c r="O11" i="1305"/>
  <c r="M11" i="1305"/>
  <c r="K11" i="1305"/>
  <c r="AF10" i="1305"/>
  <c r="AB10" i="1305"/>
  <c r="Q10" i="1305"/>
  <c r="P10" i="1305" s="1"/>
  <c r="AC10" i="1305" s="1"/>
  <c r="O10" i="1305"/>
  <c r="M10" i="1305"/>
  <c r="AF9" i="1305"/>
  <c r="Q9" i="1305"/>
  <c r="AB9" i="1305"/>
  <c r="AF8" i="1305"/>
  <c r="AB8" i="1305"/>
  <c r="Q8" i="1305"/>
  <c r="P8" i="1305"/>
  <c r="AC8" i="1305" s="1"/>
  <c r="O8" i="1305"/>
  <c r="M8" i="1305"/>
  <c r="L21" i="1305"/>
  <c r="O21" i="1305" s="1"/>
  <c r="AF7" i="1305"/>
  <c r="AB7" i="1305"/>
  <c r="Q7" i="1305"/>
  <c r="P7" i="1305"/>
  <c r="AC7" i="1305" s="1"/>
  <c r="AD7" i="1305" s="1"/>
  <c r="O7" i="1305"/>
  <c r="M7" i="1305"/>
  <c r="K7" i="1305"/>
  <c r="AF6" i="1305"/>
  <c r="AB6" i="1305"/>
  <c r="Q6" i="1305"/>
  <c r="P6" i="1305"/>
  <c r="AC6" i="1305" s="1"/>
  <c r="O6" i="1305"/>
  <c r="M6" i="1305"/>
  <c r="K6" i="1305"/>
  <c r="AE9" i="1307" l="1"/>
  <c r="AF18" i="16"/>
  <c r="AE14" i="1307"/>
  <c r="AE18" i="1307"/>
  <c r="AE8" i="1307"/>
  <c r="AE7" i="1307"/>
  <c r="AE17" i="1307"/>
  <c r="AE13" i="1307"/>
  <c r="AE15" i="1307"/>
  <c r="AE20" i="1307"/>
  <c r="AE19" i="1307"/>
  <c r="AE6" i="1307"/>
  <c r="AE16" i="1307"/>
  <c r="AE12" i="1307"/>
  <c r="AE11" i="1307"/>
  <c r="AE10" i="1307"/>
  <c r="AD22" i="1306"/>
  <c r="AD20" i="1305"/>
  <c r="AD18" i="1305"/>
  <c r="Q21" i="1305"/>
  <c r="AD15" i="1305"/>
  <c r="AD14" i="1305"/>
  <c r="AD13" i="1305"/>
  <c r="AD17" i="1305"/>
  <c r="AD8" i="1305"/>
  <c r="AD11" i="1305"/>
  <c r="AD10" i="1305"/>
  <c r="O9" i="1305"/>
  <c r="AD6" i="1305"/>
  <c r="P9" i="1305"/>
  <c r="AC9" i="1305" s="1"/>
  <c r="M12" i="1305"/>
  <c r="AB12" i="1305"/>
  <c r="M19" i="1305"/>
  <c r="AB19" i="1305"/>
  <c r="AD19" i="1305" s="1"/>
  <c r="M9" i="1305"/>
  <c r="M21" i="1305" s="1"/>
  <c r="K21" i="1305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20" i="1304"/>
  <c r="K20" i="1304" s="1"/>
  <c r="L19" i="1304"/>
  <c r="L13" i="1304"/>
  <c r="L11" i="1304"/>
  <c r="M11" i="1304" s="1"/>
  <c r="L9" i="1304"/>
  <c r="K9" i="1304" s="1"/>
  <c r="L8" i="1304"/>
  <c r="K8" i="1304"/>
  <c r="K19" i="1304"/>
  <c r="K13" i="1304"/>
  <c r="K10" i="1304"/>
  <c r="A75" i="1304"/>
  <c r="A76" i="1304" s="1"/>
  <c r="A77" i="1304" s="1"/>
  <c r="A78" i="1304" s="1"/>
  <c r="A79" i="1304" s="1"/>
  <c r="A80" i="1304" s="1"/>
  <c r="A81" i="1304" s="1"/>
  <c r="A82" i="1304" s="1"/>
  <c r="AF61" i="1304"/>
  <c r="AF60" i="1304"/>
  <c r="AA22" i="1304"/>
  <c r="Z22" i="1304"/>
  <c r="Y22" i="1304"/>
  <c r="X22" i="1304"/>
  <c r="W22" i="1304"/>
  <c r="V22" i="1304"/>
  <c r="U22" i="1304"/>
  <c r="T22" i="1304"/>
  <c r="S22" i="1304"/>
  <c r="R22" i="1304"/>
  <c r="N22" i="1304"/>
  <c r="J22" i="1304"/>
  <c r="I22" i="1304"/>
  <c r="AF21" i="1304"/>
  <c r="AB21" i="1304"/>
  <c r="Q21" i="1304"/>
  <c r="P21" i="1304"/>
  <c r="AC21" i="1304" s="1"/>
  <c r="O21" i="1304"/>
  <c r="M21" i="1304"/>
  <c r="K21" i="1304"/>
  <c r="AF20" i="1304"/>
  <c r="Q20" i="1304"/>
  <c r="P20" i="1304" s="1"/>
  <c r="AC20" i="1304" s="1"/>
  <c r="O20" i="1304"/>
  <c r="AF19" i="1304"/>
  <c r="Q19" i="1304"/>
  <c r="O19" i="1304"/>
  <c r="AF18" i="1304"/>
  <c r="AB18" i="1304"/>
  <c r="Q18" i="1304"/>
  <c r="P18" i="1304"/>
  <c r="AC18" i="1304" s="1"/>
  <c r="AD18" i="1304" s="1"/>
  <c r="O18" i="1304"/>
  <c r="M18" i="1304"/>
  <c r="K18" i="1304"/>
  <c r="AF17" i="1304"/>
  <c r="AB17" i="1304"/>
  <c r="Q17" i="1304"/>
  <c r="P17" i="1304"/>
  <c r="AC17" i="1304" s="1"/>
  <c r="O17" i="1304"/>
  <c r="M17" i="1304"/>
  <c r="K17" i="1304"/>
  <c r="AF16" i="1304"/>
  <c r="AB16" i="1304"/>
  <c r="Q16" i="1304"/>
  <c r="P16" i="1304"/>
  <c r="AC16" i="1304" s="1"/>
  <c r="O16" i="1304"/>
  <c r="M16" i="1304"/>
  <c r="K16" i="1304"/>
  <c r="AF15" i="1304"/>
  <c r="AB15" i="1304"/>
  <c r="Q15" i="1304"/>
  <c r="P15" i="1304"/>
  <c r="AC15" i="1304" s="1"/>
  <c r="O15" i="1304"/>
  <c r="M15" i="1304"/>
  <c r="K15" i="1304"/>
  <c r="AF14" i="1304"/>
  <c r="AB14" i="1304"/>
  <c r="Q14" i="1304"/>
  <c r="P14" i="1304"/>
  <c r="AC14" i="1304" s="1"/>
  <c r="AD14" i="1304" s="1"/>
  <c r="O14" i="1304"/>
  <c r="M14" i="1304"/>
  <c r="K14" i="1304"/>
  <c r="AF13" i="1304"/>
  <c r="AB13" i="1304"/>
  <c r="Q13" i="1304"/>
  <c r="M13" i="1304"/>
  <c r="P13" i="1304"/>
  <c r="AC13" i="1304" s="1"/>
  <c r="AF12" i="1304"/>
  <c r="AB12" i="1304"/>
  <c r="Q12" i="1304"/>
  <c r="P12" i="1304"/>
  <c r="AC12" i="1304" s="1"/>
  <c r="AD12" i="1304" s="1"/>
  <c r="O12" i="1304"/>
  <c r="M12" i="1304"/>
  <c r="K12" i="1304"/>
  <c r="AF11" i="1304"/>
  <c r="AB11" i="1304"/>
  <c r="Q11" i="1304"/>
  <c r="O11" i="1304"/>
  <c r="P11" i="1304"/>
  <c r="AC11" i="1304" s="1"/>
  <c r="AF10" i="1304"/>
  <c r="Q10" i="1304"/>
  <c r="O10" i="1304"/>
  <c r="AF9" i="1304"/>
  <c r="Q9" i="1304"/>
  <c r="O9" i="1304"/>
  <c r="M9" i="1304"/>
  <c r="AF8" i="1304"/>
  <c r="AB8" i="1304"/>
  <c r="Q8" i="1304"/>
  <c r="P8" i="1304" s="1"/>
  <c r="AC8" i="1304" s="1"/>
  <c r="O8" i="1304"/>
  <c r="M8" i="1304"/>
  <c r="AF7" i="1304"/>
  <c r="AB7" i="1304"/>
  <c r="Q7" i="1304"/>
  <c r="P7" i="1304"/>
  <c r="AC7" i="1304" s="1"/>
  <c r="O7" i="1304"/>
  <c r="M7" i="1304"/>
  <c r="K7" i="1304"/>
  <c r="AF6" i="1304"/>
  <c r="AB6" i="1304"/>
  <c r="Q6" i="1304"/>
  <c r="P6" i="1304"/>
  <c r="AC6" i="1304" s="1"/>
  <c r="O6" i="1304"/>
  <c r="M6" i="1304"/>
  <c r="K6" i="1304"/>
  <c r="AE6" i="1306" l="1"/>
  <c r="AE18" i="1306"/>
  <c r="AE8" i="1306"/>
  <c r="AE11" i="1306"/>
  <c r="AE7" i="1306"/>
  <c r="AE21" i="1306"/>
  <c r="AE12" i="1306"/>
  <c r="AE16" i="1306"/>
  <c r="AE10" i="1306"/>
  <c r="AE20" i="1306"/>
  <c r="AE19" i="1306"/>
  <c r="AE9" i="1306"/>
  <c r="AE15" i="1306"/>
  <c r="AE13" i="1306"/>
  <c r="AE17" i="1306"/>
  <c r="AE14" i="1306"/>
  <c r="AD9" i="1305"/>
  <c r="AB21" i="1305"/>
  <c r="P21" i="1305"/>
  <c r="AD12" i="1305"/>
  <c r="AD21" i="1305" s="1"/>
  <c r="AC21" i="1305"/>
  <c r="AD21" i="1304"/>
  <c r="L22" i="1304"/>
  <c r="O22" i="1304" s="1"/>
  <c r="AB9" i="1304"/>
  <c r="AD15" i="1304"/>
  <c r="AF63" i="1304"/>
  <c r="AD8" i="1304"/>
  <c r="K11" i="1304"/>
  <c r="K22" i="1304" s="1"/>
  <c r="AD7" i="1304"/>
  <c r="AD11" i="1304"/>
  <c r="Q22" i="1304"/>
  <c r="P9" i="1304"/>
  <c r="AC9" i="1304" s="1"/>
  <c r="AD9" i="1304" s="1"/>
  <c r="AD17" i="1304"/>
  <c r="AD16" i="1304"/>
  <c r="P10" i="1304"/>
  <c r="AC10" i="1304" s="1"/>
  <c r="P19" i="1304"/>
  <c r="AC19" i="1304" s="1"/>
  <c r="M20" i="1304"/>
  <c r="AB20" i="1304"/>
  <c r="AD20" i="1304" s="1"/>
  <c r="AD6" i="1304"/>
  <c r="M10" i="1304"/>
  <c r="AB10" i="1304"/>
  <c r="O13" i="1304"/>
  <c r="AD13" i="1304" s="1"/>
  <c r="M19" i="1304"/>
  <c r="AB19" i="1304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AE19" i="1305" l="1"/>
  <c r="AE16" i="1305"/>
  <c r="AE12" i="1305"/>
  <c r="AE13" i="1305"/>
  <c r="AE10" i="1305"/>
  <c r="AE8" i="1305"/>
  <c r="AE20" i="1305"/>
  <c r="AE17" i="1305"/>
  <c r="AE9" i="1305"/>
  <c r="AE18" i="1305"/>
  <c r="AE11" i="1305"/>
  <c r="AE14" i="1305"/>
  <c r="AE7" i="1305"/>
  <c r="AE15" i="1305"/>
  <c r="AE6" i="1305"/>
  <c r="M22" i="1304"/>
  <c r="AC22" i="1304"/>
  <c r="AB22" i="1304"/>
  <c r="P22" i="1304"/>
  <c r="AD10" i="1304"/>
  <c r="AD19" i="1304"/>
  <c r="Y3" i="16"/>
  <c r="L22" i="1303"/>
  <c r="K22" i="1303"/>
  <c r="L21" i="1303"/>
  <c r="O21" i="1303" s="1"/>
  <c r="K21" i="1303"/>
  <c r="AF21" i="1303"/>
  <c r="AB21" i="1303"/>
  <c r="Q21" i="1303"/>
  <c r="P21" i="1303"/>
  <c r="AC21" i="1303" s="1"/>
  <c r="AD21" i="1303" s="1"/>
  <c r="M21" i="1303"/>
  <c r="L20" i="1303"/>
  <c r="K20" i="1303"/>
  <c r="L14" i="1303"/>
  <c r="O14" i="1303" s="1"/>
  <c r="L12" i="1303"/>
  <c r="K12" i="1303"/>
  <c r="AF12" i="1303"/>
  <c r="Q12" i="1303"/>
  <c r="P12" i="1303"/>
  <c r="AC12" i="1303" s="1"/>
  <c r="AB12" i="1303"/>
  <c r="L11" i="1303"/>
  <c r="O11" i="1303" s="1"/>
  <c r="L10" i="1303"/>
  <c r="K10" i="1303"/>
  <c r="AF10" i="1303"/>
  <c r="Q10" i="1303"/>
  <c r="P10" i="1303" s="1"/>
  <c r="AC10" i="1303" s="1"/>
  <c r="AB10" i="1303"/>
  <c r="L9" i="1303"/>
  <c r="K9" i="1303" s="1"/>
  <c r="K15" i="1303"/>
  <c r="K11" i="1303"/>
  <c r="K8" i="1303"/>
  <c r="A77" i="1303"/>
  <c r="A78" i="1303" s="1"/>
  <c r="A79" i="1303" s="1"/>
  <c r="A80" i="1303" s="1"/>
  <c r="A81" i="1303" s="1"/>
  <c r="A82" i="1303" s="1"/>
  <c r="A83" i="1303" s="1"/>
  <c r="A84" i="1303" s="1"/>
  <c r="AF63" i="1303"/>
  <c r="AF62" i="1303"/>
  <c r="AF65" i="1303" s="1"/>
  <c r="AA24" i="1303"/>
  <c r="Z24" i="1303"/>
  <c r="Y24" i="1303"/>
  <c r="X24" i="1303"/>
  <c r="W24" i="1303"/>
  <c r="V24" i="1303"/>
  <c r="U24" i="1303"/>
  <c r="T24" i="1303"/>
  <c r="S24" i="1303"/>
  <c r="R24" i="1303"/>
  <c r="N24" i="1303"/>
  <c r="J24" i="1303"/>
  <c r="I24" i="1303"/>
  <c r="AF23" i="1303"/>
  <c r="AB23" i="1303"/>
  <c r="Q23" i="1303"/>
  <c r="P23" i="1303"/>
  <c r="AC23" i="1303" s="1"/>
  <c r="O23" i="1303"/>
  <c r="M23" i="1303"/>
  <c r="K23" i="1303"/>
  <c r="AF22" i="1303"/>
  <c r="Q22" i="1303"/>
  <c r="P22" i="1303" s="1"/>
  <c r="AC22" i="1303" s="1"/>
  <c r="O22" i="1303"/>
  <c r="AB22" i="1303"/>
  <c r="AF20" i="1303"/>
  <c r="Q20" i="1303"/>
  <c r="AB20" i="1303"/>
  <c r="AF19" i="1303"/>
  <c r="AB19" i="1303"/>
  <c r="Q19" i="1303"/>
  <c r="P19" i="1303"/>
  <c r="AC19" i="1303" s="1"/>
  <c r="O19" i="1303"/>
  <c r="M19" i="1303"/>
  <c r="K19" i="1303"/>
  <c r="AF18" i="1303"/>
  <c r="AB18" i="1303"/>
  <c r="Q18" i="1303"/>
  <c r="P18" i="1303"/>
  <c r="AC18" i="1303" s="1"/>
  <c r="O18" i="1303"/>
  <c r="M18" i="1303"/>
  <c r="K18" i="1303"/>
  <c r="AF17" i="1303"/>
  <c r="AB17" i="1303"/>
  <c r="Q17" i="1303"/>
  <c r="P17" i="1303"/>
  <c r="AC17" i="1303" s="1"/>
  <c r="O17" i="1303"/>
  <c r="M17" i="1303"/>
  <c r="K17" i="1303"/>
  <c r="AF16" i="1303"/>
  <c r="AB16" i="1303"/>
  <c r="Q16" i="1303"/>
  <c r="P16" i="1303"/>
  <c r="AC16" i="1303" s="1"/>
  <c r="O16" i="1303"/>
  <c r="M16" i="1303"/>
  <c r="K16" i="1303"/>
  <c r="AF15" i="1303"/>
  <c r="Q15" i="1303"/>
  <c r="P15" i="1303"/>
  <c r="AC15" i="1303" s="1"/>
  <c r="M15" i="1303"/>
  <c r="AF14" i="1303"/>
  <c r="Q14" i="1303"/>
  <c r="AB14" i="1303"/>
  <c r="AF13" i="1303"/>
  <c r="AB13" i="1303"/>
  <c r="Q13" i="1303"/>
  <c r="P13" i="1303"/>
  <c r="AC13" i="1303" s="1"/>
  <c r="O13" i="1303"/>
  <c r="M13" i="1303"/>
  <c r="K13" i="1303"/>
  <c r="AF11" i="1303"/>
  <c r="Q11" i="1303"/>
  <c r="M11" i="1303"/>
  <c r="AF9" i="1303"/>
  <c r="Q9" i="1303"/>
  <c r="AF8" i="1303"/>
  <c r="Q8" i="1303"/>
  <c r="P8" i="1303"/>
  <c r="AC8" i="1303" s="1"/>
  <c r="M8" i="1303"/>
  <c r="AF7" i="1303"/>
  <c r="AB7" i="1303"/>
  <c r="Q7" i="1303"/>
  <c r="P7" i="1303"/>
  <c r="AC7" i="1303" s="1"/>
  <c r="O7" i="1303"/>
  <c r="M7" i="1303"/>
  <c r="K7" i="1303"/>
  <c r="AF6" i="1303"/>
  <c r="AB6" i="1303"/>
  <c r="Q6" i="1303"/>
  <c r="P6" i="1303"/>
  <c r="AC6" i="1303" s="1"/>
  <c r="O6" i="1303"/>
  <c r="M6" i="1303"/>
  <c r="K6" i="1303"/>
  <c r="AD22" i="1304" l="1"/>
  <c r="AE8" i="1304" s="1"/>
  <c r="AB11" i="1303"/>
  <c r="K14" i="1303"/>
  <c r="P11" i="1303"/>
  <c r="AC11" i="1303" s="1"/>
  <c r="AD11" i="1303" s="1"/>
  <c r="P14" i="1303"/>
  <c r="AC14" i="1303" s="1"/>
  <c r="AD14" i="1303" s="1"/>
  <c r="AD23" i="1303"/>
  <c r="AB9" i="1303"/>
  <c r="AD18" i="1303"/>
  <c r="O12" i="1303"/>
  <c r="AD12" i="1303" s="1"/>
  <c r="M12" i="1303"/>
  <c r="O10" i="1303"/>
  <c r="AD10" i="1303" s="1"/>
  <c r="AD7" i="1303"/>
  <c r="M10" i="1303"/>
  <c r="Q24" i="1303"/>
  <c r="AD16" i="1303"/>
  <c r="AD13" i="1303"/>
  <c r="AD17" i="1303"/>
  <c r="AD19" i="1303"/>
  <c r="AD22" i="1303"/>
  <c r="K24" i="1303"/>
  <c r="M9" i="1303"/>
  <c r="AB8" i="1303"/>
  <c r="O9" i="1303"/>
  <c r="AB15" i="1303"/>
  <c r="O20" i="1303"/>
  <c r="AD6" i="1303"/>
  <c r="O8" i="1303"/>
  <c r="P9" i="1303"/>
  <c r="AC9" i="1303" s="1"/>
  <c r="M14" i="1303"/>
  <c r="O15" i="1303"/>
  <c r="P20" i="1303"/>
  <c r="AC20" i="1303" s="1"/>
  <c r="M22" i="1303"/>
  <c r="M20" i="1303"/>
  <c r="L24" i="1303"/>
  <c r="O24" i="1303" s="1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L21" i="1302"/>
  <c r="K21" i="1302" s="1"/>
  <c r="L20" i="1302"/>
  <c r="K20" i="1302"/>
  <c r="AF19" i="1302"/>
  <c r="AB19" i="1302"/>
  <c r="Q19" i="1302"/>
  <c r="M19" i="1302"/>
  <c r="L19" i="1302"/>
  <c r="P19" i="1302" s="1"/>
  <c r="AC19" i="1302" s="1"/>
  <c r="L14" i="1302"/>
  <c r="L13" i="1302"/>
  <c r="AF13" i="1302"/>
  <c r="AB13" i="1302"/>
  <c r="Q13" i="1302"/>
  <c r="O13" i="1302"/>
  <c r="M13" i="1302"/>
  <c r="K13" i="1302"/>
  <c r="K12" i="1302"/>
  <c r="L10" i="1302"/>
  <c r="K10" i="1302"/>
  <c r="L9" i="1302"/>
  <c r="K9" i="1302"/>
  <c r="L8" i="1302"/>
  <c r="K8" i="1302"/>
  <c r="K18" i="1302"/>
  <c r="K17" i="1302"/>
  <c r="A76" i="1302"/>
  <c r="A77" i="1302" s="1"/>
  <c r="A78" i="1302" s="1"/>
  <c r="A79" i="1302" s="1"/>
  <c r="A80" i="1302" s="1"/>
  <c r="A81" i="1302" s="1"/>
  <c r="A82" i="1302" s="1"/>
  <c r="A83" i="1302" s="1"/>
  <c r="AF64" i="1302"/>
  <c r="AF62" i="1302"/>
  <c r="AF61" i="1302"/>
  <c r="AA23" i="1302"/>
  <c r="Z23" i="1302"/>
  <c r="Y23" i="1302"/>
  <c r="X23" i="1302"/>
  <c r="W23" i="1302"/>
  <c r="V23" i="1302"/>
  <c r="U23" i="1302"/>
  <c r="T23" i="1302"/>
  <c r="S23" i="1302"/>
  <c r="R23" i="1302"/>
  <c r="N23" i="1302"/>
  <c r="J23" i="1302"/>
  <c r="I23" i="1302"/>
  <c r="AF22" i="1302"/>
  <c r="AB22" i="1302"/>
  <c r="Q22" i="1302"/>
  <c r="P22" i="1302"/>
  <c r="AC22" i="1302" s="1"/>
  <c r="O22" i="1302"/>
  <c r="M22" i="1302"/>
  <c r="K22" i="1302"/>
  <c r="AF21" i="1302"/>
  <c r="Q21" i="1302"/>
  <c r="M21" i="1302"/>
  <c r="P21" i="1302"/>
  <c r="AC21" i="1302" s="1"/>
  <c r="AF20" i="1302"/>
  <c r="Q20" i="1302"/>
  <c r="AF18" i="1302"/>
  <c r="AB18" i="1302"/>
  <c r="Q18" i="1302"/>
  <c r="P18" i="1302"/>
  <c r="AC18" i="1302" s="1"/>
  <c r="O18" i="1302"/>
  <c r="M18" i="1302"/>
  <c r="AF17" i="1302"/>
  <c r="AB17" i="1302"/>
  <c r="Q17" i="1302"/>
  <c r="O17" i="1302"/>
  <c r="M17" i="1302"/>
  <c r="P17" i="1302"/>
  <c r="AC17" i="1302" s="1"/>
  <c r="AF16" i="1302"/>
  <c r="AB16" i="1302"/>
  <c r="Q16" i="1302"/>
  <c r="P16" i="1302"/>
  <c r="AC16" i="1302" s="1"/>
  <c r="O16" i="1302"/>
  <c r="M16" i="1302"/>
  <c r="K16" i="1302"/>
  <c r="AF15" i="1302"/>
  <c r="AB15" i="1302"/>
  <c r="Q15" i="1302"/>
  <c r="P15" i="1302"/>
  <c r="AC15" i="1302" s="1"/>
  <c r="O15" i="1302"/>
  <c r="M15" i="1302"/>
  <c r="K15" i="1302"/>
  <c r="AF14" i="1302"/>
  <c r="Q14" i="1302"/>
  <c r="M14" i="1302"/>
  <c r="AF12" i="1302"/>
  <c r="AB12" i="1302"/>
  <c r="Q12" i="1302"/>
  <c r="P12" i="1302" s="1"/>
  <c r="AC12" i="1302" s="1"/>
  <c r="O12" i="1302"/>
  <c r="M12" i="1302"/>
  <c r="AF11" i="1302"/>
  <c r="AC11" i="1302"/>
  <c r="AB11" i="1302"/>
  <c r="Q11" i="1302"/>
  <c r="P11" i="1302"/>
  <c r="O11" i="1302"/>
  <c r="M11" i="1302"/>
  <c r="K11" i="1302"/>
  <c r="AF10" i="1302"/>
  <c r="AB10" i="1302"/>
  <c r="Q10" i="1302"/>
  <c r="M10" i="1302"/>
  <c r="AF9" i="1302"/>
  <c r="AB9" i="1302"/>
  <c r="Q9" i="1302"/>
  <c r="P9" i="1302" s="1"/>
  <c r="AC9" i="1302" s="1"/>
  <c r="O9" i="1302"/>
  <c r="M9" i="1302"/>
  <c r="AF8" i="1302"/>
  <c r="AB8" i="1302"/>
  <c r="Q8" i="1302"/>
  <c r="M8" i="1302"/>
  <c r="AF7" i="1302"/>
  <c r="AB7" i="1302"/>
  <c r="Q7" i="1302"/>
  <c r="P7" i="1302"/>
  <c r="AC7" i="1302" s="1"/>
  <c r="O7" i="1302"/>
  <c r="M7" i="1302"/>
  <c r="K7" i="1302"/>
  <c r="AF6" i="1302"/>
  <c r="AC6" i="1302"/>
  <c r="AB6" i="1302"/>
  <c r="Q6" i="1302"/>
  <c r="P6" i="1302"/>
  <c r="O6" i="1302"/>
  <c r="M6" i="1302"/>
  <c r="K6" i="1302"/>
  <c r="AE19" i="1304" l="1"/>
  <c r="AE18" i="1304"/>
  <c r="AE20" i="1304"/>
  <c r="AE17" i="1304"/>
  <c r="AE14" i="1304"/>
  <c r="AE7" i="1304"/>
  <c r="AE12" i="1304"/>
  <c r="AE21" i="1304"/>
  <c r="AE11" i="1304"/>
  <c r="AE15" i="1304"/>
  <c r="AE9" i="1304"/>
  <c r="AE6" i="1304"/>
  <c r="AE13" i="1304"/>
  <c r="AE10" i="1304"/>
  <c r="AE16" i="1304"/>
  <c r="AD9" i="1303"/>
  <c r="AD15" i="1303"/>
  <c r="M24" i="1303"/>
  <c r="AD20" i="1303"/>
  <c r="AB24" i="1303"/>
  <c r="AD8" i="1303"/>
  <c r="P24" i="1303"/>
  <c r="AC24" i="1303"/>
  <c r="AB21" i="1302"/>
  <c r="AD19" i="1302"/>
  <c r="AD15" i="1302"/>
  <c r="P14" i="1302"/>
  <c r="AC14" i="1302" s="1"/>
  <c r="O19" i="1302"/>
  <c r="K19" i="1302"/>
  <c r="P20" i="1302"/>
  <c r="AC20" i="1302" s="1"/>
  <c r="K14" i="1302"/>
  <c r="L23" i="1302"/>
  <c r="O23" i="1302" s="1"/>
  <c r="AB14" i="1302"/>
  <c r="P13" i="1302"/>
  <c r="AC13" i="1302" s="1"/>
  <c r="AD13" i="1302" s="1"/>
  <c r="Q23" i="1302"/>
  <c r="P10" i="1302"/>
  <c r="AC10" i="1302" s="1"/>
  <c r="O10" i="1302"/>
  <c r="AD7" i="1302"/>
  <c r="AD9" i="1302"/>
  <c r="AD22" i="1302"/>
  <c r="AD10" i="1302"/>
  <c r="AD16" i="1302"/>
  <c r="AD17" i="1302"/>
  <c r="AD18" i="1302"/>
  <c r="AD12" i="1302"/>
  <c r="AD11" i="1302"/>
  <c r="AD6" i="1302"/>
  <c r="O8" i="1302"/>
  <c r="O14" i="1302"/>
  <c r="M20" i="1302"/>
  <c r="M23" i="1302" s="1"/>
  <c r="AB20" i="1302"/>
  <c r="O21" i="1302"/>
  <c r="AD21" i="1302" s="1"/>
  <c r="K23" i="1302"/>
  <c r="P8" i="1302"/>
  <c r="AC8" i="1302" s="1"/>
  <c r="AD8" i="1302" s="1"/>
  <c r="O20" i="1302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L19" i="1301"/>
  <c r="K19" i="1301"/>
  <c r="L17" i="1301"/>
  <c r="AB17" i="1301" s="1"/>
  <c r="K17" i="1301"/>
  <c r="L18" i="1301"/>
  <c r="O18" i="1301" s="1"/>
  <c r="K18" i="1301"/>
  <c r="L16" i="1301"/>
  <c r="K16" i="1301"/>
  <c r="L13" i="1301"/>
  <c r="K13" i="1301" s="1"/>
  <c r="K12" i="1301"/>
  <c r="L9" i="1301"/>
  <c r="AB9" i="1301" s="1"/>
  <c r="K9" i="1301"/>
  <c r="L8" i="1301"/>
  <c r="AB8" i="1301" s="1"/>
  <c r="K8" i="1301"/>
  <c r="A74" i="1301"/>
  <c r="A75" i="1301" s="1"/>
  <c r="A76" i="1301" s="1"/>
  <c r="A77" i="1301" s="1"/>
  <c r="A78" i="1301" s="1"/>
  <c r="A79" i="1301" s="1"/>
  <c r="A80" i="1301" s="1"/>
  <c r="A81" i="1301" s="1"/>
  <c r="AF60" i="1301"/>
  <c r="AF59" i="1301"/>
  <c r="AA21" i="1301"/>
  <c r="Z21" i="1301"/>
  <c r="Y21" i="1301"/>
  <c r="X21" i="1301"/>
  <c r="W21" i="1301"/>
  <c r="V21" i="1301"/>
  <c r="U21" i="1301"/>
  <c r="T21" i="1301"/>
  <c r="S21" i="1301"/>
  <c r="R21" i="1301"/>
  <c r="N21" i="1301"/>
  <c r="J21" i="1301"/>
  <c r="I21" i="1301"/>
  <c r="AF20" i="1301"/>
  <c r="AB20" i="1301"/>
  <c r="Q20" i="1301"/>
  <c r="P20" i="1301"/>
  <c r="AC20" i="1301" s="1"/>
  <c r="AD20" i="1301" s="1"/>
  <c r="O20" i="1301"/>
  <c r="M20" i="1301"/>
  <c r="K20" i="1301"/>
  <c r="AF19" i="1301"/>
  <c r="AB19" i="1301"/>
  <c r="Q19" i="1301"/>
  <c r="O19" i="1301"/>
  <c r="M19" i="1301"/>
  <c r="AF18" i="1301"/>
  <c r="AB18" i="1301"/>
  <c r="Q18" i="1301"/>
  <c r="P18" i="1301"/>
  <c r="AC18" i="1301" s="1"/>
  <c r="M18" i="1301"/>
  <c r="AF17" i="1301"/>
  <c r="Q17" i="1301"/>
  <c r="P17" i="1301"/>
  <c r="AC17" i="1301" s="1"/>
  <c r="O17" i="1301"/>
  <c r="M17" i="1301"/>
  <c r="AF16" i="1301"/>
  <c r="AB16" i="1301"/>
  <c r="Q16" i="1301"/>
  <c r="M16" i="1301"/>
  <c r="AF15" i="1301"/>
  <c r="AC15" i="1301"/>
  <c r="AB15" i="1301"/>
  <c r="Q15" i="1301"/>
  <c r="P15" i="1301"/>
  <c r="O15" i="1301"/>
  <c r="M15" i="1301"/>
  <c r="K15" i="1301"/>
  <c r="AF14" i="1301"/>
  <c r="AB14" i="1301"/>
  <c r="Q14" i="1301"/>
  <c r="P14" i="1301"/>
  <c r="AC14" i="1301" s="1"/>
  <c r="O14" i="1301"/>
  <c r="M14" i="1301"/>
  <c r="K14" i="1301"/>
  <c r="AF13" i="1301"/>
  <c r="AB13" i="1301"/>
  <c r="Q13" i="1301"/>
  <c r="O13" i="1301"/>
  <c r="M13" i="1301"/>
  <c r="AF12" i="1301"/>
  <c r="AC12" i="1301"/>
  <c r="AB12" i="1301"/>
  <c r="Q12" i="1301"/>
  <c r="P12" i="1301"/>
  <c r="O12" i="1301"/>
  <c r="M12" i="1301"/>
  <c r="AF11" i="1301"/>
  <c r="AC11" i="1301"/>
  <c r="AB11" i="1301"/>
  <c r="Q11" i="1301"/>
  <c r="P11" i="1301"/>
  <c r="O11" i="1301"/>
  <c r="M11" i="1301"/>
  <c r="K11" i="1301"/>
  <c r="AF10" i="1301"/>
  <c r="AC10" i="1301"/>
  <c r="AB10" i="1301"/>
  <c r="Q10" i="1301"/>
  <c r="P10" i="1301"/>
  <c r="O10" i="1301"/>
  <c r="M10" i="1301"/>
  <c r="K10" i="1301"/>
  <c r="AF9" i="1301"/>
  <c r="Q9" i="1301"/>
  <c r="P9" i="1301" s="1"/>
  <c r="AC9" i="1301" s="1"/>
  <c r="O9" i="1301"/>
  <c r="M9" i="1301"/>
  <c r="AF8" i="1301"/>
  <c r="Q8" i="1301"/>
  <c r="P8" i="1301" s="1"/>
  <c r="AC8" i="1301" s="1"/>
  <c r="O8" i="1301"/>
  <c r="M8" i="1301"/>
  <c r="AF7" i="1301"/>
  <c r="AB7" i="1301"/>
  <c r="Q7" i="1301"/>
  <c r="P7" i="1301"/>
  <c r="AC7" i="1301" s="1"/>
  <c r="AD7" i="1301" s="1"/>
  <c r="O7" i="1301"/>
  <c r="M7" i="1301"/>
  <c r="K7" i="1301"/>
  <c r="AF6" i="1301"/>
  <c r="AB6" i="1301"/>
  <c r="Q6" i="1301"/>
  <c r="P6" i="1301"/>
  <c r="AC6" i="1301" s="1"/>
  <c r="O6" i="1301"/>
  <c r="M6" i="1301"/>
  <c r="K6" i="1301"/>
  <c r="AD24" i="1303" l="1"/>
  <c r="AE21" i="1303" s="1"/>
  <c r="AD14" i="1302"/>
  <c r="AC23" i="1302"/>
  <c r="P23" i="1302"/>
  <c r="AD20" i="1302"/>
  <c r="AB23" i="1302"/>
  <c r="P19" i="1301"/>
  <c r="AC19" i="1301" s="1"/>
  <c r="P16" i="1301"/>
  <c r="AC16" i="1301" s="1"/>
  <c r="O16" i="1301"/>
  <c r="AD16" i="1301" s="1"/>
  <c r="P13" i="1301"/>
  <c r="AC13" i="1301" s="1"/>
  <c r="L21" i="1301"/>
  <c r="O21" i="1301" s="1"/>
  <c r="M21" i="1301"/>
  <c r="AF62" i="1301"/>
  <c r="AD17" i="1301"/>
  <c r="Q21" i="1301"/>
  <c r="AB21" i="1301"/>
  <c r="AD10" i="1301"/>
  <c r="AD11" i="1301"/>
  <c r="AD13" i="1301"/>
  <c r="AD19" i="1301"/>
  <c r="AD8" i="1301"/>
  <c r="AD9" i="1301"/>
  <c r="AD14" i="1301"/>
  <c r="AD18" i="1301"/>
  <c r="AD12" i="1301"/>
  <c r="AD15" i="1301"/>
  <c r="K21" i="1301"/>
  <c r="AC21" i="1301"/>
  <c r="AD6" i="1301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18" i="1300"/>
  <c r="K11" i="1300"/>
  <c r="AF11" i="1300"/>
  <c r="Q11" i="1300"/>
  <c r="AB11" i="1300"/>
  <c r="K9" i="1300"/>
  <c r="AF9" i="1300"/>
  <c r="AB9" i="1300"/>
  <c r="Q9" i="1300"/>
  <c r="P9" i="1300" s="1"/>
  <c r="AC9" i="1300" s="1"/>
  <c r="O9" i="1300"/>
  <c r="M9" i="1300"/>
  <c r="K21" i="1300"/>
  <c r="K19" i="1300"/>
  <c r="K18" i="1300"/>
  <c r="K15" i="1300"/>
  <c r="K10" i="1300"/>
  <c r="K8" i="1300"/>
  <c r="A76" i="1300"/>
  <c r="A77" i="1300" s="1"/>
  <c r="A78" i="1300" s="1"/>
  <c r="A79" i="1300" s="1"/>
  <c r="A80" i="1300" s="1"/>
  <c r="A81" i="1300" s="1"/>
  <c r="A82" i="1300" s="1"/>
  <c r="A83" i="1300" s="1"/>
  <c r="AF64" i="1300"/>
  <c r="AF62" i="1300"/>
  <c r="AF61" i="1300"/>
  <c r="AA23" i="1300"/>
  <c r="Z23" i="1300"/>
  <c r="Y23" i="1300"/>
  <c r="X23" i="1300"/>
  <c r="W23" i="1300"/>
  <c r="V23" i="1300"/>
  <c r="U23" i="1300"/>
  <c r="T23" i="1300"/>
  <c r="S23" i="1300"/>
  <c r="R23" i="1300"/>
  <c r="N23" i="1300"/>
  <c r="J23" i="1300"/>
  <c r="I23" i="1300"/>
  <c r="AF22" i="1300"/>
  <c r="AB22" i="1300"/>
  <c r="Q22" i="1300"/>
  <c r="P22" i="1300"/>
  <c r="AC22" i="1300" s="1"/>
  <c r="O22" i="1300"/>
  <c r="M22" i="1300"/>
  <c r="K22" i="1300"/>
  <c r="AF21" i="1300"/>
  <c r="AB21" i="1300"/>
  <c r="Q21" i="1300"/>
  <c r="P21" i="1300" s="1"/>
  <c r="AC21" i="1300" s="1"/>
  <c r="O21" i="1300"/>
  <c r="M21" i="1300"/>
  <c r="AF20" i="1300"/>
  <c r="AB20" i="1300"/>
  <c r="Q20" i="1300"/>
  <c r="P20" i="1300"/>
  <c r="AC20" i="1300" s="1"/>
  <c r="O20" i="1300"/>
  <c r="M20" i="1300"/>
  <c r="K20" i="1300"/>
  <c r="AF19" i="1300"/>
  <c r="AB19" i="1300"/>
  <c r="Q19" i="1300"/>
  <c r="P19" i="1300" s="1"/>
  <c r="AC19" i="1300" s="1"/>
  <c r="O19" i="1300"/>
  <c r="M19" i="1300"/>
  <c r="AF18" i="1300"/>
  <c r="Q18" i="1300"/>
  <c r="P18" i="1300"/>
  <c r="AC18" i="1300" s="1"/>
  <c r="O18" i="1300"/>
  <c r="AF17" i="1300"/>
  <c r="AB17" i="1300"/>
  <c r="Q17" i="1300"/>
  <c r="P17" i="1300"/>
  <c r="AC17" i="1300" s="1"/>
  <c r="O17" i="1300"/>
  <c r="M17" i="1300"/>
  <c r="K17" i="1300"/>
  <c r="AF16" i="1300"/>
  <c r="AB16" i="1300"/>
  <c r="Q16" i="1300"/>
  <c r="P16" i="1300"/>
  <c r="AC16" i="1300" s="1"/>
  <c r="O16" i="1300"/>
  <c r="M16" i="1300"/>
  <c r="K16" i="1300"/>
  <c r="AF15" i="1300"/>
  <c r="AB15" i="1300"/>
  <c r="Q15" i="1300"/>
  <c r="P15" i="1300"/>
  <c r="AC15" i="1300" s="1"/>
  <c r="O15" i="1300"/>
  <c r="M15" i="1300"/>
  <c r="AF14" i="1300"/>
  <c r="AB14" i="1300"/>
  <c r="Q14" i="1300"/>
  <c r="P14" i="1300"/>
  <c r="AC14" i="1300" s="1"/>
  <c r="O14" i="1300"/>
  <c r="M14" i="1300"/>
  <c r="K14" i="1300"/>
  <c r="AF13" i="1300"/>
  <c r="AB13" i="1300"/>
  <c r="Q13" i="1300"/>
  <c r="P13" i="1300"/>
  <c r="AC13" i="1300" s="1"/>
  <c r="O13" i="1300"/>
  <c r="M13" i="1300"/>
  <c r="K13" i="1300"/>
  <c r="AF12" i="1300"/>
  <c r="AB12" i="1300"/>
  <c r="Q12" i="1300"/>
  <c r="P12" i="1300"/>
  <c r="AC12" i="1300" s="1"/>
  <c r="O12" i="1300"/>
  <c r="M12" i="1300"/>
  <c r="K12" i="1300"/>
  <c r="AF10" i="1300"/>
  <c r="AB10" i="1300"/>
  <c r="Q10" i="1300"/>
  <c r="P10" i="1300"/>
  <c r="AC10" i="1300" s="1"/>
  <c r="O10" i="1300"/>
  <c r="M10" i="1300"/>
  <c r="AF8" i="1300"/>
  <c r="AB8" i="1300"/>
  <c r="Q8" i="1300"/>
  <c r="P8" i="1300" s="1"/>
  <c r="AC8" i="1300" s="1"/>
  <c r="O8" i="1300"/>
  <c r="M8" i="1300"/>
  <c r="AF7" i="1300"/>
  <c r="AB7" i="1300"/>
  <c r="Q7" i="1300"/>
  <c r="P7" i="1300"/>
  <c r="AC7" i="1300" s="1"/>
  <c r="O7" i="1300"/>
  <c r="M7" i="1300"/>
  <c r="K7" i="1300"/>
  <c r="AF6" i="1300"/>
  <c r="AB6" i="1300"/>
  <c r="Q6" i="1300"/>
  <c r="P6" i="1300"/>
  <c r="O6" i="1300"/>
  <c r="M6" i="1300"/>
  <c r="K6" i="1300"/>
  <c r="AE14" i="1303" l="1"/>
  <c r="AE12" i="1303"/>
  <c r="AE9" i="1303"/>
  <c r="AE10" i="1303"/>
  <c r="AE7" i="1303"/>
  <c r="AE18" i="1303"/>
  <c r="AE6" i="1303"/>
  <c r="AE17" i="1303"/>
  <c r="AE20" i="1303"/>
  <c r="AE13" i="1303"/>
  <c r="AE22" i="1303"/>
  <c r="AE15" i="1303"/>
  <c r="AE8" i="1303"/>
  <c r="AE16" i="1303"/>
  <c r="AE19" i="1303"/>
  <c r="AE23" i="1303"/>
  <c r="AE11" i="1303"/>
  <c r="AD23" i="1302"/>
  <c r="AE8" i="1302" s="1"/>
  <c r="AE21" i="1302"/>
  <c r="P21" i="1301"/>
  <c r="AD21" i="1301"/>
  <c r="AE15" i="1301" s="1"/>
  <c r="AD22" i="1300"/>
  <c r="O11" i="1300"/>
  <c r="AD14" i="1300"/>
  <c r="K23" i="1300"/>
  <c r="P11" i="1300"/>
  <c r="AC11" i="1300" s="1"/>
  <c r="L23" i="1300"/>
  <c r="O23" i="1300" s="1"/>
  <c r="M11" i="1300"/>
  <c r="AD9" i="1300"/>
  <c r="AD13" i="1300"/>
  <c r="AD21" i="1300"/>
  <c r="AE11" i="1300" s="1"/>
  <c r="AD7" i="1300"/>
  <c r="Q23" i="1300"/>
  <c r="AD8" i="1300"/>
  <c r="AD17" i="1300"/>
  <c r="AD12" i="1300"/>
  <c r="AD15" i="1300"/>
  <c r="AD19" i="1300"/>
  <c r="AD16" i="1300"/>
  <c r="AD20" i="1300"/>
  <c r="AD10" i="1300"/>
  <c r="P23" i="1300"/>
  <c r="AC6" i="1300"/>
  <c r="M18" i="1300"/>
  <c r="M23" i="1300" s="1"/>
  <c r="AB18" i="1300"/>
  <c r="AD18" i="1300" s="1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K19" i="1299"/>
  <c r="L16" i="1299"/>
  <c r="K16" i="1299"/>
  <c r="K8" i="1299"/>
  <c r="K18" i="1299"/>
  <c r="K13" i="1299"/>
  <c r="K12" i="1299"/>
  <c r="K9" i="1299"/>
  <c r="A74" i="1299"/>
  <c r="A75" i="1299" s="1"/>
  <c r="A76" i="1299" s="1"/>
  <c r="A77" i="1299" s="1"/>
  <c r="A78" i="1299" s="1"/>
  <c r="A79" i="1299" s="1"/>
  <c r="A80" i="1299" s="1"/>
  <c r="A81" i="1299" s="1"/>
  <c r="AF60" i="1299"/>
  <c r="AF59" i="1299"/>
  <c r="AF62" i="1299" s="1"/>
  <c r="AA21" i="1299"/>
  <c r="Z21" i="1299"/>
  <c r="Y21" i="1299"/>
  <c r="X21" i="1299"/>
  <c r="W21" i="1299"/>
  <c r="V21" i="1299"/>
  <c r="U21" i="1299"/>
  <c r="T21" i="1299"/>
  <c r="S21" i="1299"/>
  <c r="R21" i="1299"/>
  <c r="N21" i="1299"/>
  <c r="J21" i="1299"/>
  <c r="I21" i="1299"/>
  <c r="AF20" i="1299"/>
  <c r="AB20" i="1299"/>
  <c r="Q20" i="1299"/>
  <c r="P20" i="1299"/>
  <c r="AC20" i="1299" s="1"/>
  <c r="O20" i="1299"/>
  <c r="M20" i="1299"/>
  <c r="K20" i="1299"/>
  <c r="AF19" i="1299"/>
  <c r="AB19" i="1299"/>
  <c r="Q19" i="1299"/>
  <c r="P19" i="1299" s="1"/>
  <c r="AC19" i="1299" s="1"/>
  <c r="O19" i="1299"/>
  <c r="M19" i="1299"/>
  <c r="AF18" i="1299"/>
  <c r="AB18" i="1299"/>
  <c r="Q18" i="1299"/>
  <c r="P18" i="1299"/>
  <c r="AC18" i="1299" s="1"/>
  <c r="O18" i="1299"/>
  <c r="M18" i="1299"/>
  <c r="AF17" i="1299"/>
  <c r="AB17" i="1299"/>
  <c r="Q17" i="1299"/>
  <c r="P17" i="1299"/>
  <c r="AC17" i="1299" s="1"/>
  <c r="AD17" i="1299" s="1"/>
  <c r="O17" i="1299"/>
  <c r="M17" i="1299"/>
  <c r="K17" i="1299"/>
  <c r="AF16" i="1299"/>
  <c r="AB16" i="1299"/>
  <c r="Q16" i="1299"/>
  <c r="P16" i="1299"/>
  <c r="AC16" i="1299" s="1"/>
  <c r="O16" i="1299"/>
  <c r="M16" i="1299"/>
  <c r="AF15" i="1299"/>
  <c r="AB15" i="1299"/>
  <c r="Q15" i="1299"/>
  <c r="P15" i="1299"/>
  <c r="AC15" i="1299" s="1"/>
  <c r="AD15" i="1299" s="1"/>
  <c r="O15" i="1299"/>
  <c r="M15" i="1299"/>
  <c r="K15" i="1299"/>
  <c r="AF14" i="1299"/>
  <c r="AB14" i="1299"/>
  <c r="Q14" i="1299"/>
  <c r="P14" i="1299"/>
  <c r="AC14" i="1299" s="1"/>
  <c r="O14" i="1299"/>
  <c r="M14" i="1299"/>
  <c r="K14" i="1299"/>
  <c r="AF13" i="1299"/>
  <c r="AB13" i="1299"/>
  <c r="Q13" i="1299"/>
  <c r="P13" i="1299" s="1"/>
  <c r="AC13" i="1299" s="1"/>
  <c r="O13" i="1299"/>
  <c r="M13" i="1299"/>
  <c r="AF12" i="1299"/>
  <c r="Q12" i="1299"/>
  <c r="P12" i="1299"/>
  <c r="AC12" i="1299" s="1"/>
  <c r="AF11" i="1299"/>
  <c r="AB11" i="1299"/>
  <c r="Q11" i="1299"/>
  <c r="P11" i="1299"/>
  <c r="AC11" i="1299" s="1"/>
  <c r="O11" i="1299"/>
  <c r="M11" i="1299"/>
  <c r="K11" i="1299"/>
  <c r="AF10" i="1299"/>
  <c r="AC10" i="1299"/>
  <c r="AB10" i="1299"/>
  <c r="Q10" i="1299"/>
  <c r="P10" i="1299"/>
  <c r="O10" i="1299"/>
  <c r="M10" i="1299"/>
  <c r="K10" i="1299"/>
  <c r="AF9" i="1299"/>
  <c r="Q9" i="1299"/>
  <c r="P9" i="1299" s="1"/>
  <c r="AC9" i="1299" s="1"/>
  <c r="O9" i="1299"/>
  <c r="AF8" i="1299"/>
  <c r="AB8" i="1299"/>
  <c r="Q8" i="1299"/>
  <c r="P8" i="1299" s="1"/>
  <c r="AC8" i="1299" s="1"/>
  <c r="O8" i="1299"/>
  <c r="M8" i="1299"/>
  <c r="L21" i="1299"/>
  <c r="O21" i="1299" s="1"/>
  <c r="AF7" i="1299"/>
  <c r="AC7" i="1299"/>
  <c r="AB7" i="1299"/>
  <c r="Q7" i="1299"/>
  <c r="P7" i="1299"/>
  <c r="O7" i="1299"/>
  <c r="M7" i="1299"/>
  <c r="K7" i="1299"/>
  <c r="AF6" i="1299"/>
  <c r="AB6" i="1299"/>
  <c r="Q6" i="1299"/>
  <c r="P6" i="1299"/>
  <c r="AC6" i="1299" s="1"/>
  <c r="O6" i="1299"/>
  <c r="M6" i="1299"/>
  <c r="K6" i="1299"/>
  <c r="AE6" i="1302" l="1"/>
  <c r="AE11" i="1302"/>
  <c r="AE10" i="1302"/>
  <c r="AE18" i="1302"/>
  <c r="AE16" i="1302"/>
  <c r="AE22" i="1302"/>
  <c r="AE20" i="1302"/>
  <c r="AE15" i="1302"/>
  <c r="AE9" i="1302"/>
  <c r="AE13" i="1302"/>
  <c r="AE19" i="1302"/>
  <c r="AE12" i="1302"/>
  <c r="AE7" i="1302"/>
  <c r="AE17" i="1302"/>
  <c r="AE14" i="1302"/>
  <c r="AE17" i="1301"/>
  <c r="AE19" i="1301"/>
  <c r="AE10" i="1301"/>
  <c r="AE16" i="1301"/>
  <c r="AE20" i="1301"/>
  <c r="AE6" i="1301"/>
  <c r="AE8" i="1301"/>
  <c r="AE12" i="1301"/>
  <c r="AE11" i="1301"/>
  <c r="AE9" i="1301"/>
  <c r="AE18" i="1301"/>
  <c r="AE13" i="1301"/>
  <c r="AE14" i="1301"/>
  <c r="AE7" i="1301"/>
  <c r="AD11" i="1300"/>
  <c r="AB23" i="1300"/>
  <c r="AC23" i="1300"/>
  <c r="AD6" i="1300"/>
  <c r="Q21" i="1299"/>
  <c r="AD7" i="1299"/>
  <c r="AD8" i="1299"/>
  <c r="AD10" i="1299"/>
  <c r="AD13" i="1299"/>
  <c r="AD11" i="1299"/>
  <c r="AD14" i="1299"/>
  <c r="AD18" i="1299"/>
  <c r="AD20" i="1299"/>
  <c r="AD16" i="1299"/>
  <c r="AD19" i="1299"/>
  <c r="AC21" i="1299"/>
  <c r="AD6" i="1299"/>
  <c r="AB12" i="1299"/>
  <c r="AD12" i="1299" s="1"/>
  <c r="M9" i="1299"/>
  <c r="AB9" i="1299"/>
  <c r="AD9" i="1299" s="1"/>
  <c r="O12" i="1299"/>
  <c r="P21" i="1299"/>
  <c r="M12" i="1299"/>
  <c r="K21" i="1299"/>
  <c r="AD23" i="1300" l="1"/>
  <c r="AE9" i="1300" s="1"/>
  <c r="M21" i="1299"/>
  <c r="AB21" i="1299"/>
  <c r="AD21" i="1299"/>
  <c r="AE19" i="1300" l="1"/>
  <c r="AE21" i="1300"/>
  <c r="AE16" i="1300"/>
  <c r="AE22" i="1300"/>
  <c r="AE10" i="1300"/>
  <c r="AE15" i="1300"/>
  <c r="AE18" i="1300"/>
  <c r="AE17" i="1300"/>
  <c r="AE14" i="1300"/>
  <c r="AE7" i="1300"/>
  <c r="AE6" i="1300"/>
  <c r="AE12" i="1300"/>
  <c r="AE20" i="1300"/>
  <c r="AE13" i="1300"/>
  <c r="AE8" i="1300"/>
  <c r="AE19" i="1299"/>
  <c r="AE17" i="1299"/>
  <c r="AE15" i="1299"/>
  <c r="AE13" i="1299"/>
  <c r="AE10" i="1299"/>
  <c r="AE7" i="1299"/>
  <c r="AE18" i="1299"/>
  <c r="AE16" i="1299"/>
  <c r="AE11" i="1299"/>
  <c r="AE9" i="1299"/>
  <c r="AE6" i="1299"/>
  <c r="AE8" i="1299"/>
  <c r="AE20" i="1299"/>
  <c r="AE14" i="1299"/>
  <c r="AE12" i="1299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K19" i="1298"/>
  <c r="K18" i="1298"/>
  <c r="L13" i="1298"/>
  <c r="L12" i="1298"/>
  <c r="L9" i="1298"/>
  <c r="K9" i="1298"/>
  <c r="M9" i="1298"/>
  <c r="L8" i="1298"/>
  <c r="K8" i="1298"/>
  <c r="K16" i="1298"/>
  <c r="K13" i="1298"/>
  <c r="K12" i="1298"/>
  <c r="A75" i="1298"/>
  <c r="A76" i="1298" s="1"/>
  <c r="A77" i="1298" s="1"/>
  <c r="A78" i="1298" s="1"/>
  <c r="A79" i="1298" s="1"/>
  <c r="A80" i="1298" s="1"/>
  <c r="A81" i="1298" s="1"/>
  <c r="A74" i="1298"/>
  <c r="AF60" i="1298"/>
  <c r="AF59" i="1298"/>
  <c r="AF62" i="1298" s="1"/>
  <c r="AA21" i="1298"/>
  <c r="Z21" i="1298"/>
  <c r="Y21" i="1298"/>
  <c r="X21" i="1298"/>
  <c r="W21" i="1298"/>
  <c r="V21" i="1298"/>
  <c r="U21" i="1298"/>
  <c r="T21" i="1298"/>
  <c r="S21" i="1298"/>
  <c r="R21" i="1298"/>
  <c r="N21" i="1298"/>
  <c r="J21" i="1298"/>
  <c r="I21" i="1298"/>
  <c r="AF20" i="1298"/>
  <c r="AB20" i="1298"/>
  <c r="Q20" i="1298"/>
  <c r="P20" i="1298"/>
  <c r="AC20" i="1298" s="1"/>
  <c r="AD20" i="1298" s="1"/>
  <c r="O20" i="1298"/>
  <c r="M20" i="1298"/>
  <c r="K20" i="1298"/>
  <c r="AF19" i="1298"/>
  <c r="Q19" i="1298"/>
  <c r="P19" i="1298"/>
  <c r="AC19" i="1298" s="1"/>
  <c r="O19" i="1298"/>
  <c r="M19" i="1298"/>
  <c r="AB19" i="1298"/>
  <c r="AF18" i="1298"/>
  <c r="AB18" i="1298"/>
  <c r="Q18" i="1298"/>
  <c r="P18" i="1298" s="1"/>
  <c r="AC18" i="1298" s="1"/>
  <c r="O18" i="1298"/>
  <c r="M18" i="1298"/>
  <c r="AF17" i="1298"/>
  <c r="AB17" i="1298"/>
  <c r="Q17" i="1298"/>
  <c r="P17" i="1298"/>
  <c r="AC17" i="1298" s="1"/>
  <c r="O17" i="1298"/>
  <c r="M17" i="1298"/>
  <c r="K17" i="1298"/>
  <c r="AF16" i="1298"/>
  <c r="AB16" i="1298"/>
  <c r="Q16" i="1298"/>
  <c r="P16" i="1298"/>
  <c r="AC16" i="1298" s="1"/>
  <c r="AD16" i="1298" s="1"/>
  <c r="O16" i="1298"/>
  <c r="M16" i="1298"/>
  <c r="AF15" i="1298"/>
  <c r="AB15" i="1298"/>
  <c r="Q15" i="1298"/>
  <c r="P15" i="1298"/>
  <c r="AC15" i="1298" s="1"/>
  <c r="O15" i="1298"/>
  <c r="M15" i="1298"/>
  <c r="K15" i="1298"/>
  <c r="AF14" i="1298"/>
  <c r="AC14" i="1298"/>
  <c r="AD14" i="1298" s="1"/>
  <c r="AB14" i="1298"/>
  <c r="Q14" i="1298"/>
  <c r="P14" i="1298"/>
  <c r="O14" i="1298"/>
  <c r="M14" i="1298"/>
  <c r="K14" i="1298"/>
  <c r="AF13" i="1298"/>
  <c r="Q13" i="1298"/>
  <c r="O13" i="1298"/>
  <c r="AF12" i="1298"/>
  <c r="Q12" i="1298"/>
  <c r="P12" i="1298"/>
  <c r="AC12" i="1298" s="1"/>
  <c r="AB12" i="1298"/>
  <c r="AF11" i="1298"/>
  <c r="AC11" i="1298"/>
  <c r="AB11" i="1298"/>
  <c r="Q11" i="1298"/>
  <c r="P11" i="1298"/>
  <c r="O11" i="1298"/>
  <c r="M11" i="1298"/>
  <c r="K11" i="1298"/>
  <c r="AF10" i="1298"/>
  <c r="AB10" i="1298"/>
  <c r="Q10" i="1298"/>
  <c r="P10" i="1298"/>
  <c r="AC10" i="1298" s="1"/>
  <c r="O10" i="1298"/>
  <c r="M10" i="1298"/>
  <c r="K10" i="1298"/>
  <c r="AF9" i="1298"/>
  <c r="Q9" i="1298"/>
  <c r="P9" i="1298" s="1"/>
  <c r="AC9" i="1298" s="1"/>
  <c r="AF8" i="1298"/>
  <c r="AB8" i="1298"/>
  <c r="Q8" i="1298"/>
  <c r="O8" i="1298"/>
  <c r="M8" i="1298"/>
  <c r="L21" i="1298"/>
  <c r="O21" i="1298" s="1"/>
  <c r="AF7" i="1298"/>
  <c r="AC7" i="1298"/>
  <c r="AD7" i="1298" s="1"/>
  <c r="AB7" i="1298"/>
  <c r="Q7" i="1298"/>
  <c r="P7" i="1298"/>
  <c r="O7" i="1298"/>
  <c r="M7" i="1298"/>
  <c r="K7" i="1298"/>
  <c r="AF6" i="1298"/>
  <c r="AC6" i="1298"/>
  <c r="AB6" i="1298"/>
  <c r="Q6" i="1298"/>
  <c r="P6" i="1298"/>
  <c r="O6" i="1298"/>
  <c r="M6" i="1298"/>
  <c r="K6" i="1298"/>
  <c r="L19" i="1297"/>
  <c r="AB19" i="1297" s="1"/>
  <c r="L18" i="1297"/>
  <c r="K18" i="1297"/>
  <c r="L13" i="1297"/>
  <c r="K13" i="1297"/>
  <c r="L12" i="1297"/>
  <c r="O12" i="1297" s="1"/>
  <c r="L9" i="1297"/>
  <c r="K9" i="1297"/>
  <c r="L8" i="1297"/>
  <c r="K19" i="1297"/>
  <c r="K8" i="1297"/>
  <c r="A74" i="1297"/>
  <c r="A75" i="1297" s="1"/>
  <c r="A76" i="1297" s="1"/>
  <c r="A77" i="1297" s="1"/>
  <c r="A78" i="1297" s="1"/>
  <c r="A79" i="1297" s="1"/>
  <c r="A80" i="1297" s="1"/>
  <c r="A81" i="1297" s="1"/>
  <c r="AF60" i="1297"/>
  <c r="AF62" i="1297" s="1"/>
  <c r="AF59" i="1297"/>
  <c r="AA21" i="1297"/>
  <c r="Z21" i="1297"/>
  <c r="Y21" i="1297"/>
  <c r="X21" i="1297"/>
  <c r="W21" i="1297"/>
  <c r="V21" i="1297"/>
  <c r="U21" i="1297"/>
  <c r="T21" i="1297"/>
  <c r="S21" i="1297"/>
  <c r="R21" i="1297"/>
  <c r="N21" i="1297"/>
  <c r="J21" i="1297"/>
  <c r="I21" i="1297"/>
  <c r="AF20" i="1297"/>
  <c r="AB20" i="1297"/>
  <c r="Q20" i="1297"/>
  <c r="P20" i="1297"/>
  <c r="AC20" i="1297" s="1"/>
  <c r="AD20" i="1297" s="1"/>
  <c r="O20" i="1297"/>
  <c r="M20" i="1297"/>
  <c r="K20" i="1297"/>
  <c r="AF19" i="1297"/>
  <c r="Q19" i="1297"/>
  <c r="P19" i="1297" s="1"/>
  <c r="AC19" i="1297" s="1"/>
  <c r="M19" i="1297"/>
  <c r="AF18" i="1297"/>
  <c r="AB18" i="1297"/>
  <c r="Q18" i="1297"/>
  <c r="O18" i="1297"/>
  <c r="M18" i="1297"/>
  <c r="AF17" i="1297"/>
  <c r="AC17" i="1297"/>
  <c r="AB17" i="1297"/>
  <c r="Q17" i="1297"/>
  <c r="P17" i="1297"/>
  <c r="O17" i="1297"/>
  <c r="M17" i="1297"/>
  <c r="K17" i="1297"/>
  <c r="AF16" i="1297"/>
  <c r="AB16" i="1297"/>
  <c r="Q16" i="1297"/>
  <c r="P16" i="1297" s="1"/>
  <c r="AC16" i="1297" s="1"/>
  <c r="O16" i="1297"/>
  <c r="M16" i="1297"/>
  <c r="K16" i="1297"/>
  <c r="AF15" i="1297"/>
  <c r="AC15" i="1297"/>
  <c r="AB15" i="1297"/>
  <c r="Q15" i="1297"/>
  <c r="P15" i="1297"/>
  <c r="O15" i="1297"/>
  <c r="M15" i="1297"/>
  <c r="K15" i="1297"/>
  <c r="AF14" i="1297"/>
  <c r="AC14" i="1297"/>
  <c r="AB14" i="1297"/>
  <c r="Q14" i="1297"/>
  <c r="P14" i="1297"/>
  <c r="O14" i="1297"/>
  <c r="M14" i="1297"/>
  <c r="K14" i="1297"/>
  <c r="AF13" i="1297"/>
  <c r="AB13" i="1297"/>
  <c r="Q13" i="1297"/>
  <c r="O13" i="1297"/>
  <c r="M13" i="1297"/>
  <c r="AF12" i="1297"/>
  <c r="Q12" i="1297"/>
  <c r="P12" i="1297" s="1"/>
  <c r="AC12" i="1297" s="1"/>
  <c r="M12" i="1297"/>
  <c r="AF11" i="1297"/>
  <c r="AC11" i="1297"/>
  <c r="AD11" i="1297" s="1"/>
  <c r="AB11" i="1297"/>
  <c r="Q11" i="1297"/>
  <c r="P11" i="1297"/>
  <c r="O11" i="1297"/>
  <c r="M11" i="1297"/>
  <c r="K11" i="1297"/>
  <c r="AF10" i="1297"/>
  <c r="AC10" i="1297"/>
  <c r="AB10" i="1297"/>
  <c r="Q10" i="1297"/>
  <c r="P10" i="1297"/>
  <c r="O10" i="1297"/>
  <c r="M10" i="1297"/>
  <c r="K10" i="1297"/>
  <c r="AF9" i="1297"/>
  <c r="AB9" i="1297"/>
  <c r="Q9" i="1297"/>
  <c r="M9" i="1297"/>
  <c r="AF8" i="1297"/>
  <c r="AB8" i="1297"/>
  <c r="Q8" i="1297"/>
  <c r="P8" i="1297" s="1"/>
  <c r="O8" i="1297"/>
  <c r="M8" i="1297"/>
  <c r="AF7" i="1297"/>
  <c r="AC7" i="1297"/>
  <c r="AD7" i="1297" s="1"/>
  <c r="AB7" i="1297"/>
  <c r="Q7" i="1297"/>
  <c r="P7" i="1297"/>
  <c r="O7" i="1297"/>
  <c r="M7" i="1297"/>
  <c r="K7" i="1297"/>
  <c r="AF6" i="1297"/>
  <c r="AC6" i="1297"/>
  <c r="AB6" i="1297"/>
  <c r="Q6" i="1297"/>
  <c r="P6" i="1297"/>
  <c r="O6" i="1297"/>
  <c r="M6" i="1297"/>
  <c r="K6" i="1297"/>
  <c r="O9" i="1298" l="1"/>
  <c r="AB9" i="1298"/>
  <c r="AD9" i="1298" s="1"/>
  <c r="Q21" i="1298"/>
  <c r="P8" i="1298"/>
  <c r="AC8" i="1298" s="1"/>
  <c r="AD8" i="1298" s="1"/>
  <c r="AD10" i="1298"/>
  <c r="AD17" i="1298"/>
  <c r="AD18" i="1298"/>
  <c r="AD11" i="1298"/>
  <c r="AD15" i="1298"/>
  <c r="AD19" i="1298"/>
  <c r="O12" i="1298"/>
  <c r="AD12" i="1298" s="1"/>
  <c r="K21" i="1298"/>
  <c r="P13" i="1298"/>
  <c r="AC13" i="1298" s="1"/>
  <c r="AC21" i="1298" s="1"/>
  <c r="AD6" i="1298"/>
  <c r="M13" i="1298"/>
  <c r="AB13" i="1298"/>
  <c r="AB21" i="1298" s="1"/>
  <c r="M12" i="1298"/>
  <c r="O19" i="1297"/>
  <c r="P18" i="1297"/>
  <c r="AC18" i="1297" s="1"/>
  <c r="AD18" i="1297" s="1"/>
  <c r="M21" i="1297"/>
  <c r="P13" i="1297"/>
  <c r="AC13" i="1297" s="1"/>
  <c r="AD13" i="1297" s="1"/>
  <c r="AB12" i="1297"/>
  <c r="AD12" i="1297" s="1"/>
  <c r="K12" i="1297"/>
  <c r="P9" i="1297"/>
  <c r="AC9" i="1297" s="1"/>
  <c r="O9" i="1297"/>
  <c r="AD9" i="1297" s="1"/>
  <c r="L21" i="1297"/>
  <c r="O21" i="1297" s="1"/>
  <c r="Q21" i="1297"/>
  <c r="AD14" i="1297"/>
  <c r="AD15" i="1297"/>
  <c r="AD16" i="1297"/>
  <c r="AD17" i="1297"/>
  <c r="AD10" i="1297"/>
  <c r="K21" i="1297"/>
  <c r="AC8" i="1297"/>
  <c r="AD8" i="1297" s="1"/>
  <c r="AD19" i="1297"/>
  <c r="AD6" i="1297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19" i="1296"/>
  <c r="M19" i="1296" s="1"/>
  <c r="K19" i="1296"/>
  <c r="K18" i="1296"/>
  <c r="K13" i="1296"/>
  <c r="K12" i="1296"/>
  <c r="K9" i="1296"/>
  <c r="K8" i="1296"/>
  <c r="A75" i="1296"/>
  <c r="A76" i="1296" s="1"/>
  <c r="A77" i="1296" s="1"/>
  <c r="A78" i="1296" s="1"/>
  <c r="A79" i="1296" s="1"/>
  <c r="A80" i="1296" s="1"/>
  <c r="A81" i="1296" s="1"/>
  <c r="A74" i="1296"/>
  <c r="AF60" i="1296"/>
  <c r="AF59" i="1296"/>
  <c r="AF62" i="1296" s="1"/>
  <c r="AA21" i="1296"/>
  <c r="Z21" i="1296"/>
  <c r="Y21" i="1296"/>
  <c r="X21" i="1296"/>
  <c r="W21" i="1296"/>
  <c r="V21" i="1296"/>
  <c r="U21" i="1296"/>
  <c r="T21" i="1296"/>
  <c r="S21" i="1296"/>
  <c r="R21" i="1296"/>
  <c r="N21" i="1296"/>
  <c r="J21" i="1296"/>
  <c r="I21" i="1296"/>
  <c r="AF20" i="1296"/>
  <c r="AB20" i="1296"/>
  <c r="Q20" i="1296"/>
  <c r="P20" i="1296"/>
  <c r="AC20" i="1296" s="1"/>
  <c r="AD20" i="1296" s="1"/>
  <c r="O20" i="1296"/>
  <c r="M20" i="1296"/>
  <c r="K20" i="1296"/>
  <c r="AF19" i="1296"/>
  <c r="AB19" i="1296"/>
  <c r="Q19" i="1296"/>
  <c r="P19" i="1296" s="1"/>
  <c r="AC19" i="1296" s="1"/>
  <c r="O19" i="1296"/>
  <c r="AF18" i="1296"/>
  <c r="Q18" i="1296"/>
  <c r="P18" i="1296"/>
  <c r="AC18" i="1296" s="1"/>
  <c r="AF17" i="1296"/>
  <c r="AB17" i="1296"/>
  <c r="Q17" i="1296"/>
  <c r="P17" i="1296"/>
  <c r="AC17" i="1296" s="1"/>
  <c r="O17" i="1296"/>
  <c r="M17" i="1296"/>
  <c r="K17" i="1296"/>
  <c r="AF16" i="1296"/>
  <c r="AB16" i="1296"/>
  <c r="Q16" i="1296"/>
  <c r="P16" i="1296"/>
  <c r="AC16" i="1296" s="1"/>
  <c r="AD16" i="1296" s="1"/>
  <c r="O16" i="1296"/>
  <c r="M16" i="1296"/>
  <c r="K16" i="1296"/>
  <c r="AF15" i="1296"/>
  <c r="AB15" i="1296"/>
  <c r="Q15" i="1296"/>
  <c r="P15" i="1296"/>
  <c r="AC15" i="1296" s="1"/>
  <c r="AD15" i="1296" s="1"/>
  <c r="O15" i="1296"/>
  <c r="M15" i="1296"/>
  <c r="K15" i="1296"/>
  <c r="AF14" i="1296"/>
  <c r="AB14" i="1296"/>
  <c r="Q14" i="1296"/>
  <c r="P14" i="1296"/>
  <c r="AC14" i="1296" s="1"/>
  <c r="AD14" i="1296" s="1"/>
  <c r="O14" i="1296"/>
  <c r="M14" i="1296"/>
  <c r="K14" i="1296"/>
  <c r="AF13" i="1296"/>
  <c r="Q13" i="1296"/>
  <c r="P13" i="1296"/>
  <c r="AC13" i="1296" s="1"/>
  <c r="O13" i="1296"/>
  <c r="AF12" i="1296"/>
  <c r="Q12" i="1296"/>
  <c r="P12" i="1296" s="1"/>
  <c r="AC12" i="1296" s="1"/>
  <c r="O12" i="1296"/>
  <c r="AB12" i="1296"/>
  <c r="AF11" i="1296"/>
  <c r="AC11" i="1296"/>
  <c r="AB11" i="1296"/>
  <c r="Q11" i="1296"/>
  <c r="P11" i="1296"/>
  <c r="O11" i="1296"/>
  <c r="M11" i="1296"/>
  <c r="K11" i="1296"/>
  <c r="AF10" i="1296"/>
  <c r="AB10" i="1296"/>
  <c r="Q10" i="1296"/>
  <c r="P10" i="1296"/>
  <c r="AC10" i="1296" s="1"/>
  <c r="O10" i="1296"/>
  <c r="M10" i="1296"/>
  <c r="K10" i="1296"/>
  <c r="AF9" i="1296"/>
  <c r="AB9" i="1296"/>
  <c r="Q9" i="1296"/>
  <c r="P9" i="1296"/>
  <c r="AC9" i="1296" s="1"/>
  <c r="AD9" i="1296" s="1"/>
  <c r="O9" i="1296"/>
  <c r="M9" i="1296"/>
  <c r="AF8" i="1296"/>
  <c r="Q8" i="1296"/>
  <c r="P8" i="1296" s="1"/>
  <c r="AC8" i="1296" s="1"/>
  <c r="AF7" i="1296"/>
  <c r="AB7" i="1296"/>
  <c r="Q7" i="1296"/>
  <c r="P7" i="1296"/>
  <c r="AC7" i="1296" s="1"/>
  <c r="AD7" i="1296" s="1"/>
  <c r="O7" i="1296"/>
  <c r="M7" i="1296"/>
  <c r="K7" i="1296"/>
  <c r="AF6" i="1296"/>
  <c r="AC6" i="1296"/>
  <c r="AB6" i="1296"/>
  <c r="Q6" i="1296"/>
  <c r="P6" i="1296"/>
  <c r="O6" i="1296"/>
  <c r="M6" i="1296"/>
  <c r="K6" i="1296"/>
  <c r="M21" i="1298" l="1"/>
  <c r="AD13" i="1298"/>
  <c r="AD21" i="1298"/>
  <c r="P21" i="1298"/>
  <c r="P21" i="1297"/>
  <c r="AB21" i="1297"/>
  <c r="AC21" i="1297"/>
  <c r="AD21" i="1297"/>
  <c r="Q21" i="1296"/>
  <c r="AD19" i="1296"/>
  <c r="AD11" i="1296"/>
  <c r="AD10" i="1296"/>
  <c r="AD17" i="1296"/>
  <c r="AC21" i="1296"/>
  <c r="P21" i="1296"/>
  <c r="AD12" i="1296"/>
  <c r="AB8" i="1296"/>
  <c r="O8" i="1296"/>
  <c r="AD8" i="1296" s="1"/>
  <c r="M13" i="1296"/>
  <c r="AB13" i="1296"/>
  <c r="AD13" i="1296" s="1"/>
  <c r="O18" i="1296"/>
  <c r="L21" i="1296"/>
  <c r="O21" i="1296" s="1"/>
  <c r="M8" i="1296"/>
  <c r="M18" i="1296"/>
  <c r="AB18" i="1296"/>
  <c r="AD18" i="1296" s="1"/>
  <c r="AD6" i="1296"/>
  <c r="K21" i="1296"/>
  <c r="M12" i="129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L19" i="1295"/>
  <c r="K19" i="1295" s="1"/>
  <c r="AF19" i="1295"/>
  <c r="AB19" i="1295"/>
  <c r="Q19" i="1295"/>
  <c r="P19" i="1295" s="1"/>
  <c r="AC19" i="1295" s="1"/>
  <c r="O19" i="1295"/>
  <c r="M19" i="1295"/>
  <c r="L18" i="1295"/>
  <c r="O18" i="1295" s="1"/>
  <c r="K17" i="1295"/>
  <c r="K16" i="1295"/>
  <c r="L13" i="1295"/>
  <c r="K13" i="1295" s="1"/>
  <c r="L12" i="1295"/>
  <c r="K12" i="1295" s="1"/>
  <c r="L9" i="1295"/>
  <c r="O9" i="1295" s="1"/>
  <c r="L8" i="1295"/>
  <c r="K8" i="1295" s="1"/>
  <c r="K7" i="1295"/>
  <c r="K6" i="1295"/>
  <c r="K10" i="1295"/>
  <c r="A74" i="1295"/>
  <c r="A75" i="1295" s="1"/>
  <c r="A76" i="1295" s="1"/>
  <c r="A77" i="1295" s="1"/>
  <c r="A78" i="1295" s="1"/>
  <c r="A79" i="1295" s="1"/>
  <c r="A80" i="1295" s="1"/>
  <c r="A81" i="1295" s="1"/>
  <c r="AF60" i="1295"/>
  <c r="AF59" i="1295"/>
  <c r="AF62" i="1295" s="1"/>
  <c r="AA21" i="1295"/>
  <c r="Z21" i="1295"/>
  <c r="Y21" i="1295"/>
  <c r="X21" i="1295"/>
  <c r="W21" i="1295"/>
  <c r="V21" i="1295"/>
  <c r="U21" i="1295"/>
  <c r="T21" i="1295"/>
  <c r="S21" i="1295"/>
  <c r="R21" i="1295"/>
  <c r="N21" i="1295"/>
  <c r="J21" i="1295"/>
  <c r="I21" i="1295"/>
  <c r="AF20" i="1295"/>
  <c r="AB20" i="1295"/>
  <c r="Q20" i="1295"/>
  <c r="P20" i="1295"/>
  <c r="AC20" i="1295" s="1"/>
  <c r="O20" i="1295"/>
  <c r="M20" i="1295"/>
  <c r="K20" i="1295"/>
  <c r="AF18" i="1295"/>
  <c r="Q18" i="1295"/>
  <c r="P18" i="1295" s="1"/>
  <c r="AC18" i="1295" s="1"/>
  <c r="AF17" i="1295"/>
  <c r="AB17" i="1295"/>
  <c r="Q17" i="1295"/>
  <c r="P17" i="1295"/>
  <c r="AC17" i="1295" s="1"/>
  <c r="O17" i="1295"/>
  <c r="M17" i="1295"/>
  <c r="AF16" i="1295"/>
  <c r="AB16" i="1295"/>
  <c r="Q16" i="1295"/>
  <c r="P16" i="1295"/>
  <c r="AC16" i="1295" s="1"/>
  <c r="M16" i="1295"/>
  <c r="O16" i="1295"/>
  <c r="AF15" i="1295"/>
  <c r="AB15" i="1295"/>
  <c r="Q15" i="1295"/>
  <c r="P15" i="1295"/>
  <c r="AC15" i="1295" s="1"/>
  <c r="AD15" i="1295" s="1"/>
  <c r="O15" i="1295"/>
  <c r="M15" i="1295"/>
  <c r="K15" i="1295"/>
  <c r="AF14" i="1295"/>
  <c r="AB14" i="1295"/>
  <c r="Q14" i="1295"/>
  <c r="P14" i="1295"/>
  <c r="AC14" i="1295" s="1"/>
  <c r="O14" i="1295"/>
  <c r="M14" i="1295"/>
  <c r="K14" i="1295"/>
  <c r="AF13" i="1295"/>
  <c r="Q13" i="1295"/>
  <c r="AB13" i="1295"/>
  <c r="AF12" i="1295"/>
  <c r="Q12" i="1295"/>
  <c r="M12" i="1295"/>
  <c r="AF11" i="1295"/>
  <c r="AC11" i="1295"/>
  <c r="AD11" i="1295" s="1"/>
  <c r="AB11" i="1295"/>
  <c r="Q11" i="1295"/>
  <c r="P11" i="1295"/>
  <c r="O11" i="1295"/>
  <c r="M11" i="1295"/>
  <c r="K11" i="1295"/>
  <c r="AF10" i="1295"/>
  <c r="Q10" i="1295"/>
  <c r="O10" i="1295"/>
  <c r="P10" i="1295"/>
  <c r="AC10" i="1295" s="1"/>
  <c r="AF9" i="1295"/>
  <c r="AB9" i="1295"/>
  <c r="Q9" i="1295"/>
  <c r="P9" i="1295"/>
  <c r="AC9" i="1295" s="1"/>
  <c r="M9" i="1295"/>
  <c r="AF8" i="1295"/>
  <c r="Q8" i="1295"/>
  <c r="AF7" i="1295"/>
  <c r="AB7" i="1295"/>
  <c r="Q7" i="1295"/>
  <c r="P7" i="1295"/>
  <c r="AC7" i="1295" s="1"/>
  <c r="O7" i="1295"/>
  <c r="M7" i="1295"/>
  <c r="AF6" i="1295"/>
  <c r="AB6" i="1295"/>
  <c r="Q6" i="1295"/>
  <c r="P6" i="1295"/>
  <c r="O6" i="1295"/>
  <c r="M6" i="1295"/>
  <c r="AE19" i="1298" l="1"/>
  <c r="AE16" i="1298"/>
  <c r="AE14" i="1298"/>
  <c r="AE11" i="1298"/>
  <c r="AE9" i="1298"/>
  <c r="AE6" i="1298"/>
  <c r="AE15" i="1298"/>
  <c r="AE10" i="1298"/>
  <c r="AE12" i="1298"/>
  <c r="AE20" i="1298"/>
  <c r="AE18" i="1298"/>
  <c r="AE8" i="1298"/>
  <c r="AE17" i="1298"/>
  <c r="AE13" i="1298"/>
  <c r="AE7" i="1298"/>
  <c r="AE19" i="1297"/>
  <c r="AE17" i="1297"/>
  <c r="AE15" i="1297"/>
  <c r="AE13" i="1297"/>
  <c r="AE11" i="1297"/>
  <c r="AE9" i="1297"/>
  <c r="AE7" i="1297"/>
  <c r="AE20" i="1297"/>
  <c r="AE18" i="1297"/>
  <c r="AE16" i="1297"/>
  <c r="AE14" i="1297"/>
  <c r="AE12" i="1297"/>
  <c r="AE10" i="1297"/>
  <c r="AE8" i="1297"/>
  <c r="AE6" i="1297"/>
  <c r="M21" i="1296"/>
  <c r="AD21" i="1296"/>
  <c r="AB21" i="1296"/>
  <c r="AD19" i="1295"/>
  <c r="O12" i="1295"/>
  <c r="O13" i="1295"/>
  <c r="K9" i="1295"/>
  <c r="AD20" i="1295"/>
  <c r="M18" i="1295"/>
  <c r="AB18" i="1295"/>
  <c r="AD18" i="1295" s="1"/>
  <c r="K18" i="1295"/>
  <c r="P13" i="1295"/>
  <c r="AC13" i="1295" s="1"/>
  <c r="P12" i="1295"/>
  <c r="AC12" i="1295" s="1"/>
  <c r="AB12" i="1295"/>
  <c r="Q21" i="1295"/>
  <c r="L21" i="1295"/>
  <c r="O21" i="1295" s="1"/>
  <c r="AD7" i="1295"/>
  <c r="AD14" i="1295"/>
  <c r="AD9" i="1295"/>
  <c r="AD17" i="1295"/>
  <c r="AD16" i="1295"/>
  <c r="O8" i="1295"/>
  <c r="P8" i="1295"/>
  <c r="AC8" i="1295" s="1"/>
  <c r="M10" i="1295"/>
  <c r="AB10" i="1295"/>
  <c r="AD10" i="1295" s="1"/>
  <c r="M13" i="1295"/>
  <c r="AC6" i="1295"/>
  <c r="M8" i="1295"/>
  <c r="AB8" i="1295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L20" i="1294"/>
  <c r="K20" i="1294" s="1"/>
  <c r="K19" i="1294"/>
  <c r="AF18" i="1294"/>
  <c r="AC18" i="1294"/>
  <c r="AD18" i="1294" s="1"/>
  <c r="AB18" i="1294"/>
  <c r="Q18" i="1294"/>
  <c r="P18" i="1294"/>
  <c r="O18" i="1294"/>
  <c r="M18" i="1294"/>
  <c r="K18" i="1294"/>
  <c r="L16" i="1294"/>
  <c r="O16" i="1294" s="1"/>
  <c r="K16" i="1294"/>
  <c r="L13" i="1294"/>
  <c r="O13" i="1294" s="1"/>
  <c r="L12" i="1294"/>
  <c r="K12" i="1294" s="1"/>
  <c r="L10" i="1294"/>
  <c r="K10" i="1294"/>
  <c r="L9" i="1294"/>
  <c r="AB9" i="1294" s="1"/>
  <c r="K9" i="1294"/>
  <c r="L8" i="1294"/>
  <c r="O8" i="1294" s="1"/>
  <c r="K8" i="1294"/>
  <c r="A75" i="1294"/>
  <c r="A76" i="1294" s="1"/>
  <c r="A77" i="1294" s="1"/>
  <c r="A78" i="1294" s="1"/>
  <c r="A79" i="1294" s="1"/>
  <c r="A80" i="1294" s="1"/>
  <c r="A81" i="1294" s="1"/>
  <c r="A82" i="1294" s="1"/>
  <c r="AF61" i="1294"/>
  <c r="AF60" i="1294"/>
  <c r="AF63" i="1294" s="1"/>
  <c r="AA22" i="1294"/>
  <c r="Z22" i="1294"/>
  <c r="Y22" i="1294"/>
  <c r="X22" i="1294"/>
  <c r="W22" i="1294"/>
  <c r="V22" i="1294"/>
  <c r="U22" i="1294"/>
  <c r="T22" i="1294"/>
  <c r="S22" i="1294"/>
  <c r="R22" i="1294"/>
  <c r="N22" i="1294"/>
  <c r="J22" i="1294"/>
  <c r="I22" i="1294"/>
  <c r="AF21" i="1294"/>
  <c r="AB21" i="1294"/>
  <c r="Q21" i="1294"/>
  <c r="P21" i="1294"/>
  <c r="AC21" i="1294" s="1"/>
  <c r="O21" i="1294"/>
  <c r="M21" i="1294"/>
  <c r="K21" i="1294"/>
  <c r="AF20" i="1294"/>
  <c r="Q20" i="1294"/>
  <c r="P20" i="1294" s="1"/>
  <c r="AC20" i="1294" s="1"/>
  <c r="AB20" i="1294"/>
  <c r="AF19" i="1294"/>
  <c r="AB19" i="1294"/>
  <c r="Q19" i="1294"/>
  <c r="P19" i="1294" s="1"/>
  <c r="AC19" i="1294" s="1"/>
  <c r="O19" i="1294"/>
  <c r="M19" i="1294"/>
  <c r="AF17" i="1294"/>
  <c r="AB17" i="1294"/>
  <c r="Q17" i="1294"/>
  <c r="P17" i="1294"/>
  <c r="AC17" i="1294" s="1"/>
  <c r="O17" i="1294"/>
  <c r="M17" i="1294"/>
  <c r="K17" i="1294"/>
  <c r="AF16" i="1294"/>
  <c r="AB16" i="1294"/>
  <c r="Q16" i="1294"/>
  <c r="P16" i="1294" s="1"/>
  <c r="AC16" i="1294" s="1"/>
  <c r="M16" i="1294"/>
  <c r="AF15" i="1294"/>
  <c r="AB15" i="1294"/>
  <c r="Q15" i="1294"/>
  <c r="P15" i="1294"/>
  <c r="AC15" i="1294" s="1"/>
  <c r="O15" i="1294"/>
  <c r="M15" i="1294"/>
  <c r="K15" i="1294"/>
  <c r="AF14" i="1294"/>
  <c r="AB14" i="1294"/>
  <c r="Q14" i="1294"/>
  <c r="P14" i="1294"/>
  <c r="AC14" i="1294" s="1"/>
  <c r="O14" i="1294"/>
  <c r="M14" i="1294"/>
  <c r="K14" i="1294"/>
  <c r="AF13" i="1294"/>
  <c r="Q13" i="1294"/>
  <c r="AF12" i="1294"/>
  <c r="Q12" i="1294"/>
  <c r="O12" i="1294"/>
  <c r="AF11" i="1294"/>
  <c r="AC11" i="1294"/>
  <c r="AB11" i="1294"/>
  <c r="Q11" i="1294"/>
  <c r="P11" i="1294"/>
  <c r="O11" i="1294"/>
  <c r="M11" i="1294"/>
  <c r="K11" i="1294"/>
  <c r="AF10" i="1294"/>
  <c r="AB10" i="1294"/>
  <c r="Q10" i="1294"/>
  <c r="P10" i="1294" s="1"/>
  <c r="AC10" i="1294" s="1"/>
  <c r="O10" i="1294"/>
  <c r="M10" i="1294"/>
  <c r="AF9" i="1294"/>
  <c r="Q9" i="1294"/>
  <c r="O9" i="1294"/>
  <c r="M9" i="1294"/>
  <c r="AF8" i="1294"/>
  <c r="AB8" i="1294"/>
  <c r="Q8" i="1294"/>
  <c r="AF7" i="1294"/>
  <c r="AC7" i="1294"/>
  <c r="AB7" i="1294"/>
  <c r="Q7" i="1294"/>
  <c r="P7" i="1294"/>
  <c r="O7" i="1294"/>
  <c r="M7" i="1294"/>
  <c r="K7" i="1294"/>
  <c r="AF6" i="1294"/>
  <c r="AB6" i="1294"/>
  <c r="Q6" i="1294"/>
  <c r="P6" i="1294"/>
  <c r="AC6" i="1294" s="1"/>
  <c r="O6" i="1294"/>
  <c r="M6" i="1294"/>
  <c r="K6" i="1294"/>
  <c r="AE19" i="1296" l="1"/>
  <c r="AE16" i="1296"/>
  <c r="AE14" i="1296"/>
  <c r="AE11" i="1296"/>
  <c r="AE9" i="1296"/>
  <c r="AE6" i="1296"/>
  <c r="AE20" i="1296"/>
  <c r="AE13" i="1296"/>
  <c r="AE12" i="1296"/>
  <c r="AE17" i="1296"/>
  <c r="AE15" i="1296"/>
  <c r="AE10" i="1296"/>
  <c r="AE7" i="1296"/>
  <c r="AE18" i="1296"/>
  <c r="AE8" i="1296"/>
  <c r="AD13" i="1295"/>
  <c r="AD12" i="1295"/>
  <c r="M21" i="1295"/>
  <c r="AC21" i="1295"/>
  <c r="AD6" i="1295"/>
  <c r="AB21" i="1295"/>
  <c r="AD8" i="1295"/>
  <c r="K21" i="1295"/>
  <c r="P21" i="1295"/>
  <c r="O20" i="1294"/>
  <c r="AD7" i="1294"/>
  <c r="AD21" i="1294"/>
  <c r="P12" i="1294"/>
  <c r="AC12" i="1294" s="1"/>
  <c r="AD15" i="1294"/>
  <c r="AD17" i="1294"/>
  <c r="AD19" i="1294"/>
  <c r="AD14" i="1294"/>
  <c r="M12" i="1294"/>
  <c r="AB12" i="1294"/>
  <c r="AD16" i="1294"/>
  <c r="K13" i="1294"/>
  <c r="K22" i="1294" s="1"/>
  <c r="AD10" i="1294"/>
  <c r="P9" i="1294"/>
  <c r="AC9" i="1294" s="1"/>
  <c r="AD9" i="1294" s="1"/>
  <c r="Q22" i="1294"/>
  <c r="M8" i="1294"/>
  <c r="P8" i="1294"/>
  <c r="AC8" i="1294" s="1"/>
  <c r="AD8" i="1294" s="1"/>
  <c r="AD11" i="1294"/>
  <c r="AD20" i="1294"/>
  <c r="AD6" i="1294"/>
  <c r="AB13" i="1294"/>
  <c r="AB22" i="1294" s="1"/>
  <c r="P13" i="1294"/>
  <c r="AC13" i="1294" s="1"/>
  <c r="M20" i="1294"/>
  <c r="L22" i="1294"/>
  <c r="O22" i="1294" s="1"/>
  <c r="M13" i="1294"/>
  <c r="F17" i="16"/>
  <c r="F16" i="16"/>
  <c r="F14" i="16"/>
  <c r="F13" i="16"/>
  <c r="F12" i="16"/>
  <c r="F11" i="16"/>
  <c r="F10" i="16"/>
  <c r="F9" i="16"/>
  <c r="F8" i="16"/>
  <c r="F7" i="16"/>
  <c r="F6" i="16"/>
  <c r="F5" i="16"/>
  <c r="F4" i="16"/>
  <c r="F3" i="16"/>
  <c r="L20" i="1293"/>
  <c r="L19" i="1293"/>
  <c r="L17" i="1293"/>
  <c r="K17" i="1293"/>
  <c r="AF17" i="1293"/>
  <c r="Q17" i="1293"/>
  <c r="P17" i="1293" s="1"/>
  <c r="AC17" i="1293" s="1"/>
  <c r="O17" i="1293"/>
  <c r="L16" i="1293"/>
  <c r="L13" i="1293"/>
  <c r="K12" i="1293"/>
  <c r="AD21" i="1295" l="1"/>
  <c r="AD12" i="1294"/>
  <c r="AC22" i="1294"/>
  <c r="P22" i="1294"/>
  <c r="M22" i="1294"/>
  <c r="AD13" i="1294"/>
  <c r="AD22" i="1294" s="1"/>
  <c r="AE18" i="1294" s="1"/>
  <c r="M17" i="1293"/>
  <c r="AB17" i="1293"/>
  <c r="AD17" i="1293" s="1"/>
  <c r="AE13" i="1295" l="1"/>
  <c r="AE19" i="1295"/>
  <c r="AE15" i="1295"/>
  <c r="AE12" i="1295"/>
  <c r="AE11" i="1295"/>
  <c r="AE20" i="1295"/>
  <c r="AE10" i="1295"/>
  <c r="AE16" i="1295"/>
  <c r="AE17" i="1295"/>
  <c r="AE9" i="1295"/>
  <c r="AE14" i="1295"/>
  <c r="AE8" i="1295"/>
  <c r="AE6" i="1295"/>
  <c r="AE18" i="1295"/>
  <c r="AE7" i="1295"/>
  <c r="AE20" i="1294"/>
  <c r="AE16" i="1294"/>
  <c r="AE14" i="1294"/>
  <c r="AE7" i="1294"/>
  <c r="AE21" i="1294"/>
  <c r="AE17" i="1294"/>
  <c r="AE13" i="1294"/>
  <c r="AE8" i="1294"/>
  <c r="AE15" i="1294"/>
  <c r="AE6" i="1294"/>
  <c r="AE19" i="1294"/>
  <c r="AE11" i="1294"/>
  <c r="AE9" i="1294"/>
  <c r="AE12" i="1294"/>
  <c r="AE10" i="1294"/>
  <c r="L9" i="1293"/>
  <c r="K9" i="1293" s="1"/>
  <c r="AF9" i="1293"/>
  <c r="AB9" i="1293"/>
  <c r="Q9" i="1293"/>
  <c r="P9" i="1293" s="1"/>
  <c r="AC9" i="1293" s="1"/>
  <c r="O9" i="1293"/>
  <c r="M9" i="1293"/>
  <c r="K19" i="1293"/>
  <c r="K16" i="1293"/>
  <c r="K13" i="1293"/>
  <c r="K8" i="1293"/>
  <c r="A76" i="1293"/>
  <c r="A77" i="1293" s="1"/>
  <c r="A78" i="1293" s="1"/>
  <c r="A79" i="1293" s="1"/>
  <c r="A80" i="1293" s="1"/>
  <c r="A81" i="1293" s="1"/>
  <c r="A82" i="1293" s="1"/>
  <c r="A75" i="1293"/>
  <c r="AF61" i="1293"/>
  <c r="AF60" i="1293"/>
  <c r="AF63" i="1293" s="1"/>
  <c r="AA22" i="1293"/>
  <c r="Z22" i="1293"/>
  <c r="Y22" i="1293"/>
  <c r="X22" i="1293"/>
  <c r="W22" i="1293"/>
  <c r="V22" i="1293"/>
  <c r="U22" i="1293"/>
  <c r="T22" i="1293"/>
  <c r="S22" i="1293"/>
  <c r="R22" i="1293"/>
  <c r="N22" i="1293"/>
  <c r="J22" i="1293"/>
  <c r="I22" i="1293"/>
  <c r="AF21" i="1293"/>
  <c r="AB21" i="1293"/>
  <c r="Q21" i="1293"/>
  <c r="P21" i="1293"/>
  <c r="AC21" i="1293" s="1"/>
  <c r="O21" i="1293"/>
  <c r="M21" i="1293"/>
  <c r="K21" i="1293"/>
  <c r="AF20" i="1293"/>
  <c r="AB20" i="1293"/>
  <c r="Q20" i="1293"/>
  <c r="P20" i="1293" s="1"/>
  <c r="AC20" i="1293" s="1"/>
  <c r="O20" i="1293"/>
  <c r="M20" i="1293"/>
  <c r="K20" i="1293"/>
  <c r="AF19" i="1293"/>
  <c r="Q19" i="1293"/>
  <c r="O19" i="1293"/>
  <c r="AF18" i="1293"/>
  <c r="AB18" i="1293"/>
  <c r="Q18" i="1293"/>
  <c r="P18" i="1293"/>
  <c r="AC18" i="1293" s="1"/>
  <c r="O18" i="1293"/>
  <c r="M18" i="1293"/>
  <c r="K18" i="1293"/>
  <c r="AF16" i="1293"/>
  <c r="AB16" i="1293"/>
  <c r="Q16" i="1293"/>
  <c r="P16" i="1293" s="1"/>
  <c r="AC16" i="1293" s="1"/>
  <c r="M16" i="1293"/>
  <c r="O16" i="1293"/>
  <c r="AF15" i="1293"/>
  <c r="AC15" i="1293"/>
  <c r="AB15" i="1293"/>
  <c r="Q15" i="1293"/>
  <c r="P15" i="1293"/>
  <c r="O15" i="1293"/>
  <c r="M15" i="1293"/>
  <c r="K15" i="1293"/>
  <c r="AF14" i="1293"/>
  <c r="AC14" i="1293"/>
  <c r="AB14" i="1293"/>
  <c r="Q14" i="1293"/>
  <c r="P14" i="1293"/>
  <c r="O14" i="1293"/>
  <c r="M14" i="1293"/>
  <c r="K14" i="1293"/>
  <c r="AF13" i="1293"/>
  <c r="Q13" i="1293"/>
  <c r="AB13" i="1293"/>
  <c r="AF12" i="1293"/>
  <c r="AB12" i="1293"/>
  <c r="Q12" i="1293"/>
  <c r="P12" i="1293" s="1"/>
  <c r="AC12" i="1293" s="1"/>
  <c r="M12" i="1293"/>
  <c r="O12" i="1293"/>
  <c r="AF11" i="1293"/>
  <c r="AB11" i="1293"/>
  <c r="Q11" i="1293"/>
  <c r="P11" i="1293"/>
  <c r="AC11" i="1293" s="1"/>
  <c r="O11" i="1293"/>
  <c r="M11" i="1293"/>
  <c r="K11" i="1293"/>
  <c r="AF10" i="1293"/>
  <c r="AB10" i="1293"/>
  <c r="Q10" i="1293"/>
  <c r="P10" i="1293"/>
  <c r="AC10" i="1293" s="1"/>
  <c r="AD10" i="1293" s="1"/>
  <c r="O10" i="1293"/>
  <c r="M10" i="1293"/>
  <c r="K10" i="1293"/>
  <c r="AF8" i="1293"/>
  <c r="AB8" i="1293"/>
  <c r="Q8" i="1293"/>
  <c r="P8" i="1293"/>
  <c r="AC8" i="1293" s="1"/>
  <c r="M8" i="1293"/>
  <c r="L22" i="1293"/>
  <c r="AF7" i="1293"/>
  <c r="AB7" i="1293"/>
  <c r="Q7" i="1293"/>
  <c r="P7" i="1293"/>
  <c r="AC7" i="1293" s="1"/>
  <c r="O7" i="1293"/>
  <c r="M7" i="1293"/>
  <c r="K7" i="1293"/>
  <c r="AF6" i="1293"/>
  <c r="AB6" i="1293"/>
  <c r="Q6" i="1293"/>
  <c r="P6" i="1293"/>
  <c r="AC6" i="1293" s="1"/>
  <c r="O6" i="1293"/>
  <c r="M6" i="1293"/>
  <c r="K6" i="1293"/>
  <c r="AD21" i="1293" l="1"/>
  <c r="AD7" i="1293"/>
  <c r="AD11" i="1293"/>
  <c r="AD12" i="1293"/>
  <c r="AD9" i="1293"/>
  <c r="O22" i="1293"/>
  <c r="Q22" i="1293"/>
  <c r="AD14" i="1293"/>
  <c r="AD15" i="1293"/>
  <c r="AD20" i="1293"/>
  <c r="AD18" i="1293"/>
  <c r="K22" i="1293"/>
  <c r="AD16" i="1293"/>
  <c r="O13" i="1293"/>
  <c r="P13" i="1293"/>
  <c r="AC13" i="1293" s="1"/>
  <c r="P19" i="1293"/>
  <c r="AC19" i="1293" s="1"/>
  <c r="AD6" i="1293"/>
  <c r="O8" i="1293"/>
  <c r="AD8" i="1293" s="1"/>
  <c r="M13" i="1293"/>
  <c r="M19" i="1293"/>
  <c r="AB19" i="1293"/>
  <c r="AB22" i="1293" s="1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18" i="1292"/>
  <c r="AB18" i="1292" s="1"/>
  <c r="K18" i="1292"/>
  <c r="L16" i="1292"/>
  <c r="M16" i="1292" s="1"/>
  <c r="L13" i="1292"/>
  <c r="AB13" i="1292" s="1"/>
  <c r="L12" i="1292"/>
  <c r="K12" i="1292" s="1"/>
  <c r="L9" i="1292"/>
  <c r="AB9" i="1292" s="1"/>
  <c r="L8" i="1292"/>
  <c r="M8" i="1292" s="1"/>
  <c r="K15" i="1292"/>
  <c r="K10" i="1292"/>
  <c r="A74" i="1292"/>
  <c r="A75" i="1292" s="1"/>
  <c r="A76" i="1292" s="1"/>
  <c r="A77" i="1292" s="1"/>
  <c r="A78" i="1292" s="1"/>
  <c r="A79" i="1292" s="1"/>
  <c r="A80" i="1292" s="1"/>
  <c r="A81" i="1292" s="1"/>
  <c r="AF60" i="1292"/>
  <c r="AF62" i="1292" s="1"/>
  <c r="AF59" i="1292"/>
  <c r="AA21" i="1292"/>
  <c r="Z21" i="1292"/>
  <c r="Y21" i="1292"/>
  <c r="X21" i="1292"/>
  <c r="W21" i="1292"/>
  <c r="V21" i="1292"/>
  <c r="U21" i="1292"/>
  <c r="T21" i="1292"/>
  <c r="S21" i="1292"/>
  <c r="R21" i="1292"/>
  <c r="N21" i="1292"/>
  <c r="J21" i="1292"/>
  <c r="I21" i="1292"/>
  <c r="AF20" i="1292"/>
  <c r="AB20" i="1292"/>
  <c r="Q20" i="1292"/>
  <c r="P20" i="1292"/>
  <c r="AC20" i="1292" s="1"/>
  <c r="O20" i="1292"/>
  <c r="M20" i="1292"/>
  <c r="K20" i="1292"/>
  <c r="AF19" i="1292"/>
  <c r="AB19" i="1292"/>
  <c r="Q19" i="1292"/>
  <c r="P19" i="1292"/>
  <c r="AC19" i="1292" s="1"/>
  <c r="O19" i="1292"/>
  <c r="M19" i="1292"/>
  <c r="K19" i="1292"/>
  <c r="AF18" i="1292"/>
  <c r="Q18" i="1292"/>
  <c r="M18" i="1292"/>
  <c r="AF17" i="1292"/>
  <c r="AB17" i="1292"/>
  <c r="Q17" i="1292"/>
  <c r="P17" i="1292"/>
  <c r="AC17" i="1292" s="1"/>
  <c r="O17" i="1292"/>
  <c r="M17" i="1292"/>
  <c r="K17" i="1292"/>
  <c r="AF16" i="1292"/>
  <c r="Q16" i="1292"/>
  <c r="AF15" i="1292"/>
  <c r="Q15" i="1292"/>
  <c r="P15" i="1292"/>
  <c r="AC15" i="1292" s="1"/>
  <c r="AF14" i="1292"/>
  <c r="AB14" i="1292"/>
  <c r="Q14" i="1292"/>
  <c r="P14" i="1292"/>
  <c r="AC14" i="1292" s="1"/>
  <c r="O14" i="1292"/>
  <c r="M14" i="1292"/>
  <c r="K14" i="1292"/>
  <c r="AF13" i="1292"/>
  <c r="Q13" i="1292"/>
  <c r="P13" i="1292" s="1"/>
  <c r="AC13" i="1292" s="1"/>
  <c r="M13" i="1292"/>
  <c r="AF12" i="1292"/>
  <c r="Q12" i="1292"/>
  <c r="AF11" i="1292"/>
  <c r="AB11" i="1292"/>
  <c r="Q11" i="1292"/>
  <c r="P11" i="1292"/>
  <c r="AC11" i="1292" s="1"/>
  <c r="O11" i="1292"/>
  <c r="M11" i="1292"/>
  <c r="K11" i="1292"/>
  <c r="AF10" i="1292"/>
  <c r="AB10" i="1292"/>
  <c r="Q10" i="1292"/>
  <c r="M10" i="1292"/>
  <c r="P10" i="1292"/>
  <c r="AC10" i="1292" s="1"/>
  <c r="AF9" i="1292"/>
  <c r="Q9" i="1292"/>
  <c r="P9" i="1292" s="1"/>
  <c r="AC9" i="1292" s="1"/>
  <c r="O9" i="1292"/>
  <c r="AF8" i="1292"/>
  <c r="AB8" i="1292"/>
  <c r="Q8" i="1292"/>
  <c r="AF7" i="1292"/>
  <c r="AB7" i="1292"/>
  <c r="Q7" i="1292"/>
  <c r="P7" i="1292"/>
  <c r="AC7" i="1292" s="1"/>
  <c r="O7" i="1292"/>
  <c r="M7" i="1292"/>
  <c r="K7" i="1292"/>
  <c r="AF6" i="1292"/>
  <c r="AB6" i="1292"/>
  <c r="Q6" i="1292"/>
  <c r="P6" i="1292"/>
  <c r="AC6" i="1292" s="1"/>
  <c r="O6" i="1292"/>
  <c r="M6" i="1292"/>
  <c r="K6" i="1292"/>
  <c r="AD19" i="1293" l="1"/>
  <c r="AD13" i="1293"/>
  <c r="M22" i="1293"/>
  <c r="P22" i="1293"/>
  <c r="AC22" i="1293"/>
  <c r="O8" i="1292"/>
  <c r="AB16" i="1292"/>
  <c r="K8" i="1292"/>
  <c r="P16" i="1292"/>
  <c r="AC16" i="1292" s="1"/>
  <c r="AD7" i="1292"/>
  <c r="P12" i="1292"/>
  <c r="AC12" i="1292" s="1"/>
  <c r="AD20" i="1292"/>
  <c r="K13" i="1292"/>
  <c r="K9" i="1292"/>
  <c r="K16" i="1292"/>
  <c r="L21" i="1292"/>
  <c r="O21" i="1292" s="1"/>
  <c r="AD19" i="1292"/>
  <c r="AD11" i="1292"/>
  <c r="P18" i="1292"/>
  <c r="AC18" i="1292" s="1"/>
  <c r="O18" i="1292"/>
  <c r="Q21" i="1292"/>
  <c r="AD17" i="1292"/>
  <c r="AD14" i="1292"/>
  <c r="AD6" i="1292"/>
  <c r="AD9" i="1292"/>
  <c r="P8" i="1292"/>
  <c r="AC8" i="1292" s="1"/>
  <c r="AD8" i="1292" s="1"/>
  <c r="O10" i="1292"/>
  <c r="AD10" i="1292" s="1"/>
  <c r="M12" i="1292"/>
  <c r="AB12" i="1292"/>
  <c r="O13" i="1292"/>
  <c r="AD13" i="1292" s="1"/>
  <c r="M15" i="1292"/>
  <c r="AB15" i="1292"/>
  <c r="O16" i="1292"/>
  <c r="M9" i="1292"/>
  <c r="O12" i="1292"/>
  <c r="O15" i="1292"/>
  <c r="AD22" i="1293" l="1"/>
  <c r="F18" i="16" s="1"/>
  <c r="F15" i="16"/>
  <c r="AE9" i="1293"/>
  <c r="AE17" i="1293"/>
  <c r="AE20" i="1293"/>
  <c r="AE6" i="1293"/>
  <c r="AE18" i="1293"/>
  <c r="AE12" i="1293"/>
  <c r="AE21" i="1293"/>
  <c r="AE15" i="1293"/>
  <c r="AE13" i="1293"/>
  <c r="AE10" i="1293"/>
  <c r="AE7" i="1293"/>
  <c r="AE16" i="1293"/>
  <c r="AE8" i="1293"/>
  <c r="AE14" i="1293"/>
  <c r="AE11" i="1293"/>
  <c r="AE19" i="1293"/>
  <c r="AD16" i="1292"/>
  <c r="AD15" i="1292"/>
  <c r="K21" i="1292"/>
  <c r="M21" i="1292"/>
  <c r="AD18" i="1292"/>
  <c r="P21" i="1292"/>
  <c r="AB21" i="1292"/>
  <c r="AD12" i="1292"/>
  <c r="AC21" i="1292"/>
  <c r="AD21" i="1292" l="1"/>
  <c r="AE16" i="1292" s="1"/>
  <c r="AE19" i="1292"/>
  <c r="AE7" i="1292"/>
  <c r="AE9" i="1292" l="1"/>
  <c r="AE17" i="1292"/>
  <c r="AE10" i="1292"/>
  <c r="AE6" i="1292"/>
  <c r="AE15" i="1292"/>
  <c r="AE18" i="1292"/>
  <c r="AE14" i="1292"/>
  <c r="AE8" i="1292"/>
  <c r="AE13" i="1292"/>
  <c r="AE11" i="1292"/>
  <c r="AE20" i="1292"/>
  <c r="AE12" i="1292"/>
  <c r="C18" i="16" l="1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K21" i="1291"/>
  <c r="K20" i="1291"/>
  <c r="AF19" i="1291"/>
  <c r="AB19" i="1291"/>
  <c r="Q19" i="1291"/>
  <c r="P19" i="1291"/>
  <c r="AC19" i="1291" s="1"/>
  <c r="AD19" i="1291" s="1"/>
  <c r="O19" i="1291"/>
  <c r="M19" i="1291"/>
  <c r="K19" i="1291"/>
  <c r="L17" i="1291"/>
  <c r="L16" i="1291"/>
  <c r="K16" i="1291"/>
  <c r="L14" i="1291"/>
  <c r="L13" i="1291"/>
  <c r="L11" i="1291"/>
  <c r="L10" i="1291"/>
  <c r="K10" i="1291"/>
  <c r="L9" i="1291"/>
  <c r="K9" i="1291"/>
  <c r="L8" i="1291" l="1"/>
  <c r="K18" i="1291"/>
  <c r="K17" i="1291"/>
  <c r="K14" i="1291"/>
  <c r="K13" i="1291"/>
  <c r="K8" i="1291"/>
  <c r="A76" i="1291"/>
  <c r="A77" i="1291" s="1"/>
  <c r="A78" i="1291" s="1"/>
  <c r="A79" i="1291" s="1"/>
  <c r="A80" i="1291" s="1"/>
  <c r="A81" i="1291" s="1"/>
  <c r="A82" i="1291" s="1"/>
  <c r="A83" i="1291" s="1"/>
  <c r="AF62" i="1291"/>
  <c r="AF64" i="1291" s="1"/>
  <c r="AF61" i="1291"/>
  <c r="AA23" i="1291"/>
  <c r="Z23" i="1291"/>
  <c r="Y23" i="1291"/>
  <c r="X23" i="1291"/>
  <c r="W23" i="1291"/>
  <c r="V23" i="1291"/>
  <c r="U23" i="1291"/>
  <c r="T23" i="1291"/>
  <c r="S23" i="1291"/>
  <c r="R23" i="1291"/>
  <c r="N23" i="1291"/>
  <c r="J23" i="1291"/>
  <c r="I23" i="1291"/>
  <c r="AF22" i="1291"/>
  <c r="AC22" i="1291"/>
  <c r="AB22" i="1291"/>
  <c r="Q22" i="1291"/>
  <c r="P22" i="1291"/>
  <c r="O22" i="1291"/>
  <c r="M22" i="1291"/>
  <c r="K22" i="1291"/>
  <c r="AF21" i="1291"/>
  <c r="Q21" i="1291"/>
  <c r="P21" i="1291"/>
  <c r="AC21" i="1291" s="1"/>
  <c r="O21" i="1291"/>
  <c r="AF20" i="1291"/>
  <c r="Q20" i="1291"/>
  <c r="P20" i="1291"/>
  <c r="AC20" i="1291" s="1"/>
  <c r="O20" i="1291"/>
  <c r="AB20" i="1291"/>
  <c r="AF18" i="1291"/>
  <c r="AC18" i="1291"/>
  <c r="AB18" i="1291"/>
  <c r="Q18" i="1291"/>
  <c r="P18" i="1291"/>
  <c r="O18" i="1291"/>
  <c r="M18" i="1291"/>
  <c r="AF17" i="1291"/>
  <c r="Q17" i="1291"/>
  <c r="M17" i="1291"/>
  <c r="AF16" i="1291"/>
  <c r="AB16" i="1291"/>
  <c r="Q16" i="1291"/>
  <c r="P16" i="1291" s="1"/>
  <c r="AC16" i="1291" s="1"/>
  <c r="O16" i="1291"/>
  <c r="M16" i="1291"/>
  <c r="AF15" i="1291"/>
  <c r="AC15" i="1291"/>
  <c r="AB15" i="1291"/>
  <c r="Q15" i="1291"/>
  <c r="P15" i="1291"/>
  <c r="O15" i="1291"/>
  <c r="M15" i="1291"/>
  <c r="K15" i="1291"/>
  <c r="AF14" i="1291"/>
  <c r="Q14" i="1291"/>
  <c r="P14" i="1291"/>
  <c r="AC14" i="1291" s="1"/>
  <c r="O14" i="1291"/>
  <c r="AF13" i="1291"/>
  <c r="Q13" i="1291"/>
  <c r="P13" i="1291"/>
  <c r="AC13" i="1291" s="1"/>
  <c r="O13" i="1291"/>
  <c r="AB13" i="1291"/>
  <c r="AF12" i="1291"/>
  <c r="AC12" i="1291"/>
  <c r="AB12" i="1291"/>
  <c r="Q12" i="1291"/>
  <c r="P12" i="1291"/>
  <c r="O12" i="1291"/>
  <c r="M12" i="1291"/>
  <c r="K12" i="1291"/>
  <c r="AF11" i="1291"/>
  <c r="AB11" i="1291"/>
  <c r="Q11" i="1291"/>
  <c r="P11" i="1291" s="1"/>
  <c r="AC11" i="1291" s="1"/>
  <c r="O11" i="1291"/>
  <c r="M11" i="1291"/>
  <c r="K11" i="1291"/>
  <c r="AF10" i="1291"/>
  <c r="AB10" i="1291"/>
  <c r="Q10" i="1291"/>
  <c r="P10" i="1291" s="1"/>
  <c r="AC10" i="1291" s="1"/>
  <c r="O10" i="1291"/>
  <c r="M10" i="1291"/>
  <c r="AF9" i="1291"/>
  <c r="Q9" i="1291"/>
  <c r="AB9" i="1291"/>
  <c r="AF8" i="1291"/>
  <c r="Q8" i="1291"/>
  <c r="P8" i="1291"/>
  <c r="O8" i="1291"/>
  <c r="AF7" i="1291"/>
  <c r="AC7" i="1291"/>
  <c r="AB7" i="1291"/>
  <c r="Q7" i="1291"/>
  <c r="P7" i="1291"/>
  <c r="O7" i="1291"/>
  <c r="M7" i="1291"/>
  <c r="K7" i="1291"/>
  <c r="AF6" i="1291"/>
  <c r="AC6" i="1291"/>
  <c r="AB6" i="1291"/>
  <c r="Q6" i="1291"/>
  <c r="P6" i="1291"/>
  <c r="O6" i="1291"/>
  <c r="M6" i="1291"/>
  <c r="K6" i="1291"/>
  <c r="AD10" i="1291" l="1"/>
  <c r="AD22" i="1291"/>
  <c r="AD7" i="1291"/>
  <c r="AD11" i="1291"/>
  <c r="Q23" i="1291"/>
  <c r="AD16" i="1291"/>
  <c r="AD18" i="1291"/>
  <c r="AD12" i="1291"/>
  <c r="AD15" i="1291"/>
  <c r="AD20" i="1291"/>
  <c r="AD13" i="1291"/>
  <c r="L23" i="1291"/>
  <c r="O23" i="1291" s="1"/>
  <c r="M9" i="1291"/>
  <c r="AB17" i="1291"/>
  <c r="M8" i="1291"/>
  <c r="AB8" i="1291"/>
  <c r="O9" i="1291"/>
  <c r="M14" i="1291"/>
  <c r="AB14" i="1291"/>
  <c r="AD14" i="1291" s="1"/>
  <c r="O17" i="1291"/>
  <c r="M21" i="1291"/>
  <c r="AB21" i="1291"/>
  <c r="AD21" i="1291" s="1"/>
  <c r="AD6" i="1291"/>
  <c r="AC8" i="1291"/>
  <c r="AD8" i="1291" s="1"/>
  <c r="P9" i="1291"/>
  <c r="AC9" i="1291" s="1"/>
  <c r="AD9" i="1291" s="1"/>
  <c r="M13" i="1291"/>
  <c r="K23" i="1291"/>
  <c r="P17" i="1291"/>
  <c r="AC17" i="1291" s="1"/>
  <c r="M20" i="1291"/>
  <c r="B18" i="16"/>
  <c r="B17" i="16"/>
  <c r="B16" i="16"/>
  <c r="B15" i="16"/>
  <c r="B14" i="16"/>
  <c r="B13" i="16"/>
  <c r="B12" i="16"/>
  <c r="B11" i="16"/>
  <c r="B10" i="16"/>
  <c r="B9" i="16"/>
  <c r="B8" i="16"/>
  <c r="AG8" i="16" s="1"/>
  <c r="B7" i="16"/>
  <c r="B6" i="16"/>
  <c r="B5" i="16"/>
  <c r="B4" i="16"/>
  <c r="B3" i="16"/>
  <c r="AG18" i="16"/>
  <c r="AG17" i="16"/>
  <c r="AG16" i="16"/>
  <c r="AG15" i="16"/>
  <c r="AG14" i="16"/>
  <c r="AG13" i="16"/>
  <c r="AG12" i="16"/>
  <c r="AG11" i="16"/>
  <c r="AG10" i="16"/>
  <c r="AG9" i="16"/>
  <c r="AG7" i="16"/>
  <c r="AG6" i="16"/>
  <c r="AG5" i="16"/>
  <c r="AG4" i="16"/>
  <c r="AG3" i="16"/>
  <c r="L20" i="1290"/>
  <c r="K20" i="1290"/>
  <c r="L19" i="1290"/>
  <c r="L18" i="1290"/>
  <c r="K18" i="1290"/>
  <c r="L17" i="1290"/>
  <c r="L14" i="1290"/>
  <c r="L13" i="1290"/>
  <c r="L10" i="1290"/>
  <c r="M10" i="1290"/>
  <c r="AF10" i="1290"/>
  <c r="Q10" i="1290"/>
  <c r="L9" i="1290"/>
  <c r="K9" i="1290"/>
  <c r="L8" i="1290"/>
  <c r="K19" i="1290"/>
  <c r="K17" i="1290"/>
  <c r="K14" i="1290"/>
  <c r="K13" i="1290"/>
  <c r="AB23" i="1291" l="1"/>
  <c r="M23" i="1291"/>
  <c r="AD23" i="1291"/>
  <c r="AE19" i="1291" s="1"/>
  <c r="AD17" i="1291"/>
  <c r="P23" i="1291"/>
  <c r="AC23" i="1291"/>
  <c r="AB10" i="1290"/>
  <c r="O10" i="1290"/>
  <c r="K10" i="1290"/>
  <c r="P10" i="1290"/>
  <c r="AC10" i="1290" s="1"/>
  <c r="K12" i="1290"/>
  <c r="K8" i="1290"/>
  <c r="AE17" i="1291" l="1"/>
  <c r="AE9" i="1291"/>
  <c r="AE22" i="1291"/>
  <c r="AE18" i="1291"/>
  <c r="AE15" i="1291"/>
  <c r="AE12" i="1291"/>
  <c r="AE10" i="1291"/>
  <c r="AE20" i="1291"/>
  <c r="AE13" i="1291"/>
  <c r="AE7" i="1291"/>
  <c r="AE21" i="1291"/>
  <c r="AE16" i="1291"/>
  <c r="AE14" i="1291"/>
  <c r="AE11" i="1291"/>
  <c r="AE8" i="1291"/>
  <c r="AE6" i="1291"/>
  <c r="AD10" i="1290"/>
  <c r="O17" i="1290"/>
  <c r="O13" i="1290"/>
  <c r="AB12" i="1290"/>
  <c r="A75" i="1290"/>
  <c r="A76" i="1290" s="1"/>
  <c r="A77" i="1290" s="1"/>
  <c r="A78" i="1290" s="1"/>
  <c r="A79" i="1290" s="1"/>
  <c r="A80" i="1290" s="1"/>
  <c r="A81" i="1290" s="1"/>
  <c r="A82" i="1290" s="1"/>
  <c r="AF61" i="1290"/>
  <c r="AF60" i="1290"/>
  <c r="AA22" i="1290"/>
  <c r="Z22" i="1290"/>
  <c r="Y22" i="1290"/>
  <c r="X22" i="1290"/>
  <c r="W22" i="1290"/>
  <c r="V22" i="1290"/>
  <c r="U22" i="1290"/>
  <c r="T22" i="1290"/>
  <c r="S22" i="1290"/>
  <c r="R22" i="1290"/>
  <c r="N22" i="1290"/>
  <c r="J22" i="1290"/>
  <c r="I22" i="1290"/>
  <c r="AF21" i="1290"/>
  <c r="AB21" i="1290"/>
  <c r="Q21" i="1290"/>
  <c r="P21" i="1290"/>
  <c r="AC21" i="1290" s="1"/>
  <c r="O21" i="1290"/>
  <c r="M21" i="1290"/>
  <c r="K21" i="1290"/>
  <c r="AF20" i="1290"/>
  <c r="Q20" i="1290"/>
  <c r="P20" i="1290"/>
  <c r="AC20" i="1290" s="1"/>
  <c r="O20" i="1290"/>
  <c r="M20" i="1290"/>
  <c r="AB20" i="1290"/>
  <c r="AF19" i="1290"/>
  <c r="Q19" i="1290"/>
  <c r="O19" i="1290"/>
  <c r="AF18" i="1290"/>
  <c r="Q18" i="1290"/>
  <c r="P18" i="1290" s="1"/>
  <c r="AC18" i="1290" s="1"/>
  <c r="AB18" i="1290"/>
  <c r="AF17" i="1290"/>
  <c r="AB17" i="1290"/>
  <c r="Q17" i="1290"/>
  <c r="P17" i="1290"/>
  <c r="AC17" i="1290" s="1"/>
  <c r="M17" i="1290"/>
  <c r="AF16" i="1290"/>
  <c r="AB16" i="1290"/>
  <c r="Q16" i="1290"/>
  <c r="P16" i="1290"/>
  <c r="AC16" i="1290" s="1"/>
  <c r="O16" i="1290"/>
  <c r="M16" i="1290"/>
  <c r="K16" i="1290"/>
  <c r="AF15" i="1290"/>
  <c r="AB15" i="1290"/>
  <c r="Q15" i="1290"/>
  <c r="P15" i="1290"/>
  <c r="AC15" i="1290" s="1"/>
  <c r="O15" i="1290"/>
  <c r="M15" i="1290"/>
  <c r="K15" i="1290"/>
  <c r="AF14" i="1290"/>
  <c r="Q14" i="1290"/>
  <c r="AB14" i="1290"/>
  <c r="AF13" i="1290"/>
  <c r="Q13" i="1290"/>
  <c r="P13" i="1290" s="1"/>
  <c r="AC13" i="1290" s="1"/>
  <c r="AF12" i="1290"/>
  <c r="Q12" i="1290"/>
  <c r="O12" i="1290"/>
  <c r="M12" i="1290"/>
  <c r="AF11" i="1290"/>
  <c r="AB11" i="1290"/>
  <c r="Q11" i="1290"/>
  <c r="P11" i="1290"/>
  <c r="AC11" i="1290" s="1"/>
  <c r="O11" i="1290"/>
  <c r="M11" i="1290"/>
  <c r="K11" i="1290"/>
  <c r="AF9" i="1290"/>
  <c r="Q9" i="1290"/>
  <c r="P9" i="1290"/>
  <c r="AC9" i="1290" s="1"/>
  <c r="O9" i="1290"/>
  <c r="AB9" i="1290"/>
  <c r="AF8" i="1290"/>
  <c r="AB8" i="1290"/>
  <c r="Q8" i="1290"/>
  <c r="P8" i="1290" s="1"/>
  <c r="AC8" i="1290" s="1"/>
  <c r="O8" i="1290"/>
  <c r="M8" i="1290"/>
  <c r="AF7" i="1290"/>
  <c r="AB7" i="1290"/>
  <c r="Q7" i="1290"/>
  <c r="P7" i="1290"/>
  <c r="AC7" i="1290" s="1"/>
  <c r="O7" i="1290"/>
  <c r="M7" i="1290"/>
  <c r="K7" i="1290"/>
  <c r="AF6" i="1290"/>
  <c r="AC6" i="1290"/>
  <c r="AB6" i="1290"/>
  <c r="Q6" i="1290"/>
  <c r="P6" i="1290"/>
  <c r="O6" i="1290"/>
  <c r="M6" i="1290"/>
  <c r="K6" i="1290"/>
  <c r="AF63" i="1290" l="1"/>
  <c r="AB13" i="1290"/>
  <c r="AD13" i="1290" s="1"/>
  <c r="AD16" i="1290"/>
  <c r="AD7" i="1290"/>
  <c r="P14" i="1290"/>
  <c r="AC14" i="1290" s="1"/>
  <c r="AD21" i="1290"/>
  <c r="AD15" i="1290"/>
  <c r="Q22" i="1290"/>
  <c r="P12" i="1290"/>
  <c r="AC12" i="1290" s="1"/>
  <c r="AD12" i="1290" s="1"/>
  <c r="AD8" i="1290"/>
  <c r="AD11" i="1290"/>
  <c r="AD17" i="1290"/>
  <c r="AD9" i="1290"/>
  <c r="AD20" i="1290"/>
  <c r="AB19" i="1290"/>
  <c r="L22" i="1290"/>
  <c r="O22" i="1290" s="1"/>
  <c r="M9" i="1290"/>
  <c r="M13" i="1290"/>
  <c r="O14" i="1290"/>
  <c r="O18" i="1290"/>
  <c r="AD18" i="1290" s="1"/>
  <c r="P19" i="1290"/>
  <c r="AC19" i="1290" s="1"/>
  <c r="AD6" i="1290"/>
  <c r="M19" i="1290"/>
  <c r="K22" i="1290"/>
  <c r="M14" i="1290"/>
  <c r="M18" i="1290"/>
  <c r="AB22" i="1290" l="1"/>
  <c r="AD14" i="1290"/>
  <c r="AC22" i="1290"/>
  <c r="M22" i="1290"/>
  <c r="P22" i="1290"/>
  <c r="AD19" i="1290"/>
  <c r="AD22" i="1290" l="1"/>
  <c r="AE20" i="1290" s="1"/>
  <c r="AE10" i="1290" l="1"/>
  <c r="AE8" i="1290"/>
  <c r="AE11" i="1290"/>
  <c r="AE21" i="1290"/>
  <c r="AE7" i="1290"/>
  <c r="AE6" i="1290"/>
  <c r="AE12" i="1290"/>
  <c r="AE9" i="1290"/>
  <c r="AE18" i="1290"/>
  <c r="AE19" i="1290"/>
  <c r="AE13" i="1290"/>
  <c r="AE16" i="1290"/>
  <c r="AE15" i="1290"/>
  <c r="AE14" i="1290"/>
  <c r="AE17" i="1290"/>
</calcChain>
</file>

<file path=xl/sharedStrings.xml><?xml version="1.0" encoding="utf-8"?>
<sst xmlns="http://schemas.openxmlformats.org/spreadsheetml/2006/main" count="3715" uniqueCount="457">
  <si>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</si>
  <si>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</si>
  <si>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</si>
  <si>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</si>
  <si>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</si>
  <si>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</si>
  <si>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</si>
  <si>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</si>
  <si>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</si>
  <si>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</si>
  <si>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</si>
  <si>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</si>
  <si>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</si>
  <si>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</si>
  <si>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</si>
  <si>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</si>
  <si>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</si>
  <si>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</si>
  <si>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</si>
  <si>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</si>
  <si>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</si>
  <si>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</si>
  <si>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</si>
  <si>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</si>
  <si>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</si>
  <si>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</si>
  <si>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</si>
  <si>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</si>
  <si>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</si>
  <si>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</si>
  <si>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</si>
  <si>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</si>
  <si>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</si>
  <si>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</si>
  <si>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</si>
  <si>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</si>
  <si>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</si>
  <si>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</si>
  <si>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</si>
  <si>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</si>
  <si>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</si>
  <si>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</si>
  <si>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</si>
  <si>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</si>
  <si>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</si>
  <si>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</si>
  <si>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</si>
  <si>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</si>
  <si>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</si>
  <si>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</si>
  <si>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</si>
  <si>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</si>
  <si>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</si>
  <si>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</si>
  <si>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</si>
  <si>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</si>
  <si>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</si>
  <si>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</si>
  <si>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</si>
  <si>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</si>
  <si>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</si>
  <si>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</si>
  <si>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</si>
  <si>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</si>
  <si>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</si>
  <si>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</si>
  <si>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</si>
  <si>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</si>
  <si>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</si>
  <si>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</si>
  <si>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</si>
  <si>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</si>
  <si>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</si>
  <si>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</si>
  <si>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</si>
  <si>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</si>
  <si>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</si>
  <si>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</si>
  <si>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</si>
  <si>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</si>
  <si>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</si>
  <si>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</si>
  <si>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</si>
  <si>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</si>
  <si>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</si>
  <si>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</si>
  <si>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</si>
  <si>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</si>
  <si>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</si>
  <si>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</si>
  <si>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</si>
  <si>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</si>
  <si>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</si>
  <si>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</si>
  <si>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</si>
  <si>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</si>
  <si>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</si>
  <si>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</si>
  <si>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</si>
  <si>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</si>
  <si>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</si>
  <si>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</si>
  <si>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</si>
  <si>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</si>
  <si>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</si>
  <si>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</si>
  <si>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</si>
  <si>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</si>
  <si>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</si>
  <si>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</si>
  <si>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</si>
  <si>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</si>
  <si>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</si>
  <si>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</si>
  <si>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</si>
  <si>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 xml:space="preserve"> 코아파손</t>
    <phoneticPr fontId="2" type="noConversion"/>
  </si>
  <si>
    <t>IC GUIDE</t>
    <phoneticPr fontId="2" type="noConversion"/>
  </si>
  <si>
    <t>AMB07H9A-KAA-R1</t>
    <phoneticPr fontId="2" type="noConversion"/>
  </si>
  <si>
    <t xml:space="preserve"> 미성형,단차</t>
    <phoneticPr fontId="2" type="noConversion"/>
  </si>
  <si>
    <t>38P</t>
    <phoneticPr fontId="2" type="noConversion"/>
  </si>
  <si>
    <t>AM0164A-A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</si>
  <si>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</si>
  <si>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</si>
  <si>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</si>
  <si>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72P</t>
    <phoneticPr fontId="2" type="noConversion"/>
  </si>
  <si>
    <t>SST</t>
    <phoneticPr fontId="2" type="noConversion"/>
  </si>
  <si>
    <t>TST</t>
    <phoneticPr fontId="2" type="noConversion"/>
  </si>
  <si>
    <t>사출물 B</t>
    <phoneticPr fontId="2" type="noConversion"/>
  </si>
  <si>
    <t>SF2255</t>
    <phoneticPr fontId="2" type="noConversion"/>
  </si>
  <si>
    <t>발주분양산</t>
    <phoneticPr fontId="2" type="noConversion"/>
  </si>
  <si>
    <t>STOPPER</t>
    <phoneticPr fontId="2" type="noConversion"/>
  </si>
  <si>
    <t>SLIDER</t>
    <phoneticPr fontId="2" type="noConversion"/>
  </si>
  <si>
    <t>SGF2030</t>
    <phoneticPr fontId="2" type="noConversion"/>
  </si>
  <si>
    <t>5</t>
    <phoneticPr fontId="2" type="noConversion"/>
  </si>
  <si>
    <t>수리후양산</t>
    <phoneticPr fontId="2" type="noConversion"/>
  </si>
  <si>
    <t>8</t>
    <phoneticPr fontId="2" type="noConversion"/>
  </si>
  <si>
    <t>HICON</t>
    <phoneticPr fontId="2" type="noConversion"/>
  </si>
  <si>
    <t>AYE</t>
    <phoneticPr fontId="2" type="noConversion"/>
  </si>
  <si>
    <t>PA9T</t>
    <phoneticPr fontId="2" type="noConversion"/>
  </si>
  <si>
    <t>AAM0818C-KAB-R3</t>
    <phoneticPr fontId="2" type="noConversion"/>
  </si>
  <si>
    <t>SGP2030R N/P</t>
    <phoneticPr fontId="2" type="noConversion"/>
  </si>
  <si>
    <t>사출안됨</t>
    <phoneticPr fontId="2" type="noConversion"/>
  </si>
  <si>
    <t>스크류 베어링 마모</t>
    <phoneticPr fontId="2" type="noConversion"/>
  </si>
  <si>
    <t>엥겔</t>
    <phoneticPr fontId="2" type="noConversion"/>
  </si>
  <si>
    <t>SGF2041 N/P</t>
    <phoneticPr fontId="2" type="noConversion"/>
  </si>
  <si>
    <t>7</t>
    <phoneticPr fontId="2" type="noConversion"/>
  </si>
  <si>
    <t>SGF2033</t>
    <phoneticPr fontId="2" type="noConversion"/>
  </si>
  <si>
    <t>JD4901</t>
    <phoneticPr fontId="2" type="noConversion"/>
  </si>
  <si>
    <t>KR6180-E02TB</t>
    <phoneticPr fontId="2" type="noConversion"/>
  </si>
  <si>
    <t>LATCH</t>
    <phoneticPr fontId="2" type="noConversion"/>
  </si>
  <si>
    <t>SEPARATOR</t>
    <phoneticPr fontId="2" type="noConversion"/>
  </si>
  <si>
    <t>22P</t>
    <phoneticPr fontId="2" type="noConversion"/>
  </si>
  <si>
    <t>COVER</t>
    <phoneticPr fontId="2" type="noConversion"/>
  </si>
  <si>
    <t>NP612-168-002#LB</t>
    <phoneticPr fontId="2" type="noConversion"/>
  </si>
  <si>
    <t>HSB05-M002B2-09BI</t>
    <phoneticPr fontId="2" type="noConversion"/>
  </si>
  <si>
    <t>NP504-295-091#SP</t>
    <phoneticPr fontId="2" type="noConversion"/>
  </si>
  <si>
    <t>F/ADAPTER</t>
    <phoneticPr fontId="2" type="noConversion"/>
  </si>
  <si>
    <t>KR6182-D624PA</t>
    <phoneticPr fontId="2" type="noConversion"/>
  </si>
  <si>
    <t>KR6182-B624CB</t>
    <phoneticPr fontId="2" type="noConversion"/>
  </si>
  <si>
    <t>KR6182-C624TB</t>
    <phoneticPr fontId="2" type="noConversion"/>
  </si>
  <si>
    <t>KR6182-A308WA</t>
    <phoneticPr fontId="2" type="noConversion"/>
  </si>
  <si>
    <r>
      <t>2018년 10월 01일 일일생산현황</t>
    </r>
    <r>
      <rPr>
        <b/>
        <sz val="14"/>
        <color indexed="8"/>
        <rFont val="굴림체"/>
        <family val="3"/>
        <charset val="129"/>
      </rPr>
      <t>(02일(화) 08시 현재)</t>
    </r>
    <phoneticPr fontId="2" type="noConversion"/>
  </si>
  <si>
    <t>GUIDE</t>
    <phoneticPr fontId="2" type="noConversion"/>
  </si>
  <si>
    <t>AMB09E1A-KAA-R1</t>
    <phoneticPr fontId="2" type="noConversion"/>
  </si>
  <si>
    <t>AMB2026A-KAA-R3</t>
    <phoneticPr fontId="2" type="noConversion"/>
  </si>
  <si>
    <t>HB2588/4518</t>
    <phoneticPr fontId="2" type="noConversion"/>
  </si>
  <si>
    <t>JCL3030</t>
    <phoneticPr fontId="2" type="noConversion"/>
  </si>
  <si>
    <t>2*1</t>
    <phoneticPr fontId="2" type="noConversion"/>
  </si>
  <si>
    <t>10월 호기별 가동현황</t>
    <phoneticPr fontId="2" type="noConversion"/>
  </si>
  <si>
    <t>전일 ISSUE 사항(01일)</t>
    <phoneticPr fontId="2" type="noConversion"/>
  </si>
  <si>
    <t>4</t>
    <phoneticPr fontId="2" type="noConversion"/>
  </si>
  <si>
    <t>3159016</t>
    <phoneticPr fontId="2" type="noConversion"/>
  </si>
  <si>
    <t>발주분양산</t>
    <phoneticPr fontId="2" type="noConversion"/>
  </si>
  <si>
    <t>AMB09E1A-KAA-R1</t>
    <phoneticPr fontId="2" type="noConversion"/>
  </si>
  <si>
    <t>7</t>
    <phoneticPr fontId="2" type="noConversion"/>
  </si>
  <si>
    <t>STOPPER</t>
    <phoneticPr fontId="2" type="noConversion"/>
  </si>
  <si>
    <t>KR6182-D624PA</t>
    <phoneticPr fontId="2" type="noConversion"/>
  </si>
  <si>
    <t>코아파손정지</t>
    <phoneticPr fontId="2" type="noConversion"/>
  </si>
  <si>
    <t>8</t>
    <phoneticPr fontId="2" type="noConversion"/>
  </si>
  <si>
    <t>BASE</t>
    <phoneticPr fontId="2" type="noConversion"/>
  </si>
  <si>
    <t>KR6182-B624CB</t>
    <phoneticPr fontId="2" type="noConversion"/>
  </si>
  <si>
    <t>상측박힘정지</t>
    <phoneticPr fontId="2" type="noConversion"/>
  </si>
  <si>
    <t>HICON</t>
    <phoneticPr fontId="2" type="noConversion"/>
  </si>
  <si>
    <t>14</t>
    <phoneticPr fontId="2" type="noConversion"/>
  </si>
  <si>
    <t>HB2588/4518</t>
    <phoneticPr fontId="2" type="noConversion"/>
  </si>
  <si>
    <t>12</t>
    <phoneticPr fontId="2" type="noConversion"/>
  </si>
  <si>
    <t>F/ADAPTER</t>
    <phoneticPr fontId="2" type="noConversion"/>
  </si>
  <si>
    <t>AMB2026A-KAA-R3</t>
    <phoneticPr fontId="2" type="noConversion"/>
  </si>
  <si>
    <t>AYE</t>
    <phoneticPr fontId="2" type="noConversion"/>
  </si>
  <si>
    <t>5</t>
    <phoneticPr fontId="2" type="noConversion"/>
  </si>
  <si>
    <t>SP</t>
    <phoneticPr fontId="2" type="noConversion"/>
  </si>
  <si>
    <t>NP504-295-091#SP</t>
    <phoneticPr fontId="2" type="noConversion"/>
  </si>
  <si>
    <t>재고분양산-&gt;BURR정지</t>
    <phoneticPr fontId="2" type="noConversion"/>
  </si>
  <si>
    <t>당일 진행 사항(02일)</t>
    <phoneticPr fontId="2" type="noConversion"/>
  </si>
  <si>
    <t>HDB08N-T4</t>
    <phoneticPr fontId="2" type="noConversion"/>
  </si>
  <si>
    <t>HDB08N-S2</t>
    <phoneticPr fontId="2" type="noConversion"/>
  </si>
  <si>
    <t>HDB08N-B1</t>
    <phoneticPr fontId="2" type="noConversion"/>
  </si>
  <si>
    <t>10</t>
    <phoneticPr fontId="2" type="noConversion"/>
  </si>
  <si>
    <t>SLIDER</t>
    <phoneticPr fontId="2" type="noConversion"/>
  </si>
  <si>
    <t>4</t>
    <phoneticPr fontId="2" type="noConversion"/>
  </si>
  <si>
    <t>SHAFT</t>
    <phoneticPr fontId="2" type="noConversion"/>
  </si>
  <si>
    <t>KR6156-06KA</t>
    <phoneticPr fontId="2" type="noConversion"/>
  </si>
  <si>
    <t>SAMPLE 진행 사항(01일)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</si>
  <si>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</si>
  <si>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</si>
  <si>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r>
      <t>2018년 10월 02일 일일생산현황</t>
    </r>
    <r>
      <rPr>
        <b/>
        <sz val="14"/>
        <color indexed="8"/>
        <rFont val="굴림체"/>
        <family val="3"/>
        <charset val="129"/>
      </rPr>
      <t>(03일(수) 08시 현재)</t>
    </r>
    <phoneticPr fontId="2" type="noConversion"/>
  </si>
  <si>
    <t xml:space="preserve">SGF2041 </t>
    <phoneticPr fontId="2" type="noConversion"/>
  </si>
  <si>
    <t>SGF2030 N/P</t>
    <phoneticPr fontId="2" type="noConversion"/>
  </si>
  <si>
    <t>FLOAT</t>
    <phoneticPr fontId="2" type="noConversion"/>
  </si>
  <si>
    <t>HB1208-10M3</t>
    <phoneticPr fontId="2" type="noConversion"/>
  </si>
  <si>
    <t>SGF2041</t>
    <phoneticPr fontId="2" type="noConversion"/>
  </si>
  <si>
    <t>전일 ISSUE 사항(02일)</t>
    <phoneticPr fontId="2" type="noConversion"/>
  </si>
  <si>
    <t>수리후양산-&gt;게이트수리</t>
    <phoneticPr fontId="2" type="noConversion"/>
  </si>
  <si>
    <t>발주분양산-&gt;하측박힘2회정지</t>
    <phoneticPr fontId="2" type="noConversion"/>
  </si>
  <si>
    <t>13</t>
    <phoneticPr fontId="2" type="noConversion"/>
  </si>
  <si>
    <t>발주분양산-&gt;코아파손수리</t>
    <phoneticPr fontId="2" type="noConversion"/>
  </si>
  <si>
    <t>당일 진행 사항(04일)</t>
    <phoneticPr fontId="2" type="noConversion"/>
  </si>
  <si>
    <t>AMB0414A-KAA-R3</t>
    <phoneticPr fontId="2" type="noConversion"/>
  </si>
  <si>
    <t>3</t>
    <phoneticPr fontId="2" type="noConversion"/>
  </si>
  <si>
    <t>LEAD GUIDE</t>
    <phoneticPr fontId="2" type="noConversion"/>
  </si>
  <si>
    <t>발주후진행</t>
    <phoneticPr fontId="2" type="noConversion"/>
  </si>
  <si>
    <t>AMB0114H-JAA-R1</t>
    <phoneticPr fontId="2" type="noConversion"/>
  </si>
  <si>
    <t>KR6190-E02TB</t>
    <phoneticPr fontId="2" type="noConversion"/>
  </si>
  <si>
    <t>11</t>
    <phoneticPr fontId="2" type="noConversion"/>
  </si>
  <si>
    <t>ACTUATOR</t>
    <phoneticPr fontId="2" type="noConversion"/>
  </si>
  <si>
    <t>AMB1901D-JAA-R2</t>
    <phoneticPr fontId="2" type="noConversion"/>
  </si>
  <si>
    <t>SAMPLE 진행 사항(02일)</t>
    <phoneticPr fontId="2" type="noConversion"/>
  </si>
  <si>
    <t>수정</t>
    <phoneticPr fontId="2" type="noConversion"/>
  </si>
  <si>
    <t>금형 수리 내역(02일)</t>
    <phoneticPr fontId="2" type="noConversion"/>
  </si>
  <si>
    <t>설비 점검 내역(02일)</t>
    <phoneticPr fontId="2" type="noConversion"/>
  </si>
  <si>
    <r>
      <t>2018년 10월 04일 일일생산현황</t>
    </r>
    <r>
      <rPr>
        <b/>
        <sz val="14"/>
        <color indexed="8"/>
        <rFont val="굴림체"/>
        <family val="3"/>
        <charset val="129"/>
      </rPr>
      <t>(05일(금) 08시 현재)</t>
    </r>
    <phoneticPr fontId="2" type="noConversion"/>
  </si>
  <si>
    <t>7301</t>
    <phoneticPr fontId="2" type="noConversion"/>
  </si>
  <si>
    <t>KR6414-A291YA</t>
    <phoneticPr fontId="2" type="noConversion"/>
  </si>
  <si>
    <t>SGF2050</t>
    <phoneticPr fontId="2" type="noConversion"/>
  </si>
  <si>
    <t>KR6156DB841CA</t>
    <phoneticPr fontId="2" type="noConversion"/>
  </si>
  <si>
    <t>발주분양산-&gt;코아이상정지</t>
    <phoneticPr fontId="2" type="noConversion"/>
  </si>
  <si>
    <t>상측박힘2회수리</t>
    <phoneticPr fontId="2" type="noConversion"/>
  </si>
  <si>
    <t>수리후양산-&gt;밀핀파손수리-&gt;가스정지</t>
    <phoneticPr fontId="2" type="noConversion"/>
  </si>
  <si>
    <t>전일 ISSUE 사항(04일)</t>
    <phoneticPr fontId="2" type="noConversion"/>
  </si>
  <si>
    <t>당일 진행 사항(05일)</t>
    <phoneticPr fontId="2" type="noConversion"/>
  </si>
  <si>
    <t>SAMPLE 진행 사항(04일)</t>
    <phoneticPr fontId="2" type="noConversion"/>
  </si>
  <si>
    <t>KR6414AC414TA</t>
    <phoneticPr fontId="2" type="noConversion"/>
  </si>
  <si>
    <t>요청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</si>
  <si>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</si>
  <si>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</si>
  <si>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2018년 10월 05일 일일생산현황</t>
    </r>
    <r>
      <rPr>
        <b/>
        <sz val="14"/>
        <color indexed="8"/>
        <rFont val="굴림체"/>
        <family val="3"/>
        <charset val="129"/>
      </rPr>
      <t>(06일(토) 08시 현재)</t>
    </r>
    <phoneticPr fontId="2" type="noConversion"/>
  </si>
  <si>
    <t>BODY</t>
    <phoneticPr fontId="2" type="noConversion"/>
  </si>
  <si>
    <t>메카텍</t>
    <phoneticPr fontId="2" type="noConversion"/>
  </si>
  <si>
    <t>COVER HIMGE</t>
    <phoneticPr fontId="2" type="noConversion"/>
  </si>
  <si>
    <t>전일 ISSUE 사항(05일)</t>
    <phoneticPr fontId="2" type="noConversion"/>
  </si>
  <si>
    <t>미성형정지</t>
    <phoneticPr fontId="2" type="noConversion"/>
  </si>
  <si>
    <t>설비이동-&gt;가스미성형 2회수리-&gt;C뜯김 2CAV 양산</t>
    <phoneticPr fontId="2" type="noConversion"/>
  </si>
  <si>
    <t>상측박힘3회정지</t>
    <phoneticPr fontId="2" type="noConversion"/>
  </si>
  <si>
    <t>COVER HINGE</t>
    <phoneticPr fontId="2" type="noConversion"/>
  </si>
  <si>
    <t>당일 진행 사항(08일)</t>
    <phoneticPr fontId="2" type="noConversion"/>
  </si>
  <si>
    <t>KR6422-A556YA</t>
    <phoneticPr fontId="2" type="noConversion"/>
  </si>
  <si>
    <t>BG255-001A1</t>
    <phoneticPr fontId="2" type="noConversion"/>
  </si>
  <si>
    <t>공용LEVER</t>
    <phoneticPr fontId="2" type="noConversion"/>
  </si>
  <si>
    <t>SAMPLE 진행 사항(05일)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</si>
  <si>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</si>
  <si>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</si>
  <si>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2018년 10월 08일 일일생산현황</t>
    </r>
    <r>
      <rPr>
        <b/>
        <sz val="14"/>
        <color indexed="8"/>
        <rFont val="굴림체"/>
        <family val="3"/>
        <charset val="129"/>
      </rPr>
      <t>(09일(화) 08시 현재)</t>
    </r>
    <phoneticPr fontId="2" type="noConversion"/>
  </si>
  <si>
    <t>HINGE</t>
    <phoneticPr fontId="2" type="noConversion"/>
  </si>
  <si>
    <t>N2588-HB-02A</t>
    <phoneticPr fontId="2" type="noConversion"/>
  </si>
  <si>
    <t>공용 LEVER</t>
    <phoneticPr fontId="2" type="noConversion"/>
  </si>
  <si>
    <t>KR6170AF1440UA</t>
    <phoneticPr fontId="2" type="noConversion"/>
  </si>
  <si>
    <t>전일 ISSUE 사항(08일)</t>
    <phoneticPr fontId="2" type="noConversion"/>
  </si>
  <si>
    <t>발주분양산-&gt;가스정지</t>
    <phoneticPr fontId="2" type="noConversion"/>
  </si>
  <si>
    <t>수리후양산-&gt;BURR정지</t>
    <phoneticPr fontId="2" type="noConversion"/>
  </si>
  <si>
    <t>당일 진행 사항(10일)</t>
    <phoneticPr fontId="2" type="noConversion"/>
  </si>
  <si>
    <t>KR6422-B589CA</t>
    <phoneticPr fontId="2" type="noConversion"/>
  </si>
  <si>
    <t>SAMPLE 진행 사항(08일)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</si>
  <si>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</si>
  <si>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</si>
  <si>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2018년 10월 10일 일일생산현황</t>
    </r>
    <r>
      <rPr>
        <b/>
        <sz val="14"/>
        <color indexed="8"/>
        <rFont val="굴림체"/>
        <family val="3"/>
        <charset val="129"/>
      </rPr>
      <t>(11일(목) 08시 현재)</t>
    </r>
    <phoneticPr fontId="2" type="noConversion"/>
  </si>
  <si>
    <t>전일 ISSUE 사항(10일)</t>
    <phoneticPr fontId="2" type="noConversion"/>
  </si>
  <si>
    <t>설비이동 수리후양산</t>
    <phoneticPr fontId="2" type="noConversion"/>
  </si>
  <si>
    <t>금형긁힘수리</t>
    <phoneticPr fontId="2" type="noConversion"/>
  </si>
  <si>
    <t>발주분양산-&gt;코아파손정지</t>
    <phoneticPr fontId="2" type="noConversion"/>
  </si>
  <si>
    <t>당일 진행 사항(11일)</t>
    <phoneticPr fontId="2" type="noConversion"/>
  </si>
  <si>
    <t>AMB0153A-KAA-R1</t>
    <phoneticPr fontId="2" type="noConversion"/>
  </si>
  <si>
    <t>신작</t>
    <phoneticPr fontId="2" type="noConversion"/>
  </si>
  <si>
    <t>옵션</t>
    <phoneticPr fontId="2" type="noConversion"/>
  </si>
  <si>
    <t>AMB0341A-KAA-R1</t>
    <phoneticPr fontId="2" type="noConversion"/>
  </si>
  <si>
    <t>KR6156-GBG149XX</t>
    <phoneticPr fontId="2" type="noConversion"/>
  </si>
  <si>
    <t>ADAPTER</t>
    <phoneticPr fontId="2" type="noConversion"/>
  </si>
  <si>
    <t xml:space="preserve"> 미성형</t>
    <phoneticPr fontId="2" type="noConversion"/>
  </si>
  <si>
    <t>설비 점검 내역(10일)</t>
    <phoneticPr fontId="2" type="noConversion"/>
  </si>
  <si>
    <t>금형 수리 내역(10일)</t>
    <phoneticPr fontId="2" type="noConversion"/>
  </si>
  <si>
    <t>SAMPLE 진행 사항(10일)</t>
    <phoneticPr fontId="2" type="noConversion"/>
  </si>
  <si>
    <r>
      <t>2018년 10월 11일(14시) 일일생산현황</t>
    </r>
    <r>
      <rPr>
        <b/>
        <sz val="14"/>
        <color indexed="8"/>
        <rFont val="굴림체"/>
        <family val="3"/>
        <charset val="129"/>
      </rPr>
      <t>(11일(목) 18시 현재)</t>
    </r>
    <phoneticPr fontId="2" type="noConversion"/>
  </si>
  <si>
    <t>E PR</t>
    <phoneticPr fontId="2" type="noConversion"/>
  </si>
  <si>
    <t>전일 ISSUE 사항(11일)</t>
    <phoneticPr fontId="2" type="noConversion"/>
  </si>
  <si>
    <t>당일 진행 사항(15일)</t>
    <phoneticPr fontId="2" type="noConversion"/>
  </si>
  <si>
    <t>AMB1905B-KAA-R1</t>
    <phoneticPr fontId="2" type="noConversion"/>
  </si>
  <si>
    <t>KR6197AB841CB</t>
    <phoneticPr fontId="2" type="noConversion"/>
  </si>
  <si>
    <t>재고분양산</t>
    <phoneticPr fontId="2" type="noConversion"/>
  </si>
  <si>
    <t>AMB1901B-JAA-R1</t>
    <phoneticPr fontId="2" type="noConversion"/>
  </si>
  <si>
    <t>SAMPLE 진행 사항(11일)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</si>
  <si>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</si>
  <si>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</si>
  <si>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t>미성형</t>
    <phoneticPr fontId="2" type="noConversion"/>
  </si>
  <si>
    <r>
      <t>2018년 10월 15일 일일생산현황</t>
    </r>
    <r>
      <rPr>
        <b/>
        <sz val="14"/>
        <color indexed="8"/>
        <rFont val="굴림체"/>
        <family val="3"/>
        <charset val="129"/>
      </rPr>
      <t>(16일(화) 18시 현재)</t>
    </r>
    <phoneticPr fontId="2" type="noConversion"/>
  </si>
  <si>
    <t>전일 ISSUE 사항(15일)</t>
    <phoneticPr fontId="2" type="noConversion"/>
  </si>
  <si>
    <t>당일 진행 사항(16일)</t>
    <phoneticPr fontId="2" type="noConversion"/>
  </si>
  <si>
    <t>COVER/UPP</t>
    <phoneticPr fontId="2" type="noConversion"/>
  </si>
  <si>
    <t>SAMPLE 진행 사항(15일)</t>
    <phoneticPr fontId="2" type="noConversion"/>
  </si>
  <si>
    <t>AMM0850A-KAA-R2</t>
    <phoneticPr fontId="2" type="noConversion"/>
  </si>
  <si>
    <t>G1300H</t>
    <phoneticPr fontId="2" type="noConversion"/>
  </si>
  <si>
    <t>원재료</t>
    <phoneticPr fontId="2" type="noConversion"/>
  </si>
  <si>
    <t>KR6156-GBG149AA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</si>
  <si>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</si>
  <si>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</si>
  <si>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2018년 10월 16일 일일생산현황</t>
    </r>
    <r>
      <rPr>
        <b/>
        <sz val="14"/>
        <color indexed="8"/>
        <rFont val="굴림체"/>
        <family val="3"/>
        <charset val="129"/>
      </rPr>
      <t>(17일(수) 18시 현재)</t>
    </r>
    <phoneticPr fontId="2" type="noConversion"/>
  </si>
  <si>
    <t>MECA</t>
    <phoneticPr fontId="2" type="noConversion"/>
  </si>
  <si>
    <t>COVER/UPPER</t>
    <phoneticPr fontId="2" type="noConversion"/>
  </si>
  <si>
    <t>AMB39D8A-KAA-R1</t>
    <phoneticPr fontId="2" type="noConversion"/>
  </si>
  <si>
    <t>AMM0822A-KAB-R1</t>
    <phoneticPr fontId="2" type="noConversion"/>
  </si>
  <si>
    <t>전일 ISSUE 사항(16일)</t>
    <phoneticPr fontId="2" type="noConversion"/>
  </si>
  <si>
    <t>당일 진행 사항(17일)</t>
    <phoneticPr fontId="2" type="noConversion"/>
  </si>
  <si>
    <t>TEST</t>
    <phoneticPr fontId="2" type="noConversion"/>
  </si>
  <si>
    <t>LATCH/PUSHER</t>
    <phoneticPr fontId="2" type="noConversion"/>
  </si>
  <si>
    <t>AMM0860A-KAA-R1</t>
    <phoneticPr fontId="2" type="noConversion"/>
  </si>
  <si>
    <t>JOINT</t>
    <phoneticPr fontId="2" type="noConversion"/>
  </si>
  <si>
    <t>KR6303-E05TA/ER01</t>
    <phoneticPr fontId="2" type="noConversion"/>
  </si>
  <si>
    <t>SAMPLE 진행 사항(16일)</t>
    <phoneticPr fontId="2" type="noConversion"/>
  </si>
  <si>
    <t>금형 수리 내역(16일)</t>
    <phoneticPr fontId="2" type="noConversion"/>
  </si>
  <si>
    <t>설비 점검 내역(16일)</t>
    <phoneticPr fontId="2" type="noConversion"/>
  </si>
  <si>
    <r>
      <t>2018년 10월 17일(주간) 일일생산현황</t>
    </r>
    <r>
      <rPr>
        <b/>
        <sz val="14"/>
        <color indexed="8"/>
        <rFont val="굴림체"/>
        <family val="3"/>
        <charset val="129"/>
      </rPr>
      <t>(18일(목) 18시 현재)</t>
    </r>
    <phoneticPr fontId="2" type="noConversion"/>
  </si>
  <si>
    <t>PUSHER/LATCH</t>
    <phoneticPr fontId="2" type="noConversion"/>
  </si>
  <si>
    <t>KR6303-E05/ER01TA</t>
    <phoneticPr fontId="2" type="noConversion"/>
  </si>
  <si>
    <t>2*4</t>
    <phoneticPr fontId="2" type="noConversion"/>
  </si>
  <si>
    <t>GN2330</t>
    <phoneticPr fontId="2" type="noConversion"/>
  </si>
  <si>
    <t>전일 ISSUE 사항(17일)</t>
    <phoneticPr fontId="2" type="noConversion"/>
  </si>
  <si>
    <t>당일 진행 사항(18일)</t>
    <phoneticPr fontId="2" type="noConversion"/>
  </si>
  <si>
    <t>LOWER PLATE</t>
    <phoneticPr fontId="2" type="noConversion"/>
  </si>
  <si>
    <t>SAMPLE 진행 사항(17일)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</si>
  <si>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</si>
  <si>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</si>
  <si>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2018년 10월 18일(주간) 일일생산현황</t>
    </r>
    <r>
      <rPr>
        <b/>
        <sz val="14"/>
        <color indexed="8"/>
        <rFont val="굴림체"/>
        <family val="3"/>
        <charset val="129"/>
      </rPr>
      <t>(19일(금) 18시 현재)</t>
    </r>
    <phoneticPr fontId="2" type="noConversion"/>
  </si>
  <si>
    <t>LOWER</t>
    <phoneticPr fontId="2" type="noConversion"/>
  </si>
  <si>
    <t>전일 ISSUE 사항(18일)</t>
    <phoneticPr fontId="2" type="noConversion"/>
  </si>
  <si>
    <t>당일 진행 사항(22일)</t>
    <phoneticPr fontId="2" type="noConversion"/>
  </si>
  <si>
    <t>KR6422AA496YA</t>
    <phoneticPr fontId="2" type="noConversion"/>
  </si>
  <si>
    <t>KR6422-GA556QA</t>
    <phoneticPr fontId="2" type="noConversion"/>
  </si>
  <si>
    <t>MIDDLE PLATE</t>
    <phoneticPr fontId="2" type="noConversion"/>
  </si>
  <si>
    <t>HSF05-M04B1</t>
    <phoneticPr fontId="2" type="noConversion"/>
  </si>
  <si>
    <t>HSF05-M01B1</t>
    <phoneticPr fontId="2" type="noConversion"/>
  </si>
  <si>
    <t>NEXT</t>
    <phoneticPr fontId="2" type="noConversion"/>
  </si>
  <si>
    <t>6</t>
    <phoneticPr fontId="2" type="noConversion"/>
  </si>
  <si>
    <t>SAMPLE 진행 사항(18일)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</si>
  <si>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</si>
  <si>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</si>
  <si>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t>KR6156-E01TA</t>
    <phoneticPr fontId="2" type="noConversion"/>
  </si>
  <si>
    <t>SF2255 I/V</t>
    <phoneticPr fontId="2" type="noConversion"/>
  </si>
  <si>
    <t>전일 ISSUE 사항(22일)</t>
    <phoneticPr fontId="2" type="noConversion"/>
  </si>
  <si>
    <t>HL072-10M5</t>
    <phoneticPr fontId="2" type="noConversion"/>
  </si>
  <si>
    <t>당일 진행 사항(23일)</t>
    <phoneticPr fontId="2" type="noConversion"/>
  </si>
  <si>
    <t>plunger</t>
    <phoneticPr fontId="2" type="noConversion"/>
  </si>
  <si>
    <t>KR6197-A221YA</t>
    <phoneticPr fontId="2" type="noConversion"/>
  </si>
  <si>
    <t>KR6197-06KA</t>
    <phoneticPr fontId="2" type="noConversion"/>
  </si>
  <si>
    <t>HL072-10M1</t>
    <phoneticPr fontId="2" type="noConversion"/>
  </si>
  <si>
    <t>HL72 Base</t>
    <phoneticPr fontId="2" type="noConversion"/>
  </si>
  <si>
    <t>HL072-10M3/4</t>
    <phoneticPr fontId="2" type="noConversion"/>
  </si>
  <si>
    <t>LID/PLATE</t>
    <phoneticPr fontId="2" type="noConversion"/>
  </si>
  <si>
    <t>LATCH TOP</t>
    <phoneticPr fontId="2" type="noConversion"/>
  </si>
  <si>
    <t>코아시스</t>
    <phoneticPr fontId="2" type="noConversion"/>
  </si>
  <si>
    <t>SAMPLE 진행 사항(22일)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</si>
  <si>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</si>
  <si>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</si>
  <si>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t>PUSHER</t>
    <phoneticPr fontId="2" type="noConversion"/>
  </si>
  <si>
    <t>KR6170-F116UA</t>
    <phoneticPr fontId="2" type="noConversion"/>
  </si>
  <si>
    <t>전일 ISSUE 사항(23일)</t>
    <phoneticPr fontId="2" type="noConversion"/>
  </si>
  <si>
    <t>발주분양산-&gt;게이트수리</t>
    <phoneticPr fontId="2" type="noConversion"/>
  </si>
  <si>
    <t>당일 진행 사항(24일)</t>
    <phoneticPr fontId="2" type="noConversion"/>
  </si>
  <si>
    <t>SAMPLE 진행 사항(23일)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</si>
  <si>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</si>
  <si>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</si>
  <si>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2018년 10월 24일 일일생산현황</t>
    </r>
    <r>
      <rPr>
        <b/>
        <sz val="14"/>
        <color indexed="8"/>
        <rFont val="굴림체"/>
        <family val="3"/>
        <charset val="129"/>
      </rPr>
      <t>(25일 09시 현재)</t>
    </r>
    <phoneticPr fontId="2" type="noConversion"/>
  </si>
  <si>
    <r>
      <t>2018년 10월 23일 일일생산현황</t>
    </r>
    <r>
      <rPr>
        <b/>
        <sz val="14"/>
        <color indexed="8"/>
        <rFont val="굴림체"/>
        <family val="3"/>
        <charset val="129"/>
      </rPr>
      <t>(24일 09시 현재)</t>
    </r>
    <phoneticPr fontId="2" type="noConversion"/>
  </si>
  <si>
    <r>
      <t>2018년 10월 22일 일일생산현황</t>
    </r>
    <r>
      <rPr>
        <b/>
        <sz val="14"/>
        <color indexed="8"/>
        <rFont val="굴림체"/>
        <family val="3"/>
        <charset val="129"/>
      </rPr>
      <t>(23일 09시 현재)</t>
    </r>
    <phoneticPr fontId="2" type="noConversion"/>
  </si>
  <si>
    <t>KR6166-01TB</t>
    <phoneticPr fontId="2" type="noConversion"/>
  </si>
  <si>
    <t xml:space="preserve">SGF2030 </t>
    <phoneticPr fontId="2" type="noConversion"/>
  </si>
  <si>
    <t>KR6422AB589CA</t>
    <phoneticPr fontId="2" type="noConversion"/>
  </si>
  <si>
    <t>AMB0401A-KAA-R1</t>
    <phoneticPr fontId="2" type="noConversion"/>
  </si>
  <si>
    <t>전일 ISSUE 사항(24일)</t>
    <phoneticPr fontId="2" type="noConversion"/>
  </si>
  <si>
    <t>MCS</t>
    <phoneticPr fontId="2" type="noConversion"/>
  </si>
  <si>
    <t>14</t>
    <phoneticPr fontId="2" type="noConversion"/>
  </si>
  <si>
    <t>LEAD GUIDE</t>
    <phoneticPr fontId="2" type="noConversion"/>
  </si>
  <si>
    <t>AMB0401A-KAA-R1</t>
    <phoneticPr fontId="2" type="noConversion"/>
  </si>
  <si>
    <t>당일 진행 사항(25일)</t>
    <phoneticPr fontId="2" type="noConversion"/>
  </si>
  <si>
    <t>4</t>
    <phoneticPr fontId="2" type="noConversion"/>
  </si>
  <si>
    <t>BASE</t>
    <phoneticPr fontId="2" type="noConversion"/>
  </si>
  <si>
    <t>SAMPLE 진행 사항(24일)</t>
    <phoneticPr fontId="2" type="noConversion"/>
  </si>
  <si>
    <t>SGF2033</t>
    <phoneticPr fontId="2" type="noConversion"/>
  </si>
  <si>
    <t>HICON</t>
    <phoneticPr fontId="2" type="noConversion"/>
  </si>
  <si>
    <t>Receptacle</t>
    <phoneticPr fontId="2" type="noConversion"/>
  </si>
  <si>
    <t>BR88-127A1-1</t>
    <phoneticPr fontId="2" type="noConversion"/>
  </si>
  <si>
    <t>PA46</t>
    <phoneticPr fontId="2" type="noConversion"/>
  </si>
  <si>
    <t>요청</t>
    <phoneticPr fontId="2" type="noConversion"/>
  </si>
  <si>
    <t>AMM0850A-KAA-R2</t>
    <phoneticPr fontId="2" type="noConversion"/>
  </si>
  <si>
    <t>GN2330</t>
    <phoneticPr fontId="2" type="noConversion"/>
  </si>
  <si>
    <t>설비</t>
    <phoneticPr fontId="2" type="noConversion"/>
  </si>
  <si>
    <t>SLIDER</t>
    <phoneticPr fontId="2" type="noConversion"/>
  </si>
  <si>
    <t>KR6156-A841YA</t>
    <phoneticPr fontId="2" type="noConversion"/>
  </si>
  <si>
    <t>SGF2050</t>
    <phoneticPr fontId="2" type="noConversion"/>
  </si>
  <si>
    <t>LATCH</t>
    <phoneticPr fontId="2" type="noConversion"/>
  </si>
  <si>
    <t>K-JR01928-E02AWA</t>
    <phoneticPr fontId="2" type="noConversion"/>
  </si>
  <si>
    <t>SGF2030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</si>
  <si>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</si>
  <si>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</si>
  <si>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r>
      <t>2018년 10월 25일 일일생산현황</t>
    </r>
    <r>
      <rPr>
        <b/>
        <sz val="14"/>
        <color indexed="8"/>
        <rFont val="굴림체"/>
        <family val="3"/>
        <charset val="129"/>
      </rPr>
      <t>(26일 09시 현재)</t>
    </r>
    <phoneticPr fontId="2" type="noConversion"/>
  </si>
  <si>
    <t>전일 ISSUE 사항(25일)</t>
    <phoneticPr fontId="2" type="noConversion"/>
  </si>
  <si>
    <t>발주분양산-&gt;상측뜯김3회수리</t>
    <phoneticPr fontId="2" type="noConversion"/>
  </si>
  <si>
    <t>15</t>
    <phoneticPr fontId="2" type="noConversion"/>
  </si>
  <si>
    <t>당일 진행 사항(29일)</t>
    <phoneticPr fontId="2" type="noConversion"/>
  </si>
  <si>
    <t>승인후양산</t>
    <phoneticPr fontId="2" type="noConversion"/>
  </si>
  <si>
    <t>SHORT BASE(L5.70)2P/UNDER</t>
    <phoneticPr fontId="2" type="noConversion"/>
  </si>
  <si>
    <t>22P(4POST)</t>
    <phoneticPr fontId="2" type="noConversion"/>
  </si>
  <si>
    <t>SAMPLE 진행 사항(25일)</t>
    <phoneticPr fontId="2" type="noConversion"/>
  </si>
  <si>
    <t>K-JR01928-G01BWA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</si>
  <si>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</si>
  <si>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</si>
  <si>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2018년 10월 29일 일일생산현황</t>
    </r>
    <r>
      <rPr>
        <b/>
        <sz val="14"/>
        <color indexed="8"/>
        <rFont val="굴림체"/>
        <family val="3"/>
        <charset val="129"/>
      </rPr>
      <t>(30일 09시 현재)</t>
    </r>
    <phoneticPr fontId="2" type="noConversion"/>
  </si>
  <si>
    <t>2P BASE/UNDER</t>
    <phoneticPr fontId="2" type="noConversion"/>
  </si>
  <si>
    <t>전일 ISSUE 사항(29일)</t>
    <phoneticPr fontId="2" type="noConversion"/>
  </si>
  <si>
    <t>당일 진행 사항(30일)</t>
    <phoneticPr fontId="2" type="noConversion"/>
  </si>
  <si>
    <t>9</t>
    <phoneticPr fontId="2" type="noConversion"/>
  </si>
  <si>
    <t>KR6197-GK209QA</t>
    <phoneticPr fontId="2" type="noConversion"/>
  </si>
  <si>
    <t>HSB05-M001B1</t>
    <phoneticPr fontId="2" type="noConversion"/>
  </si>
  <si>
    <t>SAMPLE 진행 사항(29일)</t>
    <phoneticPr fontId="2" type="noConversion"/>
  </si>
  <si>
    <t>KR6170-GL496QA</t>
    <phoneticPr fontId="2" type="noConversion"/>
  </si>
  <si>
    <t>금형 수리 내역(29일)</t>
    <phoneticPr fontId="2" type="noConversion"/>
  </si>
  <si>
    <t>설비 점검 내역(29일)</t>
    <phoneticPr fontId="2" type="noConversion"/>
  </si>
  <si>
    <r>
      <t>2018년 10월 30일 일일생산현황</t>
    </r>
    <r>
      <rPr>
        <b/>
        <sz val="14"/>
        <color indexed="8"/>
        <rFont val="굴림체"/>
        <family val="3"/>
        <charset val="129"/>
      </rPr>
      <t>(31일 09시 현재)</t>
    </r>
    <phoneticPr fontId="2" type="noConversion"/>
  </si>
  <si>
    <t>HSB05-M004B1</t>
    <phoneticPr fontId="2" type="noConversion"/>
  </si>
  <si>
    <t>전일 ISSUE 사항(30일)</t>
    <phoneticPr fontId="2" type="noConversion"/>
  </si>
  <si>
    <t>코아파손수리</t>
    <phoneticPr fontId="2" type="noConversion"/>
  </si>
  <si>
    <t>수정후양산</t>
    <phoneticPr fontId="2" type="noConversion"/>
  </si>
  <si>
    <t>당일 진행 사항(31일)</t>
    <phoneticPr fontId="2" type="noConversion"/>
  </si>
  <si>
    <t>AMM0853A-KAA-R1</t>
    <phoneticPr fontId="2" type="noConversion"/>
  </si>
  <si>
    <t>HSB05-M005B1</t>
    <phoneticPr fontId="2" type="noConversion"/>
  </si>
  <si>
    <t>AMB0922A-KAA-R2</t>
    <phoneticPr fontId="2" type="noConversion"/>
  </si>
  <si>
    <t>LATCH PLATE</t>
    <phoneticPr fontId="2" type="noConversion"/>
  </si>
  <si>
    <t>11.85(34P)BASE/UNDER BASE</t>
    <phoneticPr fontId="2" type="noConversion"/>
  </si>
  <si>
    <t>SAMPLE 진행 사항(30일)</t>
    <phoneticPr fontId="2" type="noConversion"/>
  </si>
  <si>
    <t>금형 수리 내역(30일)</t>
    <phoneticPr fontId="2" type="noConversion"/>
  </si>
  <si>
    <t>설비 점검 내역(30일)</t>
    <phoneticPr fontId="2" type="noConversion"/>
  </si>
  <si>
    <r>
      <t>2018년 10월 31일 일일생산현황</t>
    </r>
    <r>
      <rPr>
        <b/>
        <sz val="14"/>
        <color indexed="8"/>
        <rFont val="굴림체"/>
        <family val="3"/>
        <charset val="129"/>
      </rPr>
      <t>(01일 09시 현재)</t>
    </r>
    <phoneticPr fontId="2" type="noConversion"/>
  </si>
  <si>
    <t>전일 ISSUE 사항(31일)</t>
    <phoneticPr fontId="2" type="noConversion"/>
  </si>
  <si>
    <t>상측뜯김정지</t>
    <phoneticPr fontId="2" type="noConversion"/>
  </si>
  <si>
    <t>34P BASE/UNDER</t>
    <phoneticPr fontId="2" type="noConversion"/>
  </si>
  <si>
    <t>당일 진행 사항(01일)</t>
    <phoneticPr fontId="2" type="noConversion"/>
  </si>
  <si>
    <t>AMB1917A-KAA-R1</t>
    <phoneticPr fontId="2" type="noConversion"/>
  </si>
  <si>
    <t>SAMPLE 진행 사항(31일)</t>
    <phoneticPr fontId="2" type="noConversion"/>
  </si>
  <si>
    <t>금형 수리 내역(31일)</t>
    <phoneticPr fontId="2" type="noConversion"/>
  </si>
  <si>
    <t>설비 점검 내역(31일)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</si>
</sst>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/>
    </xf>
    <xf numFmtId="41" fontId="8" fillId="0" borderId="6" xfId="4" applyFont="1" applyFill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Fill="1" applyBorder="1" applyAlignment="1">
      <alignment horizontal="center" vertical="center"/>
    </xf>
    <xf numFmtId="9" fontId="9" fillId="0" borderId="7" xfId="3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178" fontId="8" fillId="0" borderId="10" xfId="4" applyNumberFormat="1" applyFont="1" applyFill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9" xfId="4" applyFont="1" applyFill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 wrapText="1"/>
    </xf>
    <xf numFmtId="41" fontId="4" fillId="0" borderId="7" xfId="4" applyFont="1" applyFill="1" applyBorder="1" applyAlignment="1">
      <alignment horizontal="center" vertical="center" wrapText="1"/>
    </xf>
    <xf numFmtId="41" fontId="8" fillId="0" borderId="4" xfId="4" applyFont="1" applyFill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 wrapText="1"/>
    </xf>
    <xf numFmtId="41" fontId="8" fillId="0" borderId="8" xfId="4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178" fontId="11" fillId="0" borderId="0" xfId="4" applyNumberFormat="1" applyFont="1" applyBorder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shrinkToFit="1"/>
    </xf>
    <xf numFmtId="41" fontId="13" fillId="0" borderId="0" xfId="4" applyFont="1" applyBorder="1" applyAlignment="1">
      <alignment vertical="center"/>
    </xf>
    <xf numFmtId="49" fontId="13" fillId="0" borderId="0" xfId="2" applyNumberFormat="1" applyFont="1" applyBorder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41" fontId="13" fillId="0" borderId="9" xfId="4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left" vertical="center" shrinkToFit="1"/>
    </xf>
    <xf numFmtId="0" fontId="13" fillId="0" borderId="15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left" vertical="center" shrinkToFit="1"/>
    </xf>
    <xf numFmtId="49" fontId="13" fillId="0" borderId="30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wrapText="1" shrinkToFit="1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10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871441689623512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'02'!$D$6:$D$22</c:f>
              <c:strCache>
                <c:ptCount val="16"/>
                <c:pt idx="2">
                  <c:v>LATCH</c:v>
                </c:pt>
                <c:pt idx="3">
                  <c:v>SHAFT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FLOAT</c:v>
                </c:pt>
                <c:pt idx="15">
                  <c:v>BASE</c:v>
                </c:pt>
              </c:strCache>
            </c:strRef>
          </c:cat>
          <c:val>
            <c:numRef>
              <c:f>'02'!$L$6:$L$22</c:f>
              <c:numCache>
                <c:formatCode>_(* #,##0_);_(* \(#,##0\);_(* "-"_);_(@_)</c:formatCode>
                <c:ptCount val="17"/>
                <c:pt idx="2">
                  <c:v>8602</c:v>
                </c:pt>
                <c:pt idx="3">
                  <c:v>35472</c:v>
                </c:pt>
                <c:pt idx="4">
                  <c:v>6204</c:v>
                </c:pt>
                <c:pt idx="5">
                  <c:v>4840</c:v>
                </c:pt>
                <c:pt idx="7">
                  <c:v>4831</c:v>
                </c:pt>
                <c:pt idx="8">
                  <c:v>3797</c:v>
                </c:pt>
                <c:pt idx="10">
                  <c:v>7545</c:v>
                </c:pt>
                <c:pt idx="11">
                  <c:v>3339</c:v>
                </c:pt>
                <c:pt idx="13">
                  <c:v>1491</c:v>
                </c:pt>
                <c:pt idx="14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FBF-BB27-134ED238CCE4}"/>
            </c:ext>
          </c:extLst>
        </c:ser>
        <c:ser>
          <c:idx val="1"/>
          <c:order val="1"/>
          <c:tx>
            <c:v>계획</c:v>
          </c:tx>
          <c:cat>
            <c:strRef>
              <c:f>'02'!$D$6:$D$22</c:f>
              <c:strCache>
                <c:ptCount val="16"/>
                <c:pt idx="2">
                  <c:v>LATCH</c:v>
                </c:pt>
                <c:pt idx="3">
                  <c:v>SHAFT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FLOAT</c:v>
                </c:pt>
                <c:pt idx="15">
                  <c:v>BASE</c:v>
                </c:pt>
              </c:strCache>
            </c:strRef>
          </c:cat>
          <c:val>
            <c:numRef>
              <c:f>'02'!$J$6:$J$22</c:f>
              <c:numCache>
                <c:formatCode>_(* #,##0_);_(* \(#,##0\);_(* "-"_);_(@_)</c:formatCode>
                <c:ptCount val="17"/>
                <c:pt idx="0">
                  <c:v>36840</c:v>
                </c:pt>
                <c:pt idx="1">
                  <c:v>800</c:v>
                </c:pt>
                <c:pt idx="2">
                  <c:v>8602</c:v>
                </c:pt>
                <c:pt idx="3">
                  <c:v>35472</c:v>
                </c:pt>
                <c:pt idx="4">
                  <c:v>6204</c:v>
                </c:pt>
                <c:pt idx="5">
                  <c:v>4840</c:v>
                </c:pt>
                <c:pt idx="6">
                  <c:v>2357</c:v>
                </c:pt>
                <c:pt idx="7">
                  <c:v>4831</c:v>
                </c:pt>
                <c:pt idx="8">
                  <c:v>3797</c:v>
                </c:pt>
                <c:pt idx="9">
                  <c:v>1068</c:v>
                </c:pt>
                <c:pt idx="10">
                  <c:v>7454</c:v>
                </c:pt>
                <c:pt idx="11">
                  <c:v>3339</c:v>
                </c:pt>
                <c:pt idx="12">
                  <c:v>1846</c:v>
                </c:pt>
                <c:pt idx="13">
                  <c:v>1491</c:v>
                </c:pt>
                <c:pt idx="14">
                  <c:v>2210</c:v>
                </c:pt>
                <c:pt idx="15">
                  <c:v>3101</c:v>
                </c:pt>
                <c:pt idx="16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FBF-BB27-134ED238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42%</c:v>
                </c:pt>
                <c:pt idx="4">
                  <c:v>38%</c:v>
                </c:pt>
                <c:pt idx="5">
                  <c:v>42%</c:v>
                </c:pt>
                <c:pt idx="6">
                  <c:v>0%</c:v>
                </c:pt>
                <c:pt idx="7">
                  <c:v>92%</c:v>
                </c:pt>
                <c:pt idx="8">
                  <c:v>88%</c:v>
                </c:pt>
                <c:pt idx="9">
                  <c:v>0%</c:v>
                </c:pt>
                <c:pt idx="10">
                  <c:v>67%</c:v>
                </c:pt>
                <c:pt idx="11">
                  <c:v>67%</c:v>
                </c:pt>
                <c:pt idx="12">
                  <c:v>0%</c:v>
                </c:pt>
                <c:pt idx="13">
                  <c:v>25%</c:v>
                </c:pt>
                <c:pt idx="14">
                  <c:v>67%</c:v>
                </c:pt>
                <c:pt idx="15">
                  <c:v>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'02'!$D$6:$D$22</c:f>
              <c:strCache>
                <c:ptCount val="16"/>
                <c:pt idx="2">
                  <c:v>LATCH</c:v>
                </c:pt>
                <c:pt idx="3">
                  <c:v>SHAFT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FLOAT</c:v>
                </c:pt>
                <c:pt idx="15">
                  <c:v>BASE</c:v>
                </c:pt>
              </c:strCache>
            </c:strRef>
          </c:cat>
          <c:val>
            <c:numRef>
              <c:f>'02'!$AD$6:$AD$22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0.41666666666666669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</c:v>
                </c:pt>
                <c:pt idx="7">
                  <c:v>0.91666666666666663</c:v>
                </c:pt>
                <c:pt idx="8">
                  <c:v>0.875</c:v>
                </c:pt>
                <c:pt idx="9">
                  <c:v>0</c:v>
                </c:pt>
                <c:pt idx="10">
                  <c:v>0.67480547357123699</c:v>
                </c:pt>
                <c:pt idx="11">
                  <c:v>0.66666666666666663</c:v>
                </c:pt>
                <c:pt idx="12">
                  <c:v>0</c:v>
                </c:pt>
                <c:pt idx="13">
                  <c:v>0.25</c:v>
                </c:pt>
                <c:pt idx="14">
                  <c:v>0.66666666666666663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B-4262-8218-F03E730F675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5B-4262-8218-F03E730F67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'02'!$D$6:$D$22</c:f>
              <c:strCache>
                <c:ptCount val="16"/>
                <c:pt idx="2">
                  <c:v>LATCH</c:v>
                </c:pt>
                <c:pt idx="3">
                  <c:v>SHAFT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FLOAT</c:v>
                </c:pt>
                <c:pt idx="15">
                  <c:v>BASE</c:v>
                </c:pt>
              </c:strCache>
            </c:strRef>
          </c:cat>
          <c:val>
            <c:numRef>
              <c:f>'02'!$AE$6:$AE$22</c:f>
              <c:numCache>
                <c:formatCode>0%</c:formatCode>
                <c:ptCount val="17"/>
                <c:pt idx="0">
                  <c:v>0.41720925379363805</c:v>
                </c:pt>
                <c:pt idx="1">
                  <c:v>0.41720925379363805</c:v>
                </c:pt>
                <c:pt idx="2">
                  <c:v>0.41720925379363805</c:v>
                </c:pt>
                <c:pt idx="3">
                  <c:v>0.41720925379363805</c:v>
                </c:pt>
                <c:pt idx="4">
                  <c:v>0.41720925379363805</c:v>
                </c:pt>
                <c:pt idx="5">
                  <c:v>0.41720925379363805</c:v>
                </c:pt>
                <c:pt idx="6">
                  <c:v>0.41720925379363805</c:v>
                </c:pt>
                <c:pt idx="7">
                  <c:v>0.41720925379363805</c:v>
                </c:pt>
                <c:pt idx="8">
                  <c:v>0.41720925379363805</c:v>
                </c:pt>
                <c:pt idx="9">
                  <c:v>0.41720925379363805</c:v>
                </c:pt>
                <c:pt idx="10">
                  <c:v>0.41720925379363805</c:v>
                </c:pt>
                <c:pt idx="11">
                  <c:v>0.41720925379363805</c:v>
                </c:pt>
                <c:pt idx="12">
                  <c:v>0.41720925379363805</c:v>
                </c:pt>
                <c:pt idx="13">
                  <c:v>0.41720925379363805</c:v>
                </c:pt>
                <c:pt idx="14">
                  <c:v>0.41720925379363805</c:v>
                </c:pt>
                <c:pt idx="15">
                  <c:v>0.41720925379363805</c:v>
                </c:pt>
                <c:pt idx="16">
                  <c:v>0.41720925379363805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B-4262-8218-F03E730F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D18-4A8F-B005-1B41F44BCF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8-4A8F-B005-1B41F44B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18-4A8F-B005-1B41F44BCFE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8-4A8F-B005-1B41F44B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2">
                  <c:v>3665</c:v>
                </c:pt>
                <c:pt idx="3">
                  <c:v>351</c:v>
                </c:pt>
                <c:pt idx="6">
                  <c:v>5495</c:v>
                </c:pt>
                <c:pt idx="7">
                  <c:v>3713</c:v>
                </c:pt>
                <c:pt idx="10">
                  <c:v>10108</c:v>
                </c:pt>
                <c:pt idx="12">
                  <c:v>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D-4452-BDFF-59242F806889}"/>
            </c:ext>
          </c:extLst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3665</c:v>
                </c:pt>
                <c:pt idx="3">
                  <c:v>351</c:v>
                </c:pt>
                <c:pt idx="4">
                  <c:v>4840</c:v>
                </c:pt>
                <c:pt idx="5">
                  <c:v>2357</c:v>
                </c:pt>
                <c:pt idx="6">
                  <c:v>5495</c:v>
                </c:pt>
                <c:pt idx="7">
                  <c:v>3713</c:v>
                </c:pt>
                <c:pt idx="8">
                  <c:v>1068</c:v>
                </c:pt>
                <c:pt idx="9">
                  <c:v>7454</c:v>
                </c:pt>
                <c:pt idx="10">
                  <c:v>10108</c:v>
                </c:pt>
                <c:pt idx="11">
                  <c:v>1846</c:v>
                </c:pt>
                <c:pt idx="12">
                  <c:v>4653</c:v>
                </c:pt>
                <c:pt idx="13">
                  <c:v>3101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D-4452-BDFF-59242F806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83%</c:v>
                </c:pt>
                <c:pt idx="3">
                  <c:v>17%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92%</c:v>
                </c:pt>
                <c:pt idx="13">
                  <c:v>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0.83333333333333337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0.91666666666666663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8-4452-B91D-1738F23BD8F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C8-4452-B91D-1738F23BD8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0.31388888888888888</c:v>
                </c:pt>
                <c:pt idx="1">
                  <c:v>0.31388888888888888</c:v>
                </c:pt>
                <c:pt idx="2">
                  <c:v>0.31388888888888888</c:v>
                </c:pt>
                <c:pt idx="3">
                  <c:v>0.31388888888888888</c:v>
                </c:pt>
                <c:pt idx="4">
                  <c:v>0.31388888888888888</c:v>
                </c:pt>
                <c:pt idx="5">
                  <c:v>0.31388888888888888</c:v>
                </c:pt>
                <c:pt idx="6">
                  <c:v>0.31388888888888888</c:v>
                </c:pt>
                <c:pt idx="7">
                  <c:v>0.31388888888888888</c:v>
                </c:pt>
                <c:pt idx="8">
                  <c:v>0.31388888888888888</c:v>
                </c:pt>
                <c:pt idx="9">
                  <c:v>0.31388888888888888</c:v>
                </c:pt>
                <c:pt idx="10">
                  <c:v>0.31388888888888888</c:v>
                </c:pt>
                <c:pt idx="11">
                  <c:v>0.31388888888888888</c:v>
                </c:pt>
                <c:pt idx="12">
                  <c:v>0.31388888888888888</c:v>
                </c:pt>
                <c:pt idx="13">
                  <c:v>0.31388888888888888</c:v>
                </c:pt>
                <c:pt idx="14">
                  <c:v>0.31388888888888888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8-4452-B91D-1738F23B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2">
                  <c:v>3665</c:v>
                </c:pt>
                <c:pt idx="3">
                  <c:v>351</c:v>
                </c:pt>
                <c:pt idx="6">
                  <c:v>5495</c:v>
                </c:pt>
                <c:pt idx="7">
                  <c:v>3713</c:v>
                </c:pt>
                <c:pt idx="10">
                  <c:v>10108</c:v>
                </c:pt>
                <c:pt idx="12">
                  <c:v>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6-4C45-A147-48111C500053}"/>
            </c:ext>
          </c:extLst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3665</c:v>
                </c:pt>
                <c:pt idx="3">
                  <c:v>351</c:v>
                </c:pt>
                <c:pt idx="4">
                  <c:v>4840</c:v>
                </c:pt>
                <c:pt idx="5">
                  <c:v>2357</c:v>
                </c:pt>
                <c:pt idx="6">
                  <c:v>5495</c:v>
                </c:pt>
                <c:pt idx="7">
                  <c:v>3713</c:v>
                </c:pt>
                <c:pt idx="8">
                  <c:v>1068</c:v>
                </c:pt>
                <c:pt idx="9">
                  <c:v>7454</c:v>
                </c:pt>
                <c:pt idx="10">
                  <c:v>10108</c:v>
                </c:pt>
                <c:pt idx="11">
                  <c:v>1846</c:v>
                </c:pt>
                <c:pt idx="12">
                  <c:v>4653</c:v>
                </c:pt>
                <c:pt idx="13">
                  <c:v>3101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6-4C45-A147-48111C500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83%</c:v>
                </c:pt>
                <c:pt idx="3">
                  <c:v>17%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92%</c:v>
                </c:pt>
                <c:pt idx="13">
                  <c:v>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0.83333333333333337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0.91666666666666663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5-43D2-91FA-C4AA29762FF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A5-43D2-91FA-C4AA29762F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LEAD GUIDE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0.31388888888888888</c:v>
                </c:pt>
                <c:pt idx="1">
                  <c:v>0.31388888888888888</c:v>
                </c:pt>
                <c:pt idx="2">
                  <c:v>0.31388888888888888</c:v>
                </c:pt>
                <c:pt idx="3">
                  <c:v>0.31388888888888888</c:v>
                </c:pt>
                <c:pt idx="4">
                  <c:v>0.31388888888888888</c:v>
                </c:pt>
                <c:pt idx="5">
                  <c:v>0.31388888888888888</c:v>
                </c:pt>
                <c:pt idx="6">
                  <c:v>0.31388888888888888</c:v>
                </c:pt>
                <c:pt idx="7">
                  <c:v>0.31388888888888888</c:v>
                </c:pt>
                <c:pt idx="8">
                  <c:v>0.31388888888888888</c:v>
                </c:pt>
                <c:pt idx="9">
                  <c:v>0.31388888888888888</c:v>
                </c:pt>
                <c:pt idx="10">
                  <c:v>0.31388888888888888</c:v>
                </c:pt>
                <c:pt idx="11">
                  <c:v>0.31388888888888888</c:v>
                </c:pt>
                <c:pt idx="12">
                  <c:v>0.31388888888888888</c:v>
                </c:pt>
                <c:pt idx="13">
                  <c:v>0.31388888888888888</c:v>
                </c:pt>
                <c:pt idx="14">
                  <c:v>0.31388888888888888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5-43D2-91FA-C4AA2976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9AC-4061-B1B1-D9B561253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061-B1B1-D9B56125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AC-4061-B1B1-D9B5612538C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C-4061-B1B1-D9B56125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'05'!$D$6:$D$21</c:f>
              <c:strCache>
                <c:ptCount val="15"/>
                <c:pt idx="2">
                  <c:v>LEAD GUIDE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F/ADAPTER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'05'!$L$6:$L$21</c:f>
              <c:numCache>
                <c:formatCode>_(* #,##0_);_(* \(#,##0\);_(* "-"_);_(@_)</c:formatCode>
                <c:ptCount val="16"/>
                <c:pt idx="2">
                  <c:v>2500</c:v>
                </c:pt>
                <c:pt idx="3">
                  <c:v>6460</c:v>
                </c:pt>
                <c:pt idx="6">
                  <c:v>397</c:v>
                </c:pt>
                <c:pt idx="7">
                  <c:v>5165</c:v>
                </c:pt>
                <c:pt idx="10">
                  <c:v>5112</c:v>
                </c:pt>
                <c:pt idx="11">
                  <c:v>3035</c:v>
                </c:pt>
                <c:pt idx="13">
                  <c:v>5470</c:v>
                </c:pt>
                <c:pt idx="14">
                  <c:v>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F-4E43-90D5-05DFAC42BD4B}"/>
            </c:ext>
          </c:extLst>
        </c:ser>
        <c:ser>
          <c:idx val="1"/>
          <c:order val="1"/>
          <c:tx>
            <c:v>계획</c:v>
          </c:tx>
          <c:cat>
            <c:strRef>
              <c:f>'05'!$D$6:$D$21</c:f>
              <c:strCache>
                <c:ptCount val="15"/>
                <c:pt idx="2">
                  <c:v>LEAD GUIDE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F/ADAPTER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'05'!$J$6:$J$21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2500</c:v>
                </c:pt>
                <c:pt idx="3">
                  <c:v>6460</c:v>
                </c:pt>
                <c:pt idx="4">
                  <c:v>4840</c:v>
                </c:pt>
                <c:pt idx="5">
                  <c:v>2357</c:v>
                </c:pt>
                <c:pt idx="6">
                  <c:v>397</c:v>
                </c:pt>
                <c:pt idx="7">
                  <c:v>5165</c:v>
                </c:pt>
                <c:pt idx="8">
                  <c:v>1068</c:v>
                </c:pt>
                <c:pt idx="9">
                  <c:v>7454</c:v>
                </c:pt>
                <c:pt idx="10">
                  <c:v>5112</c:v>
                </c:pt>
                <c:pt idx="11">
                  <c:v>3035</c:v>
                </c:pt>
                <c:pt idx="12">
                  <c:v>1846</c:v>
                </c:pt>
                <c:pt idx="13">
                  <c:v>5470</c:v>
                </c:pt>
                <c:pt idx="14">
                  <c:v>3792</c:v>
                </c:pt>
                <c:pt idx="15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F-4E43-90D5-05DFAC42B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46%</c:v>
                </c:pt>
                <c:pt idx="3">
                  <c:v>63%</c:v>
                </c:pt>
                <c:pt idx="4">
                  <c:v>0%</c:v>
                </c:pt>
                <c:pt idx="5">
                  <c:v>0%</c:v>
                </c:pt>
                <c:pt idx="6">
                  <c:v>17%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33%</c:v>
                </c:pt>
                <c:pt idx="11">
                  <c:v>58%</c:v>
                </c:pt>
                <c:pt idx="12">
                  <c:v>0%</c:v>
                </c:pt>
                <c:pt idx="13">
                  <c:v>100%</c:v>
                </c:pt>
                <c:pt idx="14">
                  <c:v>79%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2">
                  <c:v>LEAD GUIDE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F/ADAPTER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0.625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0.58333333333333337</c:v>
                </c:pt>
                <c:pt idx="12">
                  <c:v>0</c:v>
                </c:pt>
                <c:pt idx="13">
                  <c:v>1</c:v>
                </c:pt>
                <c:pt idx="14">
                  <c:v>0.79166666666666663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6-48E8-85E3-0865D401AAF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86-48E8-85E3-0865D401AA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2">
                  <c:v>LEAD GUIDE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F/ADAPTER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'05'!$AE$6:$AE$21</c:f>
              <c:numCache>
                <c:formatCode>0%</c:formatCode>
                <c:ptCount val="16"/>
                <c:pt idx="0">
                  <c:v>0.3305555555555556</c:v>
                </c:pt>
                <c:pt idx="1">
                  <c:v>0.3305555555555556</c:v>
                </c:pt>
                <c:pt idx="2">
                  <c:v>0.3305555555555556</c:v>
                </c:pt>
                <c:pt idx="3">
                  <c:v>0.3305555555555556</c:v>
                </c:pt>
                <c:pt idx="4">
                  <c:v>0.3305555555555556</c:v>
                </c:pt>
                <c:pt idx="5">
                  <c:v>0.3305555555555556</c:v>
                </c:pt>
                <c:pt idx="6">
                  <c:v>0.3305555555555556</c:v>
                </c:pt>
                <c:pt idx="7">
                  <c:v>0.3305555555555556</c:v>
                </c:pt>
                <c:pt idx="8">
                  <c:v>0.3305555555555556</c:v>
                </c:pt>
                <c:pt idx="9">
                  <c:v>0.3305555555555556</c:v>
                </c:pt>
                <c:pt idx="10">
                  <c:v>0.3305555555555556</c:v>
                </c:pt>
                <c:pt idx="11">
                  <c:v>0.3305555555555556</c:v>
                </c:pt>
                <c:pt idx="12">
                  <c:v>0.3305555555555556</c:v>
                </c:pt>
                <c:pt idx="13">
                  <c:v>0.3305555555555556</c:v>
                </c:pt>
                <c:pt idx="14">
                  <c:v>0.3305555555555556</c:v>
                </c:pt>
                <c:pt idx="15">
                  <c:v>0.3305555555555556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6-48E8-85E3-0865D401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10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0.37903225806451618</c:v>
                </c:pt>
                <c:pt idx="3">
                  <c:v>0.38437578734929401</c:v>
                </c:pt>
                <c:pt idx="4">
                  <c:v>0.21369623655913977</c:v>
                </c:pt>
                <c:pt idx="5">
                  <c:v>6.0483870967741937E-2</c:v>
                </c:pt>
                <c:pt idx="6">
                  <c:v>0.37228938756428237</c:v>
                </c:pt>
                <c:pt idx="7">
                  <c:v>0.31586021505376344</c:v>
                </c:pt>
                <c:pt idx="8">
                  <c:v>6.0483870967741937E-2</c:v>
                </c:pt>
                <c:pt idx="9">
                  <c:v>3.7896950760362487E-2</c:v>
                </c:pt>
                <c:pt idx="10">
                  <c:v>0.24992179863147601</c:v>
                </c:pt>
                <c:pt idx="11">
                  <c:v>3.3602150537634407E-2</c:v>
                </c:pt>
                <c:pt idx="12">
                  <c:v>0.44218906104478867</c:v>
                </c:pt>
                <c:pt idx="13">
                  <c:v>0.35886472249375478</c:v>
                </c:pt>
                <c:pt idx="14">
                  <c:v>4.4354838709677422E-2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'05'!$D$6:$D$21</c:f>
              <c:strCache>
                <c:ptCount val="15"/>
                <c:pt idx="2">
                  <c:v>LEAD GUIDE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F/ADAPTER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'05'!$L$6:$L$21</c:f>
              <c:numCache>
                <c:formatCode>_(* #,##0_);_(* \(#,##0\);_(* "-"_);_(@_)</c:formatCode>
                <c:ptCount val="16"/>
                <c:pt idx="2">
                  <c:v>2500</c:v>
                </c:pt>
                <c:pt idx="3">
                  <c:v>6460</c:v>
                </c:pt>
                <c:pt idx="6">
                  <c:v>397</c:v>
                </c:pt>
                <c:pt idx="7">
                  <c:v>5165</c:v>
                </c:pt>
                <c:pt idx="10">
                  <c:v>5112</c:v>
                </c:pt>
                <c:pt idx="11">
                  <c:v>3035</c:v>
                </c:pt>
                <c:pt idx="13">
                  <c:v>5470</c:v>
                </c:pt>
                <c:pt idx="14">
                  <c:v>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C-4953-8865-A74554895F59}"/>
            </c:ext>
          </c:extLst>
        </c:ser>
        <c:ser>
          <c:idx val="1"/>
          <c:order val="1"/>
          <c:tx>
            <c:v>계획</c:v>
          </c:tx>
          <c:cat>
            <c:strRef>
              <c:f>'05'!$D$6:$D$21</c:f>
              <c:strCache>
                <c:ptCount val="15"/>
                <c:pt idx="2">
                  <c:v>LEAD GUIDE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F/ADAPTER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'05'!$J$6:$J$21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2500</c:v>
                </c:pt>
                <c:pt idx="3">
                  <c:v>6460</c:v>
                </c:pt>
                <c:pt idx="4">
                  <c:v>4840</c:v>
                </c:pt>
                <c:pt idx="5">
                  <c:v>2357</c:v>
                </c:pt>
                <c:pt idx="6">
                  <c:v>397</c:v>
                </c:pt>
                <c:pt idx="7">
                  <c:v>5165</c:v>
                </c:pt>
                <c:pt idx="8">
                  <c:v>1068</c:v>
                </c:pt>
                <c:pt idx="9">
                  <c:v>7454</c:v>
                </c:pt>
                <c:pt idx="10">
                  <c:v>5112</c:v>
                </c:pt>
                <c:pt idx="11">
                  <c:v>3035</c:v>
                </c:pt>
                <c:pt idx="12">
                  <c:v>1846</c:v>
                </c:pt>
                <c:pt idx="13">
                  <c:v>5470</c:v>
                </c:pt>
                <c:pt idx="14">
                  <c:v>3792</c:v>
                </c:pt>
                <c:pt idx="15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953-8865-A7455489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46%</c:v>
                </c:pt>
                <c:pt idx="3">
                  <c:v>63%</c:v>
                </c:pt>
                <c:pt idx="4">
                  <c:v>0%</c:v>
                </c:pt>
                <c:pt idx="5">
                  <c:v>0%</c:v>
                </c:pt>
                <c:pt idx="6">
                  <c:v>17%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33%</c:v>
                </c:pt>
                <c:pt idx="11">
                  <c:v>58%</c:v>
                </c:pt>
                <c:pt idx="12">
                  <c:v>0%</c:v>
                </c:pt>
                <c:pt idx="13">
                  <c:v>100%</c:v>
                </c:pt>
                <c:pt idx="14">
                  <c:v>79%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2">
                  <c:v>LEAD GUIDE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F/ADAPTER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0.625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0.58333333333333337</c:v>
                </c:pt>
                <c:pt idx="12">
                  <c:v>0</c:v>
                </c:pt>
                <c:pt idx="13">
                  <c:v>1</c:v>
                </c:pt>
                <c:pt idx="14">
                  <c:v>0.79166666666666663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1-4BFF-B892-F5F04850C00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01-4BFF-B892-F5F04850C0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2">
                  <c:v>LEAD GUIDE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F/ADAPTER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'05'!$AE$6:$AE$21</c:f>
              <c:numCache>
                <c:formatCode>0%</c:formatCode>
                <c:ptCount val="16"/>
                <c:pt idx="0">
                  <c:v>0.3305555555555556</c:v>
                </c:pt>
                <c:pt idx="1">
                  <c:v>0.3305555555555556</c:v>
                </c:pt>
                <c:pt idx="2">
                  <c:v>0.3305555555555556</c:v>
                </c:pt>
                <c:pt idx="3">
                  <c:v>0.3305555555555556</c:v>
                </c:pt>
                <c:pt idx="4">
                  <c:v>0.3305555555555556</c:v>
                </c:pt>
                <c:pt idx="5">
                  <c:v>0.3305555555555556</c:v>
                </c:pt>
                <c:pt idx="6">
                  <c:v>0.3305555555555556</c:v>
                </c:pt>
                <c:pt idx="7">
                  <c:v>0.3305555555555556</c:v>
                </c:pt>
                <c:pt idx="8">
                  <c:v>0.3305555555555556</c:v>
                </c:pt>
                <c:pt idx="9">
                  <c:v>0.3305555555555556</c:v>
                </c:pt>
                <c:pt idx="10">
                  <c:v>0.3305555555555556</c:v>
                </c:pt>
                <c:pt idx="11">
                  <c:v>0.3305555555555556</c:v>
                </c:pt>
                <c:pt idx="12">
                  <c:v>0.3305555555555556</c:v>
                </c:pt>
                <c:pt idx="13">
                  <c:v>0.3305555555555556</c:v>
                </c:pt>
                <c:pt idx="14">
                  <c:v>0.3305555555555556</c:v>
                </c:pt>
                <c:pt idx="15">
                  <c:v>0.3305555555555556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1-4BFF-B892-F5F04850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093-4FB7-9B55-564E56A62D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3-4FB7-9B55-564E56A6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93-4FB7-9B55-564E56A62D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3-4FB7-9B55-564E56A6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'08'!$D$6:$D$21</c:f>
              <c:strCache>
                <c:ptCount val="15"/>
                <c:pt idx="2">
                  <c:v>LEAD GUIDE</c:v>
                </c:pt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1">
                  <c:v>F/ADAPTER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'08'!$L$6:$L$21</c:f>
              <c:numCache>
                <c:formatCode>_(* #,##0_);_(* \(#,##0\);_(* "-"_);_(@_)</c:formatCode>
                <c:ptCount val="16"/>
                <c:pt idx="2">
                  <c:v>3483</c:v>
                </c:pt>
                <c:pt idx="3">
                  <c:v>4218</c:v>
                </c:pt>
                <c:pt idx="4">
                  <c:v>1577</c:v>
                </c:pt>
                <c:pt idx="6">
                  <c:v>1187</c:v>
                </c:pt>
                <c:pt idx="7">
                  <c:v>4719</c:v>
                </c:pt>
                <c:pt idx="10">
                  <c:v>8658</c:v>
                </c:pt>
                <c:pt idx="12">
                  <c:v>2009</c:v>
                </c:pt>
                <c:pt idx="13">
                  <c:v>3410</c:v>
                </c:pt>
                <c:pt idx="14">
                  <c:v>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2-4A34-AB2C-6225DB77C587}"/>
            </c:ext>
          </c:extLst>
        </c:ser>
        <c:ser>
          <c:idx val="1"/>
          <c:order val="1"/>
          <c:tx>
            <c:v>계획</c:v>
          </c:tx>
          <c:cat>
            <c:strRef>
              <c:f>'08'!$D$6:$D$21</c:f>
              <c:strCache>
                <c:ptCount val="15"/>
                <c:pt idx="2">
                  <c:v>LEAD GUIDE</c:v>
                </c:pt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1">
                  <c:v>F/ADAPTER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'08'!$J$6:$J$21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3483</c:v>
                </c:pt>
                <c:pt idx="3">
                  <c:v>4218</c:v>
                </c:pt>
                <c:pt idx="4">
                  <c:v>1577</c:v>
                </c:pt>
                <c:pt idx="5">
                  <c:v>2357</c:v>
                </c:pt>
                <c:pt idx="6">
                  <c:v>1187</c:v>
                </c:pt>
                <c:pt idx="7">
                  <c:v>4719</c:v>
                </c:pt>
                <c:pt idx="8">
                  <c:v>1068</c:v>
                </c:pt>
                <c:pt idx="9">
                  <c:v>7454</c:v>
                </c:pt>
                <c:pt idx="10">
                  <c:v>8658</c:v>
                </c:pt>
                <c:pt idx="11">
                  <c:v>1846</c:v>
                </c:pt>
                <c:pt idx="12">
                  <c:v>2009</c:v>
                </c:pt>
                <c:pt idx="13">
                  <c:v>3410</c:v>
                </c:pt>
                <c:pt idx="14">
                  <c:v>4566</c:v>
                </c:pt>
                <c:pt idx="15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2-4A34-AB2C-6225DB77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63%</c:v>
                </c:pt>
                <c:pt idx="3">
                  <c:v>100%</c:v>
                </c:pt>
                <c:pt idx="4">
                  <c:v>46%</c:v>
                </c:pt>
                <c:pt idx="5">
                  <c:v>0%</c:v>
                </c:pt>
                <c:pt idx="6">
                  <c:v>29%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71%</c:v>
                </c:pt>
                <c:pt idx="11">
                  <c:v>0%</c:v>
                </c:pt>
                <c:pt idx="12">
                  <c:v>38%</c:v>
                </c:pt>
                <c:pt idx="13">
                  <c:v>58%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'08'!$D$6:$D$21</c:f>
              <c:strCache>
                <c:ptCount val="15"/>
                <c:pt idx="2">
                  <c:v>LEAD GUIDE</c:v>
                </c:pt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1">
                  <c:v>F/ADAPTER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'08'!$AD$6:$AD$21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1</c:v>
                </c:pt>
                <c:pt idx="4">
                  <c:v>0.45833333333333331</c:v>
                </c:pt>
                <c:pt idx="5">
                  <c:v>0</c:v>
                </c:pt>
                <c:pt idx="6">
                  <c:v>0.29166666666666669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0.70833333333333337</c:v>
                </c:pt>
                <c:pt idx="11">
                  <c:v>0</c:v>
                </c:pt>
                <c:pt idx="12">
                  <c:v>0.375</c:v>
                </c:pt>
                <c:pt idx="13">
                  <c:v>0.58333333333333337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D-42E9-8B8F-6D092B0AE88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DD-42E9-8B8F-6D092B0AE8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'08'!$D$6:$D$21</c:f>
              <c:strCache>
                <c:ptCount val="15"/>
                <c:pt idx="2">
                  <c:v>LEAD GUIDE</c:v>
                </c:pt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1">
                  <c:v>F/ADAPTER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'08'!$AE$6:$AE$21</c:f>
              <c:numCache>
                <c:formatCode>0%</c:formatCode>
                <c:ptCount val="16"/>
                <c:pt idx="0">
                  <c:v>0.40277777777777773</c:v>
                </c:pt>
                <c:pt idx="1">
                  <c:v>0.40277777777777773</c:v>
                </c:pt>
                <c:pt idx="2">
                  <c:v>0.40277777777777773</c:v>
                </c:pt>
                <c:pt idx="3">
                  <c:v>0.40277777777777773</c:v>
                </c:pt>
                <c:pt idx="4">
                  <c:v>0.40277777777777773</c:v>
                </c:pt>
                <c:pt idx="5">
                  <c:v>0.40277777777777773</c:v>
                </c:pt>
                <c:pt idx="6">
                  <c:v>0.40277777777777773</c:v>
                </c:pt>
                <c:pt idx="7">
                  <c:v>0.40277777777777773</c:v>
                </c:pt>
                <c:pt idx="8">
                  <c:v>0.40277777777777773</c:v>
                </c:pt>
                <c:pt idx="9">
                  <c:v>0.40277777777777773</c:v>
                </c:pt>
                <c:pt idx="10">
                  <c:v>0.40277777777777773</c:v>
                </c:pt>
                <c:pt idx="11">
                  <c:v>0.40277777777777773</c:v>
                </c:pt>
                <c:pt idx="12">
                  <c:v>0.40277777777777773</c:v>
                </c:pt>
                <c:pt idx="13">
                  <c:v>0.40277777777777773</c:v>
                </c:pt>
                <c:pt idx="14">
                  <c:v>0.40277777777777773</c:v>
                </c:pt>
                <c:pt idx="15">
                  <c:v>0.40277777777777773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D-42E9-8B8F-6D092B0A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'08'!$D$6:$D$21</c:f>
              <c:strCache>
                <c:ptCount val="15"/>
                <c:pt idx="2">
                  <c:v>LEAD GUIDE</c:v>
                </c:pt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1">
                  <c:v>F/ADAPTER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'08'!$L$6:$L$21</c:f>
              <c:numCache>
                <c:formatCode>_(* #,##0_);_(* \(#,##0\);_(* "-"_);_(@_)</c:formatCode>
                <c:ptCount val="16"/>
                <c:pt idx="2">
                  <c:v>3483</c:v>
                </c:pt>
                <c:pt idx="3">
                  <c:v>4218</c:v>
                </c:pt>
                <c:pt idx="4">
                  <c:v>1577</c:v>
                </c:pt>
                <c:pt idx="6">
                  <c:v>1187</c:v>
                </c:pt>
                <c:pt idx="7">
                  <c:v>4719</c:v>
                </c:pt>
                <c:pt idx="10">
                  <c:v>8658</c:v>
                </c:pt>
                <c:pt idx="12">
                  <c:v>2009</c:v>
                </c:pt>
                <c:pt idx="13">
                  <c:v>3410</c:v>
                </c:pt>
                <c:pt idx="14">
                  <c:v>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4-4FAB-9A9E-0DDDFD089FB9}"/>
            </c:ext>
          </c:extLst>
        </c:ser>
        <c:ser>
          <c:idx val="1"/>
          <c:order val="1"/>
          <c:tx>
            <c:v>계획</c:v>
          </c:tx>
          <c:cat>
            <c:strRef>
              <c:f>'08'!$D$6:$D$21</c:f>
              <c:strCache>
                <c:ptCount val="15"/>
                <c:pt idx="2">
                  <c:v>LEAD GUIDE</c:v>
                </c:pt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1">
                  <c:v>F/ADAPTER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'08'!$J$6:$J$21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3483</c:v>
                </c:pt>
                <c:pt idx="3">
                  <c:v>4218</c:v>
                </c:pt>
                <c:pt idx="4">
                  <c:v>1577</c:v>
                </c:pt>
                <c:pt idx="5">
                  <c:v>2357</c:v>
                </c:pt>
                <c:pt idx="6">
                  <c:v>1187</c:v>
                </c:pt>
                <c:pt idx="7">
                  <c:v>4719</c:v>
                </c:pt>
                <c:pt idx="8">
                  <c:v>1068</c:v>
                </c:pt>
                <c:pt idx="9">
                  <c:v>7454</c:v>
                </c:pt>
                <c:pt idx="10">
                  <c:v>8658</c:v>
                </c:pt>
                <c:pt idx="11">
                  <c:v>1846</c:v>
                </c:pt>
                <c:pt idx="12">
                  <c:v>2009</c:v>
                </c:pt>
                <c:pt idx="13">
                  <c:v>3410</c:v>
                </c:pt>
                <c:pt idx="14">
                  <c:v>4566</c:v>
                </c:pt>
                <c:pt idx="15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4-4FAB-9A9E-0DDDFD08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63%</c:v>
                </c:pt>
                <c:pt idx="3">
                  <c:v>100%</c:v>
                </c:pt>
                <c:pt idx="4">
                  <c:v>46%</c:v>
                </c:pt>
                <c:pt idx="5">
                  <c:v>0%</c:v>
                </c:pt>
                <c:pt idx="6">
                  <c:v>29%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71%</c:v>
                </c:pt>
                <c:pt idx="11">
                  <c:v>0%</c:v>
                </c:pt>
                <c:pt idx="12">
                  <c:v>38%</c:v>
                </c:pt>
                <c:pt idx="13">
                  <c:v>58%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'08'!$D$6:$D$21</c:f>
              <c:strCache>
                <c:ptCount val="15"/>
                <c:pt idx="2">
                  <c:v>LEAD GUIDE</c:v>
                </c:pt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1">
                  <c:v>F/ADAPTER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'08'!$AD$6:$AD$21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1</c:v>
                </c:pt>
                <c:pt idx="4">
                  <c:v>0.45833333333333331</c:v>
                </c:pt>
                <c:pt idx="5">
                  <c:v>0</c:v>
                </c:pt>
                <c:pt idx="6">
                  <c:v>0.29166666666666669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0.70833333333333337</c:v>
                </c:pt>
                <c:pt idx="11">
                  <c:v>0</c:v>
                </c:pt>
                <c:pt idx="12">
                  <c:v>0.375</c:v>
                </c:pt>
                <c:pt idx="13">
                  <c:v>0.58333333333333337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7-434B-B07E-8681FB12BEA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07-434B-B07E-8681FB12BE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'08'!$D$6:$D$21</c:f>
              <c:strCache>
                <c:ptCount val="15"/>
                <c:pt idx="2">
                  <c:v>LEAD GUIDE</c:v>
                </c:pt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1">
                  <c:v>F/ADAPTER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'08'!$AE$6:$AE$21</c:f>
              <c:numCache>
                <c:formatCode>0%</c:formatCode>
                <c:ptCount val="16"/>
                <c:pt idx="0">
                  <c:v>0.40277777777777773</c:v>
                </c:pt>
                <c:pt idx="1">
                  <c:v>0.40277777777777773</c:v>
                </c:pt>
                <c:pt idx="2">
                  <c:v>0.40277777777777773</c:v>
                </c:pt>
                <c:pt idx="3">
                  <c:v>0.40277777777777773</c:v>
                </c:pt>
                <c:pt idx="4">
                  <c:v>0.40277777777777773</c:v>
                </c:pt>
                <c:pt idx="5">
                  <c:v>0.40277777777777773</c:v>
                </c:pt>
                <c:pt idx="6">
                  <c:v>0.40277777777777773</c:v>
                </c:pt>
                <c:pt idx="7">
                  <c:v>0.40277777777777773</c:v>
                </c:pt>
                <c:pt idx="8">
                  <c:v>0.40277777777777773</c:v>
                </c:pt>
                <c:pt idx="9">
                  <c:v>0.40277777777777773</c:v>
                </c:pt>
                <c:pt idx="10">
                  <c:v>0.40277777777777773</c:v>
                </c:pt>
                <c:pt idx="11">
                  <c:v>0.40277777777777773</c:v>
                </c:pt>
                <c:pt idx="12">
                  <c:v>0.40277777777777773</c:v>
                </c:pt>
                <c:pt idx="13">
                  <c:v>0.40277777777777773</c:v>
                </c:pt>
                <c:pt idx="14">
                  <c:v>0.40277777777777773</c:v>
                </c:pt>
                <c:pt idx="15">
                  <c:v>0.40277777777777773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7-434B-B07E-8681FB12B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F55-44C8-8ACA-BB074807B2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5-44C8-8ACA-BB074807B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55-44C8-8ACA-BB074807B23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5-44C8-8ACA-BB074807B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HINGE</c:v>
                </c:pt>
              </c:strCache>
            </c:strRef>
          </c:cat>
          <c:val>
            <c:numRef>
              <c:f>'10'!$L$6:$L$20</c:f>
              <c:numCache>
                <c:formatCode>_(* #,##0_);_(* \(#,##0\);_(* "-"_);_(@_)</c:formatCode>
                <c:ptCount val="15"/>
                <c:pt idx="2">
                  <c:v>2000</c:v>
                </c:pt>
                <c:pt idx="3">
                  <c:v>4082</c:v>
                </c:pt>
                <c:pt idx="6">
                  <c:v>3410</c:v>
                </c:pt>
                <c:pt idx="7">
                  <c:v>4582</c:v>
                </c:pt>
                <c:pt idx="12">
                  <c:v>6562</c:v>
                </c:pt>
                <c:pt idx="13">
                  <c:v>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F-451F-894A-82F41B0793FC}"/>
            </c:ext>
          </c:extLst>
        </c:ser>
        <c:ser>
          <c:idx val="1"/>
          <c:order val="1"/>
          <c:tx>
            <c:v>계획</c:v>
          </c:tx>
          <c:cat>
            <c:strRef>
              <c:f>'10'!$D$6:$D$20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HINGE</c:v>
                </c:pt>
              </c:strCache>
            </c:strRef>
          </c:cat>
          <c:val>
            <c:numRef>
              <c:f>'10'!$J$6:$J$20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4082</c:v>
                </c:pt>
                <c:pt idx="4">
                  <c:v>1577</c:v>
                </c:pt>
                <c:pt idx="5">
                  <c:v>2357</c:v>
                </c:pt>
                <c:pt idx="6">
                  <c:v>3410</c:v>
                </c:pt>
                <c:pt idx="7">
                  <c:v>4582</c:v>
                </c:pt>
                <c:pt idx="8">
                  <c:v>1068</c:v>
                </c:pt>
                <c:pt idx="9">
                  <c:v>7454</c:v>
                </c:pt>
                <c:pt idx="12">
                  <c:v>6562</c:v>
                </c:pt>
                <c:pt idx="13">
                  <c:v>1828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F-451F-894A-82F41B07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88%</c:v>
                </c:pt>
                <c:pt idx="4">
                  <c:v>0%</c:v>
                </c:pt>
                <c:pt idx="5">
                  <c:v>0%</c:v>
                </c:pt>
                <c:pt idx="6">
                  <c:v>79%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50%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HINGE</c:v>
                </c:pt>
              </c:strCache>
            </c:strRef>
          </c:cat>
          <c:val>
            <c:numRef>
              <c:f>'10'!$AD$6:$AD$20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0.875</c:v>
                </c:pt>
                <c:pt idx="4">
                  <c:v>0</c:v>
                </c:pt>
                <c:pt idx="5">
                  <c:v>0</c:v>
                </c:pt>
                <c:pt idx="6">
                  <c:v>0.79166666666666663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4-4613-A431-89F51C7D1BA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64-4613-A431-89F51C7D1B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HINGE</c:v>
                </c:pt>
              </c:strCache>
            </c:strRef>
          </c:cat>
          <c:val>
            <c:numRef>
              <c:f>'10'!$AE$6:$AE$20</c:f>
              <c:numCache>
                <c:formatCode>0%</c:formatCode>
                <c:ptCount val="15"/>
                <c:pt idx="0">
                  <c:v>0.30555555555555558</c:v>
                </c:pt>
                <c:pt idx="1">
                  <c:v>0.30555555555555558</c:v>
                </c:pt>
                <c:pt idx="2">
                  <c:v>0.30555555555555558</c:v>
                </c:pt>
                <c:pt idx="3">
                  <c:v>0.30555555555555558</c:v>
                </c:pt>
                <c:pt idx="4">
                  <c:v>0.30555555555555558</c:v>
                </c:pt>
                <c:pt idx="5">
                  <c:v>0.30555555555555558</c:v>
                </c:pt>
                <c:pt idx="6">
                  <c:v>0.30555555555555558</c:v>
                </c:pt>
                <c:pt idx="7">
                  <c:v>0.30555555555555558</c:v>
                </c:pt>
                <c:pt idx="8">
                  <c:v>0.30555555555555558</c:v>
                </c:pt>
                <c:pt idx="9">
                  <c:v>0.30555555555555558</c:v>
                </c:pt>
                <c:pt idx="10">
                  <c:v>0.30555555555555558</c:v>
                </c:pt>
                <c:pt idx="11">
                  <c:v>0.30555555555555558</c:v>
                </c:pt>
                <c:pt idx="12">
                  <c:v>0.30555555555555558</c:v>
                </c:pt>
                <c:pt idx="13">
                  <c:v>0.30555555555555558</c:v>
                </c:pt>
                <c:pt idx="14">
                  <c:v>0.30555555555555558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4-4613-A431-89F51C7D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'01'!$D$6:$D$21</c:f>
              <c:strCache>
                <c:ptCount val="15"/>
                <c:pt idx="2">
                  <c:v>LATCH</c:v>
                </c:pt>
                <c:pt idx="3">
                  <c:v>GUIDE</c:v>
                </c:pt>
                <c:pt idx="4">
                  <c:v>LATCH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</c:v>
                </c:pt>
              </c:strCache>
            </c:strRef>
          </c:cat>
          <c:val>
            <c:numRef>
              <c:f>'01'!$L$6:$L$21</c:f>
              <c:numCache>
                <c:formatCode>_(* #,##0_);_(* \(#,##0\);_(* "-"_);_(@_)</c:formatCode>
                <c:ptCount val="16"/>
                <c:pt idx="2">
                  <c:v>11580</c:v>
                </c:pt>
                <c:pt idx="3">
                  <c:v>784</c:v>
                </c:pt>
                <c:pt idx="4">
                  <c:v>1160</c:v>
                </c:pt>
                <c:pt idx="7">
                  <c:v>3453</c:v>
                </c:pt>
                <c:pt idx="8">
                  <c:v>1550</c:v>
                </c:pt>
                <c:pt idx="11">
                  <c:v>5463</c:v>
                </c:pt>
                <c:pt idx="12">
                  <c:v>1846</c:v>
                </c:pt>
                <c:pt idx="13">
                  <c:v>5097</c:v>
                </c:pt>
                <c:pt idx="14">
                  <c:v>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8-46AF-A90D-E4812B8E16E2}"/>
            </c:ext>
          </c:extLst>
        </c:ser>
        <c:ser>
          <c:idx val="1"/>
          <c:order val="1"/>
          <c:tx>
            <c:v>계획</c:v>
          </c:tx>
          <c:cat>
            <c:strRef>
              <c:f>'01'!$D$6:$D$21</c:f>
              <c:strCache>
                <c:ptCount val="15"/>
                <c:pt idx="2">
                  <c:v>LATCH</c:v>
                </c:pt>
                <c:pt idx="3">
                  <c:v>GUIDE</c:v>
                </c:pt>
                <c:pt idx="4">
                  <c:v>LATCH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</c:v>
                </c:pt>
              </c:strCache>
            </c:strRef>
          </c:cat>
          <c:val>
            <c:numRef>
              <c:f>'01'!$J$6:$J$21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11580</c:v>
                </c:pt>
                <c:pt idx="3">
                  <c:v>784</c:v>
                </c:pt>
                <c:pt idx="4">
                  <c:v>1160</c:v>
                </c:pt>
                <c:pt idx="5">
                  <c:v>17546</c:v>
                </c:pt>
                <c:pt idx="6">
                  <c:v>2357</c:v>
                </c:pt>
                <c:pt idx="7">
                  <c:v>3453</c:v>
                </c:pt>
                <c:pt idx="8">
                  <c:v>1550</c:v>
                </c:pt>
                <c:pt idx="9">
                  <c:v>1068</c:v>
                </c:pt>
                <c:pt idx="10">
                  <c:v>305</c:v>
                </c:pt>
                <c:pt idx="11">
                  <c:v>5463</c:v>
                </c:pt>
                <c:pt idx="12">
                  <c:v>1846</c:v>
                </c:pt>
                <c:pt idx="13">
                  <c:v>5097</c:v>
                </c:pt>
                <c:pt idx="14">
                  <c:v>3101</c:v>
                </c:pt>
                <c:pt idx="15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8-46AF-A90D-E4812B8E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HINGE</c:v>
                </c:pt>
              </c:strCache>
            </c:strRef>
          </c:cat>
          <c:val>
            <c:numRef>
              <c:f>'10'!$L$6:$L$20</c:f>
              <c:numCache>
                <c:formatCode>_(* #,##0_);_(* \(#,##0\);_(* "-"_);_(@_)</c:formatCode>
                <c:ptCount val="15"/>
                <c:pt idx="2">
                  <c:v>2000</c:v>
                </c:pt>
                <c:pt idx="3">
                  <c:v>4082</c:v>
                </c:pt>
                <c:pt idx="6">
                  <c:v>3410</c:v>
                </c:pt>
                <c:pt idx="7">
                  <c:v>4582</c:v>
                </c:pt>
                <c:pt idx="12">
                  <c:v>6562</c:v>
                </c:pt>
                <c:pt idx="13">
                  <c:v>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C-46A4-B5D3-F68D90463BE9}"/>
            </c:ext>
          </c:extLst>
        </c:ser>
        <c:ser>
          <c:idx val="1"/>
          <c:order val="1"/>
          <c:tx>
            <c:v>계획</c:v>
          </c:tx>
          <c:cat>
            <c:strRef>
              <c:f>'10'!$D$6:$D$20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HINGE</c:v>
                </c:pt>
              </c:strCache>
            </c:strRef>
          </c:cat>
          <c:val>
            <c:numRef>
              <c:f>'10'!$J$6:$J$20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4082</c:v>
                </c:pt>
                <c:pt idx="4">
                  <c:v>1577</c:v>
                </c:pt>
                <c:pt idx="5">
                  <c:v>2357</c:v>
                </c:pt>
                <c:pt idx="6">
                  <c:v>3410</c:v>
                </c:pt>
                <c:pt idx="7">
                  <c:v>4582</c:v>
                </c:pt>
                <c:pt idx="8">
                  <c:v>1068</c:v>
                </c:pt>
                <c:pt idx="9">
                  <c:v>7454</c:v>
                </c:pt>
                <c:pt idx="12">
                  <c:v>6562</c:v>
                </c:pt>
                <c:pt idx="13">
                  <c:v>1828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C-46A4-B5D3-F68D9046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88%</c:v>
                </c:pt>
                <c:pt idx="4">
                  <c:v>0%</c:v>
                </c:pt>
                <c:pt idx="5">
                  <c:v>0%</c:v>
                </c:pt>
                <c:pt idx="6">
                  <c:v>79%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50%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HINGE</c:v>
                </c:pt>
              </c:strCache>
            </c:strRef>
          </c:cat>
          <c:val>
            <c:numRef>
              <c:f>'10'!$AD$6:$AD$20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0.875</c:v>
                </c:pt>
                <c:pt idx="4">
                  <c:v>0</c:v>
                </c:pt>
                <c:pt idx="5">
                  <c:v>0</c:v>
                </c:pt>
                <c:pt idx="6">
                  <c:v>0.79166666666666663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B-4942-946D-7377D7CACE5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4B-4942-946D-7377D7CACE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HINGE</c:v>
                </c:pt>
              </c:strCache>
            </c:strRef>
          </c:cat>
          <c:val>
            <c:numRef>
              <c:f>'10'!$AE$6:$AE$20</c:f>
              <c:numCache>
                <c:formatCode>0%</c:formatCode>
                <c:ptCount val="15"/>
                <c:pt idx="0">
                  <c:v>0.30555555555555558</c:v>
                </c:pt>
                <c:pt idx="1">
                  <c:v>0.30555555555555558</c:v>
                </c:pt>
                <c:pt idx="2">
                  <c:v>0.30555555555555558</c:v>
                </c:pt>
                <c:pt idx="3">
                  <c:v>0.30555555555555558</c:v>
                </c:pt>
                <c:pt idx="4">
                  <c:v>0.30555555555555558</c:v>
                </c:pt>
                <c:pt idx="5">
                  <c:v>0.30555555555555558</c:v>
                </c:pt>
                <c:pt idx="6">
                  <c:v>0.30555555555555558</c:v>
                </c:pt>
                <c:pt idx="7">
                  <c:v>0.30555555555555558</c:v>
                </c:pt>
                <c:pt idx="8">
                  <c:v>0.30555555555555558</c:v>
                </c:pt>
                <c:pt idx="9">
                  <c:v>0.30555555555555558</c:v>
                </c:pt>
                <c:pt idx="10">
                  <c:v>0.30555555555555558</c:v>
                </c:pt>
                <c:pt idx="11">
                  <c:v>0.30555555555555558</c:v>
                </c:pt>
                <c:pt idx="12">
                  <c:v>0.30555555555555558</c:v>
                </c:pt>
                <c:pt idx="13">
                  <c:v>0.30555555555555558</c:v>
                </c:pt>
                <c:pt idx="14">
                  <c:v>0.30555555555555558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B-4942-946D-7377D7CA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9C7-44D1-BE1B-70E347D6DA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7-44D1-BE1B-70E347D6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7-44D1-BE1B-70E347D6DA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7-44D1-BE1B-70E347D6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38P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2">
                  <c:v>1207</c:v>
                </c:pt>
                <c:pt idx="6">
                  <c:v>1354</c:v>
                </c:pt>
                <c:pt idx="7">
                  <c:v>1374</c:v>
                </c:pt>
                <c:pt idx="13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8-4A07-AE18-37017E801C25}"/>
            </c:ext>
          </c:extLst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38P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1207</c:v>
                </c:pt>
                <c:pt idx="3">
                  <c:v>4082</c:v>
                </c:pt>
                <c:pt idx="4">
                  <c:v>1577</c:v>
                </c:pt>
                <c:pt idx="5">
                  <c:v>2357</c:v>
                </c:pt>
                <c:pt idx="6">
                  <c:v>1354</c:v>
                </c:pt>
                <c:pt idx="7">
                  <c:v>1374</c:v>
                </c:pt>
                <c:pt idx="8">
                  <c:v>1068</c:v>
                </c:pt>
                <c:pt idx="9">
                  <c:v>7454</c:v>
                </c:pt>
                <c:pt idx="12">
                  <c:v>6562</c:v>
                </c:pt>
                <c:pt idx="13">
                  <c:v>1475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8-4A07-AE18-37017E80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17%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21%</c:v>
                </c:pt>
                <c:pt idx="7">
                  <c:v>21%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25%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38P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E-4958-B443-D2EBCDA4F1E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E-4958-B443-D2EBCDA4F1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38P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5.5555555555555559E-2</c:v>
                </c:pt>
                <c:pt idx="1">
                  <c:v>5.5555555555555559E-2</c:v>
                </c:pt>
                <c:pt idx="2">
                  <c:v>5.5555555555555559E-2</c:v>
                </c:pt>
                <c:pt idx="3">
                  <c:v>5.5555555555555559E-2</c:v>
                </c:pt>
                <c:pt idx="4">
                  <c:v>5.5555555555555559E-2</c:v>
                </c:pt>
                <c:pt idx="5">
                  <c:v>5.5555555555555559E-2</c:v>
                </c:pt>
                <c:pt idx="6">
                  <c:v>5.5555555555555559E-2</c:v>
                </c:pt>
                <c:pt idx="7">
                  <c:v>5.5555555555555559E-2</c:v>
                </c:pt>
                <c:pt idx="8">
                  <c:v>5.5555555555555559E-2</c:v>
                </c:pt>
                <c:pt idx="9">
                  <c:v>5.5555555555555559E-2</c:v>
                </c:pt>
                <c:pt idx="10">
                  <c:v>5.5555555555555559E-2</c:v>
                </c:pt>
                <c:pt idx="11">
                  <c:v>5.5555555555555559E-2</c:v>
                </c:pt>
                <c:pt idx="12">
                  <c:v>5.5555555555555559E-2</c:v>
                </c:pt>
                <c:pt idx="13">
                  <c:v>5.5555555555555559E-2</c:v>
                </c:pt>
                <c:pt idx="14">
                  <c:v>5.5555555555555559E-2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E-4958-B443-D2EBCDA4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38P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2">
                  <c:v>1207</c:v>
                </c:pt>
                <c:pt idx="6">
                  <c:v>1354</c:v>
                </c:pt>
                <c:pt idx="7">
                  <c:v>1374</c:v>
                </c:pt>
                <c:pt idx="13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3-4EA6-ABDE-EBE84B38E8BB}"/>
            </c:ext>
          </c:extLst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38P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1207</c:v>
                </c:pt>
                <c:pt idx="3">
                  <c:v>4082</c:v>
                </c:pt>
                <c:pt idx="4">
                  <c:v>1577</c:v>
                </c:pt>
                <c:pt idx="5">
                  <c:v>2357</c:v>
                </c:pt>
                <c:pt idx="6">
                  <c:v>1354</c:v>
                </c:pt>
                <c:pt idx="7">
                  <c:v>1374</c:v>
                </c:pt>
                <c:pt idx="8">
                  <c:v>1068</c:v>
                </c:pt>
                <c:pt idx="9">
                  <c:v>7454</c:v>
                </c:pt>
                <c:pt idx="12">
                  <c:v>6562</c:v>
                </c:pt>
                <c:pt idx="13">
                  <c:v>1475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3-4EA6-ABDE-EBE84B38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17%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21%</c:v>
                </c:pt>
                <c:pt idx="7">
                  <c:v>21%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25%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38P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C-497E-A970-6FE27527905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CC-497E-A970-6FE27527905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2">
                  <c:v>LEAD GUIDE</c:v>
                </c:pt>
                <c:pt idx="3">
                  <c:v>BASE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2">
                  <c:v>LEAD GUIDE</c:v>
                </c:pt>
                <c:pt idx="13">
                  <c:v>38P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5.5555555555555559E-2</c:v>
                </c:pt>
                <c:pt idx="1">
                  <c:v>5.5555555555555559E-2</c:v>
                </c:pt>
                <c:pt idx="2">
                  <c:v>5.5555555555555559E-2</c:v>
                </c:pt>
                <c:pt idx="3">
                  <c:v>5.5555555555555559E-2</c:v>
                </c:pt>
                <c:pt idx="4">
                  <c:v>5.5555555555555559E-2</c:v>
                </c:pt>
                <c:pt idx="5">
                  <c:v>5.5555555555555559E-2</c:v>
                </c:pt>
                <c:pt idx="6">
                  <c:v>5.5555555555555559E-2</c:v>
                </c:pt>
                <c:pt idx="7">
                  <c:v>5.5555555555555559E-2</c:v>
                </c:pt>
                <c:pt idx="8">
                  <c:v>5.5555555555555559E-2</c:v>
                </c:pt>
                <c:pt idx="9">
                  <c:v>5.5555555555555559E-2</c:v>
                </c:pt>
                <c:pt idx="10">
                  <c:v>5.5555555555555559E-2</c:v>
                </c:pt>
                <c:pt idx="11">
                  <c:v>5.5555555555555559E-2</c:v>
                </c:pt>
                <c:pt idx="12">
                  <c:v>5.5555555555555559E-2</c:v>
                </c:pt>
                <c:pt idx="13">
                  <c:v>5.5555555555555559E-2</c:v>
                </c:pt>
                <c:pt idx="14">
                  <c:v>5.5555555555555559E-2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C-497E-A970-6FE27527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F6F-4E8D-A930-226C2CFE22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F-4E8D-A930-226C2CFE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6F-4E8D-A930-226C2CFE22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F-4E8D-A930-226C2CFE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2">
                  <c:v>LEAD GUIDE</c:v>
                </c:pt>
                <c:pt idx="3">
                  <c:v>ACTUATOR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ACTUATOR</c:v>
                </c:pt>
                <c:pt idx="13">
                  <c:v>38P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2">
                  <c:v>3121</c:v>
                </c:pt>
                <c:pt idx="3">
                  <c:v>2615</c:v>
                </c:pt>
                <c:pt idx="6">
                  <c:v>4087</c:v>
                </c:pt>
                <c:pt idx="7">
                  <c:v>761</c:v>
                </c:pt>
                <c:pt idx="10">
                  <c:v>1150</c:v>
                </c:pt>
                <c:pt idx="12">
                  <c:v>1565</c:v>
                </c:pt>
                <c:pt idx="13">
                  <c:v>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B-4200-BF2C-0C18478786CF}"/>
            </c:ext>
          </c:extLst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2">
                  <c:v>LEAD GUIDE</c:v>
                </c:pt>
                <c:pt idx="3">
                  <c:v>ACTUATOR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ACTUATOR</c:v>
                </c:pt>
                <c:pt idx="13">
                  <c:v>38P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3121</c:v>
                </c:pt>
                <c:pt idx="3">
                  <c:v>2615</c:v>
                </c:pt>
                <c:pt idx="4">
                  <c:v>1577</c:v>
                </c:pt>
                <c:pt idx="5">
                  <c:v>2357</c:v>
                </c:pt>
                <c:pt idx="6">
                  <c:v>4087</c:v>
                </c:pt>
                <c:pt idx="7">
                  <c:v>761</c:v>
                </c:pt>
                <c:pt idx="8">
                  <c:v>1068</c:v>
                </c:pt>
                <c:pt idx="9">
                  <c:v>7454</c:v>
                </c:pt>
                <c:pt idx="10">
                  <c:v>1150</c:v>
                </c:pt>
                <c:pt idx="12">
                  <c:v>1565</c:v>
                </c:pt>
                <c:pt idx="13">
                  <c:v>3726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B-4200-BF2C-0C184787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71%</c:v>
                </c:pt>
                <c:pt idx="3">
                  <c:v>63%</c:v>
                </c:pt>
                <c:pt idx="4">
                  <c:v>0%</c:v>
                </c:pt>
                <c:pt idx="5">
                  <c:v>0%</c:v>
                </c:pt>
                <c:pt idx="6">
                  <c:v>92%</c:v>
                </c:pt>
                <c:pt idx="7">
                  <c:v>21%</c:v>
                </c:pt>
                <c:pt idx="8">
                  <c:v>0%</c:v>
                </c:pt>
                <c:pt idx="9">
                  <c:v>0%</c:v>
                </c:pt>
                <c:pt idx="10">
                  <c:v>33%</c:v>
                </c:pt>
                <c:pt idx="11">
                  <c:v>0%</c:v>
                </c:pt>
                <c:pt idx="12">
                  <c:v>63%</c:v>
                </c:pt>
                <c:pt idx="13">
                  <c:v>83%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LEAD GUIDE</c:v>
                </c:pt>
                <c:pt idx="3">
                  <c:v>ACTUATOR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ACTUATOR</c:v>
                </c:pt>
                <c:pt idx="13">
                  <c:v>38P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0.70833333333333337</c:v>
                </c:pt>
                <c:pt idx="3">
                  <c:v>0.625</c:v>
                </c:pt>
                <c:pt idx="4">
                  <c:v>0</c:v>
                </c:pt>
                <c:pt idx="5">
                  <c:v>0</c:v>
                </c:pt>
                <c:pt idx="6">
                  <c:v>0.91666666666666663</c:v>
                </c:pt>
                <c:pt idx="7">
                  <c:v>0.20833333333333334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  <c:pt idx="12">
                  <c:v>0.625</c:v>
                </c:pt>
                <c:pt idx="13">
                  <c:v>0.83333333333333337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F-4D07-9495-2F253E11E60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5F-4D07-9495-2F253E11E6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LEAD GUIDE</c:v>
                </c:pt>
                <c:pt idx="3">
                  <c:v>ACTUATOR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ACTUATOR</c:v>
                </c:pt>
                <c:pt idx="13">
                  <c:v>38P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0.28333333333333333</c:v>
                </c:pt>
                <c:pt idx="1">
                  <c:v>0.28333333333333333</c:v>
                </c:pt>
                <c:pt idx="2">
                  <c:v>0.28333333333333333</c:v>
                </c:pt>
                <c:pt idx="3">
                  <c:v>0.28333333333333333</c:v>
                </c:pt>
                <c:pt idx="4">
                  <c:v>0.28333333333333333</c:v>
                </c:pt>
                <c:pt idx="5">
                  <c:v>0.28333333333333333</c:v>
                </c:pt>
                <c:pt idx="6">
                  <c:v>0.28333333333333333</c:v>
                </c:pt>
                <c:pt idx="7">
                  <c:v>0.28333333333333333</c:v>
                </c:pt>
                <c:pt idx="8">
                  <c:v>0.28333333333333333</c:v>
                </c:pt>
                <c:pt idx="9">
                  <c:v>0.28333333333333333</c:v>
                </c:pt>
                <c:pt idx="10">
                  <c:v>0.28333333333333333</c:v>
                </c:pt>
                <c:pt idx="11">
                  <c:v>0.28333333333333333</c:v>
                </c:pt>
                <c:pt idx="12">
                  <c:v>0.28333333333333333</c:v>
                </c:pt>
                <c:pt idx="13">
                  <c:v>0.28333333333333333</c:v>
                </c:pt>
                <c:pt idx="14">
                  <c:v>0.28333333333333333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F-4D07-9495-2F253E11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13%</c:v>
                </c:pt>
                <c:pt idx="4">
                  <c:v>17%</c:v>
                </c:pt>
                <c:pt idx="5">
                  <c:v>0%</c:v>
                </c:pt>
                <c:pt idx="6">
                  <c:v>0%</c:v>
                </c:pt>
                <c:pt idx="7">
                  <c:v>79%</c:v>
                </c:pt>
                <c:pt idx="8">
                  <c:v>38%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33%</c:v>
                </c:pt>
                <c:pt idx="13">
                  <c:v>100%</c:v>
                </c:pt>
                <c:pt idx="14">
                  <c:v>88%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'01'!$D$6:$D$21</c:f>
              <c:strCache>
                <c:ptCount val="15"/>
                <c:pt idx="2">
                  <c:v>LATCH</c:v>
                </c:pt>
                <c:pt idx="3">
                  <c:v>GUIDE</c:v>
                </c:pt>
                <c:pt idx="4">
                  <c:v>LATCH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</c:v>
                </c:pt>
              </c:strCache>
            </c:strRef>
          </c:cat>
          <c:val>
            <c:numRef>
              <c:f>'01'!$AD$6:$AD$21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</c:v>
                </c:pt>
                <c:pt idx="6">
                  <c:v>0</c:v>
                </c:pt>
                <c:pt idx="7">
                  <c:v>0.79166666666666663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0.33333333333333331</c:v>
                </c:pt>
                <c:pt idx="13">
                  <c:v>1</c:v>
                </c:pt>
                <c:pt idx="14">
                  <c:v>0.875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0-4F74-85F5-E357A766105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E0-4F74-85F5-E357A76610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'01'!$D$6:$D$21</c:f>
              <c:strCache>
                <c:ptCount val="15"/>
                <c:pt idx="2">
                  <c:v>LATCH</c:v>
                </c:pt>
                <c:pt idx="3">
                  <c:v>GUIDE</c:v>
                </c:pt>
                <c:pt idx="4">
                  <c:v>LATCH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</c:v>
                </c:pt>
              </c:strCache>
            </c:strRef>
          </c:cat>
          <c:val>
            <c:numRef>
              <c:f>'01'!$AE$6:$AE$21</c:f>
              <c:numCache>
                <c:formatCode>0%</c:formatCode>
                <c:ptCount val="16"/>
                <c:pt idx="0">
                  <c:v>0.37777777777777782</c:v>
                </c:pt>
                <c:pt idx="1">
                  <c:v>0.37777777777777782</c:v>
                </c:pt>
                <c:pt idx="2">
                  <c:v>0.37777777777777782</c:v>
                </c:pt>
                <c:pt idx="3">
                  <c:v>0.37777777777777782</c:v>
                </c:pt>
                <c:pt idx="4">
                  <c:v>0.37777777777777782</c:v>
                </c:pt>
                <c:pt idx="5">
                  <c:v>0.37777777777777782</c:v>
                </c:pt>
                <c:pt idx="6">
                  <c:v>0.37777777777777782</c:v>
                </c:pt>
                <c:pt idx="7">
                  <c:v>0.37777777777777782</c:v>
                </c:pt>
                <c:pt idx="8">
                  <c:v>0.37777777777777782</c:v>
                </c:pt>
                <c:pt idx="9">
                  <c:v>0.37777777777777782</c:v>
                </c:pt>
                <c:pt idx="10">
                  <c:v>0.37777777777777782</c:v>
                </c:pt>
                <c:pt idx="11">
                  <c:v>0.37777777777777782</c:v>
                </c:pt>
                <c:pt idx="12">
                  <c:v>0.37777777777777782</c:v>
                </c:pt>
                <c:pt idx="13">
                  <c:v>0.37777777777777782</c:v>
                </c:pt>
                <c:pt idx="14">
                  <c:v>0.37777777777777782</c:v>
                </c:pt>
                <c:pt idx="15">
                  <c:v>0.37777777777777782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0-4F74-85F5-E357A7661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2">
                  <c:v>LEAD GUIDE</c:v>
                </c:pt>
                <c:pt idx="3">
                  <c:v>ACTUATOR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ACTUATOR</c:v>
                </c:pt>
                <c:pt idx="13">
                  <c:v>38P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2">
                  <c:v>3121</c:v>
                </c:pt>
                <c:pt idx="3">
                  <c:v>2615</c:v>
                </c:pt>
                <c:pt idx="6">
                  <c:v>4087</c:v>
                </c:pt>
                <c:pt idx="7">
                  <c:v>761</c:v>
                </c:pt>
                <c:pt idx="10">
                  <c:v>1150</c:v>
                </c:pt>
                <c:pt idx="12">
                  <c:v>1565</c:v>
                </c:pt>
                <c:pt idx="13">
                  <c:v>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F-43E0-8584-40818D45FFD5}"/>
            </c:ext>
          </c:extLst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2">
                  <c:v>LEAD GUIDE</c:v>
                </c:pt>
                <c:pt idx="3">
                  <c:v>ACTUATOR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ACTUATOR</c:v>
                </c:pt>
                <c:pt idx="13">
                  <c:v>38P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3121</c:v>
                </c:pt>
                <c:pt idx="3">
                  <c:v>2615</c:v>
                </c:pt>
                <c:pt idx="4">
                  <c:v>1577</c:v>
                </c:pt>
                <c:pt idx="5">
                  <c:v>2357</c:v>
                </c:pt>
                <c:pt idx="6">
                  <c:v>4087</c:v>
                </c:pt>
                <c:pt idx="7">
                  <c:v>761</c:v>
                </c:pt>
                <c:pt idx="8">
                  <c:v>1068</c:v>
                </c:pt>
                <c:pt idx="9">
                  <c:v>7454</c:v>
                </c:pt>
                <c:pt idx="10">
                  <c:v>1150</c:v>
                </c:pt>
                <c:pt idx="12">
                  <c:v>1565</c:v>
                </c:pt>
                <c:pt idx="13">
                  <c:v>3726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F-43E0-8584-40818D45F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71%</c:v>
                </c:pt>
                <c:pt idx="3">
                  <c:v>63%</c:v>
                </c:pt>
                <c:pt idx="4">
                  <c:v>0%</c:v>
                </c:pt>
                <c:pt idx="5">
                  <c:v>0%</c:v>
                </c:pt>
                <c:pt idx="6">
                  <c:v>92%</c:v>
                </c:pt>
                <c:pt idx="7">
                  <c:v>21%</c:v>
                </c:pt>
                <c:pt idx="8">
                  <c:v>0%</c:v>
                </c:pt>
                <c:pt idx="9">
                  <c:v>0%</c:v>
                </c:pt>
                <c:pt idx="10">
                  <c:v>33%</c:v>
                </c:pt>
                <c:pt idx="11">
                  <c:v>0%</c:v>
                </c:pt>
                <c:pt idx="12">
                  <c:v>63%</c:v>
                </c:pt>
                <c:pt idx="13">
                  <c:v>83%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LEAD GUIDE</c:v>
                </c:pt>
                <c:pt idx="3">
                  <c:v>ACTUATOR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ACTUATOR</c:v>
                </c:pt>
                <c:pt idx="13">
                  <c:v>38P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0.70833333333333337</c:v>
                </c:pt>
                <c:pt idx="3">
                  <c:v>0.625</c:v>
                </c:pt>
                <c:pt idx="4">
                  <c:v>0</c:v>
                </c:pt>
                <c:pt idx="5">
                  <c:v>0</c:v>
                </c:pt>
                <c:pt idx="6">
                  <c:v>0.91666666666666663</c:v>
                </c:pt>
                <c:pt idx="7">
                  <c:v>0.20833333333333334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  <c:pt idx="12">
                  <c:v>0.625</c:v>
                </c:pt>
                <c:pt idx="13">
                  <c:v>0.83333333333333337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4ABC-86C8-67D8698E609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0A-4ABC-86C8-67D8698E60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LEAD GUIDE</c:v>
                </c:pt>
                <c:pt idx="3">
                  <c:v>ACTUATOR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ACTUATOR</c:v>
                </c:pt>
                <c:pt idx="13">
                  <c:v>38P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0.28333333333333333</c:v>
                </c:pt>
                <c:pt idx="1">
                  <c:v>0.28333333333333333</c:v>
                </c:pt>
                <c:pt idx="2">
                  <c:v>0.28333333333333333</c:v>
                </c:pt>
                <c:pt idx="3">
                  <c:v>0.28333333333333333</c:v>
                </c:pt>
                <c:pt idx="4">
                  <c:v>0.28333333333333333</c:v>
                </c:pt>
                <c:pt idx="5">
                  <c:v>0.28333333333333333</c:v>
                </c:pt>
                <c:pt idx="6">
                  <c:v>0.28333333333333333</c:v>
                </c:pt>
                <c:pt idx="7">
                  <c:v>0.28333333333333333</c:v>
                </c:pt>
                <c:pt idx="8">
                  <c:v>0.28333333333333333</c:v>
                </c:pt>
                <c:pt idx="9">
                  <c:v>0.28333333333333333</c:v>
                </c:pt>
                <c:pt idx="10">
                  <c:v>0.28333333333333333</c:v>
                </c:pt>
                <c:pt idx="11">
                  <c:v>0.28333333333333333</c:v>
                </c:pt>
                <c:pt idx="12">
                  <c:v>0.28333333333333333</c:v>
                </c:pt>
                <c:pt idx="13">
                  <c:v>0.28333333333333333</c:v>
                </c:pt>
                <c:pt idx="14">
                  <c:v>0.28333333333333333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4ABC-86C8-67D8698E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B6C-40C1-AB3F-DA1FE6390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C-40C1-AB3F-DA1FE639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6C-40C1-AB3F-DA1FE63908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C-40C1-AB3F-DA1FE639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SEPARATOR</c:v>
                </c:pt>
                <c:pt idx="13">
                  <c:v>BASE</c:v>
                </c:pt>
              </c:strCache>
            </c:strRef>
          </c:cat>
          <c:val>
            <c:numRef>
              <c:f>'16'!$L$6:$L$20</c:f>
              <c:numCache>
                <c:formatCode>_(* #,##0_);_(* \(#,##0\);_(* "-"_);_(@_)</c:formatCode>
                <c:ptCount val="15"/>
                <c:pt idx="2">
                  <c:v>2677</c:v>
                </c:pt>
                <c:pt idx="3">
                  <c:v>3281</c:v>
                </c:pt>
                <c:pt idx="6">
                  <c:v>2290</c:v>
                </c:pt>
                <c:pt idx="7">
                  <c:v>4519</c:v>
                </c:pt>
                <c:pt idx="10">
                  <c:v>1092</c:v>
                </c:pt>
                <c:pt idx="12">
                  <c:v>3302</c:v>
                </c:pt>
                <c:pt idx="13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C-42A6-9BFB-7080D4378305}"/>
            </c:ext>
          </c:extLst>
        </c:ser>
        <c:ser>
          <c:idx val="1"/>
          <c:order val="1"/>
          <c:tx>
            <c:v>계획</c:v>
          </c:tx>
          <c:cat>
            <c:strRef>
              <c:f>'16'!$D$6:$D$20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SEPARATOR</c:v>
                </c:pt>
                <c:pt idx="13">
                  <c:v>BASE</c:v>
                </c:pt>
              </c:strCache>
            </c:strRef>
          </c:cat>
          <c:val>
            <c:numRef>
              <c:f>'16'!$J$6:$J$20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2677</c:v>
                </c:pt>
                <c:pt idx="3">
                  <c:v>3281</c:v>
                </c:pt>
                <c:pt idx="4">
                  <c:v>1577</c:v>
                </c:pt>
                <c:pt idx="5">
                  <c:v>2357</c:v>
                </c:pt>
                <c:pt idx="6">
                  <c:v>2290</c:v>
                </c:pt>
                <c:pt idx="7">
                  <c:v>4519</c:v>
                </c:pt>
                <c:pt idx="8">
                  <c:v>1068</c:v>
                </c:pt>
                <c:pt idx="9">
                  <c:v>7454</c:v>
                </c:pt>
                <c:pt idx="10">
                  <c:v>1100</c:v>
                </c:pt>
                <c:pt idx="12">
                  <c:v>3302</c:v>
                </c:pt>
                <c:pt idx="13">
                  <c:v>718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C-42A6-9BFB-7080D4378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79%</c:v>
                </c:pt>
                <c:pt idx="4">
                  <c:v>0%</c:v>
                </c:pt>
                <c:pt idx="5">
                  <c:v>0%</c:v>
                </c:pt>
                <c:pt idx="6">
                  <c:v>58%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33%</c:v>
                </c:pt>
                <c:pt idx="11">
                  <c:v>0%</c:v>
                </c:pt>
                <c:pt idx="12">
                  <c:v>71%</c:v>
                </c:pt>
                <c:pt idx="13">
                  <c:v>67%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SEPARATOR</c:v>
                </c:pt>
                <c:pt idx="13">
                  <c:v>BASE</c:v>
                </c:pt>
              </c:strCache>
            </c:strRef>
          </c:cat>
          <c:val>
            <c:numRef>
              <c:f>'16'!$AD$6:$AD$20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0.79166666666666663</c:v>
                </c:pt>
                <c:pt idx="4">
                  <c:v>0</c:v>
                </c:pt>
                <c:pt idx="5">
                  <c:v>0</c:v>
                </c:pt>
                <c:pt idx="6">
                  <c:v>0.58333333333333337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0.33090909090909087</c:v>
                </c:pt>
                <c:pt idx="11">
                  <c:v>0</c:v>
                </c:pt>
                <c:pt idx="12">
                  <c:v>0.70833333333333337</c:v>
                </c:pt>
                <c:pt idx="13">
                  <c:v>0.66666666666666663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B-4F34-99C1-88FF538B9D3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AB-4F34-99C1-88FF538B9D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SEPARATOR</c:v>
                </c:pt>
                <c:pt idx="13">
                  <c:v>BASE</c:v>
                </c:pt>
              </c:strCache>
            </c:strRef>
          </c:cat>
          <c:val>
            <c:numRef>
              <c:f>'16'!$AE$6:$AE$20</c:f>
              <c:numCache>
                <c:formatCode>0%</c:formatCode>
                <c:ptCount val="15"/>
                <c:pt idx="0">
                  <c:v>0.32206060606060605</c:v>
                </c:pt>
                <c:pt idx="1">
                  <c:v>0.32206060606060605</c:v>
                </c:pt>
                <c:pt idx="2">
                  <c:v>0.32206060606060605</c:v>
                </c:pt>
                <c:pt idx="3">
                  <c:v>0.32206060606060605</c:v>
                </c:pt>
                <c:pt idx="4">
                  <c:v>0.32206060606060605</c:v>
                </c:pt>
                <c:pt idx="5">
                  <c:v>0.32206060606060605</c:v>
                </c:pt>
                <c:pt idx="6">
                  <c:v>0.32206060606060605</c:v>
                </c:pt>
                <c:pt idx="7">
                  <c:v>0.32206060606060605</c:v>
                </c:pt>
                <c:pt idx="8">
                  <c:v>0.32206060606060605</c:v>
                </c:pt>
                <c:pt idx="9">
                  <c:v>0.32206060606060605</c:v>
                </c:pt>
                <c:pt idx="10">
                  <c:v>0.32206060606060605</c:v>
                </c:pt>
                <c:pt idx="11">
                  <c:v>0.32206060606060605</c:v>
                </c:pt>
                <c:pt idx="12">
                  <c:v>0.32206060606060605</c:v>
                </c:pt>
                <c:pt idx="13">
                  <c:v>0.32206060606060605</c:v>
                </c:pt>
                <c:pt idx="14">
                  <c:v>0.32206060606060605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B-4F34-99C1-88FF538B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SEPARATOR</c:v>
                </c:pt>
                <c:pt idx="13">
                  <c:v>BASE</c:v>
                </c:pt>
              </c:strCache>
            </c:strRef>
          </c:cat>
          <c:val>
            <c:numRef>
              <c:f>'16'!$L$6:$L$20</c:f>
              <c:numCache>
                <c:formatCode>_(* #,##0_);_(* \(#,##0\);_(* "-"_);_(@_)</c:formatCode>
                <c:ptCount val="15"/>
                <c:pt idx="2">
                  <c:v>2677</c:v>
                </c:pt>
                <c:pt idx="3">
                  <c:v>3281</c:v>
                </c:pt>
                <c:pt idx="6">
                  <c:v>2290</c:v>
                </c:pt>
                <c:pt idx="7">
                  <c:v>4519</c:v>
                </c:pt>
                <c:pt idx="10">
                  <c:v>1092</c:v>
                </c:pt>
                <c:pt idx="12">
                  <c:v>3302</c:v>
                </c:pt>
                <c:pt idx="13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F-4986-BEB3-34D5553A046A}"/>
            </c:ext>
          </c:extLst>
        </c:ser>
        <c:ser>
          <c:idx val="1"/>
          <c:order val="1"/>
          <c:tx>
            <c:v>계획</c:v>
          </c:tx>
          <c:cat>
            <c:strRef>
              <c:f>'16'!$D$6:$D$20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SEPARATOR</c:v>
                </c:pt>
                <c:pt idx="13">
                  <c:v>BASE</c:v>
                </c:pt>
              </c:strCache>
            </c:strRef>
          </c:cat>
          <c:val>
            <c:numRef>
              <c:f>'16'!$J$6:$J$20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2677</c:v>
                </c:pt>
                <c:pt idx="3">
                  <c:v>3281</c:v>
                </c:pt>
                <c:pt idx="4">
                  <c:v>1577</c:v>
                </c:pt>
                <c:pt idx="5">
                  <c:v>2357</c:v>
                </c:pt>
                <c:pt idx="6">
                  <c:v>2290</c:v>
                </c:pt>
                <c:pt idx="7">
                  <c:v>4519</c:v>
                </c:pt>
                <c:pt idx="8">
                  <c:v>1068</c:v>
                </c:pt>
                <c:pt idx="9">
                  <c:v>7454</c:v>
                </c:pt>
                <c:pt idx="10">
                  <c:v>1100</c:v>
                </c:pt>
                <c:pt idx="12">
                  <c:v>3302</c:v>
                </c:pt>
                <c:pt idx="13">
                  <c:v>718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F-4986-BEB3-34D5553A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79%</c:v>
                </c:pt>
                <c:pt idx="4">
                  <c:v>0%</c:v>
                </c:pt>
                <c:pt idx="5">
                  <c:v>0%</c:v>
                </c:pt>
                <c:pt idx="6">
                  <c:v>58%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33%</c:v>
                </c:pt>
                <c:pt idx="11">
                  <c:v>0%</c:v>
                </c:pt>
                <c:pt idx="12">
                  <c:v>71%</c:v>
                </c:pt>
                <c:pt idx="13">
                  <c:v>67%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SEPARATOR</c:v>
                </c:pt>
                <c:pt idx="13">
                  <c:v>BASE</c:v>
                </c:pt>
              </c:strCache>
            </c:strRef>
          </c:cat>
          <c:val>
            <c:numRef>
              <c:f>'16'!$AD$6:$AD$20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0.79166666666666663</c:v>
                </c:pt>
                <c:pt idx="4">
                  <c:v>0</c:v>
                </c:pt>
                <c:pt idx="5">
                  <c:v>0</c:v>
                </c:pt>
                <c:pt idx="6">
                  <c:v>0.58333333333333337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0.33090909090909087</c:v>
                </c:pt>
                <c:pt idx="11">
                  <c:v>0</c:v>
                </c:pt>
                <c:pt idx="12">
                  <c:v>0.70833333333333337</c:v>
                </c:pt>
                <c:pt idx="13">
                  <c:v>0.66666666666666663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3-46C9-A4D1-FBB55C66532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23-46C9-A4D1-FBB55C66532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COVER</c:v>
                </c:pt>
                <c:pt idx="12">
                  <c:v>SEPARATOR</c:v>
                </c:pt>
                <c:pt idx="13">
                  <c:v>BASE</c:v>
                </c:pt>
              </c:strCache>
            </c:strRef>
          </c:cat>
          <c:val>
            <c:numRef>
              <c:f>'16'!$AE$6:$AE$20</c:f>
              <c:numCache>
                <c:formatCode>0%</c:formatCode>
                <c:ptCount val="15"/>
                <c:pt idx="0">
                  <c:v>0.32206060606060605</c:v>
                </c:pt>
                <c:pt idx="1">
                  <c:v>0.32206060606060605</c:v>
                </c:pt>
                <c:pt idx="2">
                  <c:v>0.32206060606060605</c:v>
                </c:pt>
                <c:pt idx="3">
                  <c:v>0.32206060606060605</c:v>
                </c:pt>
                <c:pt idx="4">
                  <c:v>0.32206060606060605</c:v>
                </c:pt>
                <c:pt idx="5">
                  <c:v>0.32206060606060605</c:v>
                </c:pt>
                <c:pt idx="6">
                  <c:v>0.32206060606060605</c:v>
                </c:pt>
                <c:pt idx="7">
                  <c:v>0.32206060606060605</c:v>
                </c:pt>
                <c:pt idx="8">
                  <c:v>0.32206060606060605</c:v>
                </c:pt>
                <c:pt idx="9">
                  <c:v>0.32206060606060605</c:v>
                </c:pt>
                <c:pt idx="10">
                  <c:v>0.32206060606060605</c:v>
                </c:pt>
                <c:pt idx="11">
                  <c:v>0.32206060606060605</c:v>
                </c:pt>
                <c:pt idx="12">
                  <c:v>0.32206060606060605</c:v>
                </c:pt>
                <c:pt idx="13">
                  <c:v>0.32206060606060605</c:v>
                </c:pt>
                <c:pt idx="14">
                  <c:v>0.32206060606060605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3-46C9-A4D1-FBB55C66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60D-4F4D-AB8A-B08EBB759F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D-4F4D-AB8A-B08EBB75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D-4F4D-AB8A-B08EBB759F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0D-4F4D-AB8A-B08EBB75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SEPARATOR</c:v>
                </c:pt>
                <c:pt idx="13">
                  <c:v>JOINT</c:v>
                </c:pt>
              </c:strCache>
            </c:strRef>
          </c:cat>
          <c:val>
            <c:numRef>
              <c:f>'17'!$L$6:$L$20</c:f>
              <c:numCache>
                <c:formatCode>_(* #,##0_);_(* \(#,##0\);_(* "-"_);_(@_)</c:formatCode>
                <c:ptCount val="15"/>
                <c:pt idx="2">
                  <c:v>1800</c:v>
                </c:pt>
                <c:pt idx="3">
                  <c:v>2489</c:v>
                </c:pt>
                <c:pt idx="7">
                  <c:v>1386</c:v>
                </c:pt>
                <c:pt idx="10">
                  <c:v>4218</c:v>
                </c:pt>
                <c:pt idx="11">
                  <c:v>300</c:v>
                </c:pt>
                <c:pt idx="1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F-45AE-BF30-BED3B394179A}"/>
            </c:ext>
          </c:extLst>
        </c:ser>
        <c:ser>
          <c:idx val="1"/>
          <c:order val="1"/>
          <c:tx>
            <c:v>계획</c:v>
          </c:tx>
          <c:cat>
            <c:strRef>
              <c:f>'17'!$D$6:$D$20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SEPARATOR</c:v>
                </c:pt>
                <c:pt idx="13">
                  <c:v>JOINT</c:v>
                </c:pt>
              </c:strCache>
            </c:strRef>
          </c:cat>
          <c:val>
            <c:numRef>
              <c:f>'17'!$J$6:$J$20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1800</c:v>
                </c:pt>
                <c:pt idx="3">
                  <c:v>2489</c:v>
                </c:pt>
                <c:pt idx="4">
                  <c:v>1577</c:v>
                </c:pt>
                <c:pt idx="5">
                  <c:v>2357</c:v>
                </c:pt>
                <c:pt idx="6">
                  <c:v>2290</c:v>
                </c:pt>
                <c:pt idx="7">
                  <c:v>1386</c:v>
                </c:pt>
                <c:pt idx="8">
                  <c:v>1068</c:v>
                </c:pt>
                <c:pt idx="9">
                  <c:v>7454</c:v>
                </c:pt>
                <c:pt idx="10">
                  <c:v>4218</c:v>
                </c:pt>
                <c:pt idx="11">
                  <c:v>300</c:v>
                </c:pt>
                <c:pt idx="12">
                  <c:v>3302</c:v>
                </c:pt>
                <c:pt idx="13">
                  <c:v>700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F-45AE-BF30-BED3B394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46%</c:v>
                </c:pt>
                <c:pt idx="4">
                  <c:v>0%</c:v>
                </c:pt>
                <c:pt idx="5">
                  <c:v>0%</c:v>
                </c:pt>
                <c:pt idx="6">
                  <c:v>0%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46%</c:v>
                </c:pt>
                <c:pt idx="11">
                  <c:v>17%</c:v>
                </c:pt>
                <c:pt idx="12">
                  <c:v>0%</c:v>
                </c:pt>
                <c:pt idx="13">
                  <c:v>33%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SEPARATOR</c:v>
                </c:pt>
                <c:pt idx="13">
                  <c:v>JOINT</c:v>
                </c:pt>
              </c:strCache>
            </c:strRef>
          </c:cat>
          <c:val>
            <c:numRef>
              <c:f>'17'!$AD$6:$AD$20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0.45833333333333331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0.45833333333333331</c:v>
                </c:pt>
                <c:pt idx="11">
                  <c:v>0.16666666666666666</c:v>
                </c:pt>
                <c:pt idx="12">
                  <c:v>0</c:v>
                </c:pt>
                <c:pt idx="13">
                  <c:v>0.33333333333333331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1-4CE7-AF5A-9956CE9322D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71-4CE7-AF5A-9956CE9322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SEPARATOR</c:v>
                </c:pt>
                <c:pt idx="13">
                  <c:v>JOINT</c:v>
                </c:pt>
              </c:strCache>
            </c:strRef>
          </c:cat>
          <c:val>
            <c:numRef>
              <c:f>'17'!$AE$6:$AE$20</c:f>
              <c:numCache>
                <c:formatCode>0%</c:formatCode>
                <c:ptCount val="1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1-4CE7-AF5A-9956CE93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'01'!$D$6:$D$21</c:f>
              <c:strCache>
                <c:ptCount val="15"/>
                <c:pt idx="2">
                  <c:v>LATCH</c:v>
                </c:pt>
                <c:pt idx="3">
                  <c:v>GUIDE</c:v>
                </c:pt>
                <c:pt idx="4">
                  <c:v>LATCH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</c:v>
                </c:pt>
              </c:strCache>
            </c:strRef>
          </c:cat>
          <c:val>
            <c:numRef>
              <c:f>'01'!$L$6:$L$21</c:f>
              <c:numCache>
                <c:formatCode>_(* #,##0_);_(* \(#,##0\);_(* "-"_);_(@_)</c:formatCode>
                <c:ptCount val="16"/>
                <c:pt idx="2">
                  <c:v>11580</c:v>
                </c:pt>
                <c:pt idx="3">
                  <c:v>784</c:v>
                </c:pt>
                <c:pt idx="4">
                  <c:v>1160</c:v>
                </c:pt>
                <c:pt idx="7">
                  <c:v>3453</c:v>
                </c:pt>
                <c:pt idx="8">
                  <c:v>1550</c:v>
                </c:pt>
                <c:pt idx="11">
                  <c:v>5463</c:v>
                </c:pt>
                <c:pt idx="12">
                  <c:v>1846</c:v>
                </c:pt>
                <c:pt idx="13">
                  <c:v>5097</c:v>
                </c:pt>
                <c:pt idx="14">
                  <c:v>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2-450E-B44E-E6998BD74F8F}"/>
            </c:ext>
          </c:extLst>
        </c:ser>
        <c:ser>
          <c:idx val="1"/>
          <c:order val="1"/>
          <c:tx>
            <c:v>계획</c:v>
          </c:tx>
          <c:cat>
            <c:strRef>
              <c:f>'01'!$D$6:$D$21</c:f>
              <c:strCache>
                <c:ptCount val="15"/>
                <c:pt idx="2">
                  <c:v>LATCH</c:v>
                </c:pt>
                <c:pt idx="3">
                  <c:v>GUIDE</c:v>
                </c:pt>
                <c:pt idx="4">
                  <c:v>LATCH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</c:v>
                </c:pt>
              </c:strCache>
            </c:strRef>
          </c:cat>
          <c:val>
            <c:numRef>
              <c:f>'01'!$J$6:$J$21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11580</c:v>
                </c:pt>
                <c:pt idx="3">
                  <c:v>784</c:v>
                </c:pt>
                <c:pt idx="4">
                  <c:v>1160</c:v>
                </c:pt>
                <c:pt idx="5">
                  <c:v>17546</c:v>
                </c:pt>
                <c:pt idx="6">
                  <c:v>2357</c:v>
                </c:pt>
                <c:pt idx="7">
                  <c:v>3453</c:v>
                </c:pt>
                <c:pt idx="8">
                  <c:v>1550</c:v>
                </c:pt>
                <c:pt idx="9">
                  <c:v>1068</c:v>
                </c:pt>
                <c:pt idx="10">
                  <c:v>305</c:v>
                </c:pt>
                <c:pt idx="11">
                  <c:v>5463</c:v>
                </c:pt>
                <c:pt idx="12">
                  <c:v>1846</c:v>
                </c:pt>
                <c:pt idx="13">
                  <c:v>5097</c:v>
                </c:pt>
                <c:pt idx="14">
                  <c:v>3101</c:v>
                </c:pt>
                <c:pt idx="15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2-450E-B44E-E6998BD74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SEPARATOR</c:v>
                </c:pt>
                <c:pt idx="13">
                  <c:v>JOINT</c:v>
                </c:pt>
              </c:strCache>
            </c:strRef>
          </c:cat>
          <c:val>
            <c:numRef>
              <c:f>'17'!$L$6:$L$20</c:f>
              <c:numCache>
                <c:formatCode>_(* #,##0_);_(* \(#,##0\);_(* "-"_);_(@_)</c:formatCode>
                <c:ptCount val="15"/>
                <c:pt idx="2">
                  <c:v>1800</c:v>
                </c:pt>
                <c:pt idx="3">
                  <c:v>2489</c:v>
                </c:pt>
                <c:pt idx="7">
                  <c:v>1386</c:v>
                </c:pt>
                <c:pt idx="10">
                  <c:v>4218</c:v>
                </c:pt>
                <c:pt idx="11">
                  <c:v>300</c:v>
                </c:pt>
                <c:pt idx="1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7-4AE2-91BD-7B6D03FD162E}"/>
            </c:ext>
          </c:extLst>
        </c:ser>
        <c:ser>
          <c:idx val="1"/>
          <c:order val="1"/>
          <c:tx>
            <c:v>계획</c:v>
          </c:tx>
          <c:cat>
            <c:strRef>
              <c:f>'17'!$D$6:$D$20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SEPARATOR</c:v>
                </c:pt>
                <c:pt idx="13">
                  <c:v>JOINT</c:v>
                </c:pt>
              </c:strCache>
            </c:strRef>
          </c:cat>
          <c:val>
            <c:numRef>
              <c:f>'17'!$J$6:$J$20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1800</c:v>
                </c:pt>
                <c:pt idx="3">
                  <c:v>2489</c:v>
                </c:pt>
                <c:pt idx="4">
                  <c:v>1577</c:v>
                </c:pt>
                <c:pt idx="5">
                  <c:v>2357</c:v>
                </c:pt>
                <c:pt idx="6">
                  <c:v>2290</c:v>
                </c:pt>
                <c:pt idx="7">
                  <c:v>1386</c:v>
                </c:pt>
                <c:pt idx="8">
                  <c:v>1068</c:v>
                </c:pt>
                <c:pt idx="9">
                  <c:v>7454</c:v>
                </c:pt>
                <c:pt idx="10">
                  <c:v>4218</c:v>
                </c:pt>
                <c:pt idx="11">
                  <c:v>300</c:v>
                </c:pt>
                <c:pt idx="12">
                  <c:v>3302</c:v>
                </c:pt>
                <c:pt idx="13">
                  <c:v>700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7-4AE2-91BD-7B6D03FD1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46%</c:v>
                </c:pt>
                <c:pt idx="4">
                  <c:v>0%</c:v>
                </c:pt>
                <c:pt idx="5">
                  <c:v>0%</c:v>
                </c:pt>
                <c:pt idx="6">
                  <c:v>0%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46%</c:v>
                </c:pt>
                <c:pt idx="11">
                  <c:v>17%</c:v>
                </c:pt>
                <c:pt idx="12">
                  <c:v>0%</c:v>
                </c:pt>
                <c:pt idx="13">
                  <c:v>33%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SEPARATOR</c:v>
                </c:pt>
                <c:pt idx="13">
                  <c:v>JOINT</c:v>
                </c:pt>
              </c:strCache>
            </c:strRef>
          </c:cat>
          <c:val>
            <c:numRef>
              <c:f>'17'!$AD$6:$AD$20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0.45833333333333331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0.45833333333333331</c:v>
                </c:pt>
                <c:pt idx="11">
                  <c:v>0.16666666666666666</c:v>
                </c:pt>
                <c:pt idx="12">
                  <c:v>0</c:v>
                </c:pt>
                <c:pt idx="13">
                  <c:v>0.33333333333333331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D-4C80-8D7F-827B2844EB9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4D-4C80-8D7F-827B2844EB9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'17'!$D$6:$D$20</c:f>
              <c:strCache>
                <c:ptCount val="14"/>
                <c:pt idx="3">
                  <c:v>LEAD GUIDE</c:v>
                </c:pt>
                <c:pt idx="4">
                  <c:v>HINGE</c:v>
                </c:pt>
                <c:pt idx="5">
                  <c:v>SLIDER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SEPARATOR</c:v>
                </c:pt>
                <c:pt idx="13">
                  <c:v>JOINT</c:v>
                </c:pt>
              </c:strCache>
            </c:strRef>
          </c:cat>
          <c:val>
            <c:numRef>
              <c:f>'17'!$AE$6:$AE$20</c:f>
              <c:numCache>
                <c:formatCode>0%</c:formatCode>
                <c:ptCount val="1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D-4C80-8D7F-827B2844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B9F-4CC2-8590-0ED78281A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F-4CC2-8590-0ED78281A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9F-4CC2-8590-0ED78281ADC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F-4CC2-8590-0ED78281A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'18'!$D$6:$D$22</c:f>
              <c:strCache>
                <c:ptCount val="16"/>
                <c:pt idx="4">
                  <c:v>LEAD GUIDE</c:v>
                </c:pt>
                <c:pt idx="5">
                  <c:v>ACTUATOR</c:v>
                </c:pt>
                <c:pt idx="6">
                  <c:v>HINGE</c:v>
                </c:pt>
                <c:pt idx="7">
                  <c:v>SLIDER</c:v>
                </c:pt>
                <c:pt idx="8">
                  <c:v>BODY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SEPARATOR</c:v>
                </c:pt>
                <c:pt idx="15">
                  <c:v>JOINT</c:v>
                </c:pt>
              </c:strCache>
            </c:strRef>
          </c:cat>
          <c:val>
            <c:numRef>
              <c:f>'18'!$L$6:$L$22</c:f>
              <c:numCache>
                <c:formatCode>_(* #,##0_);_(* \(#,##0\);_(* "-"_);_(@_)</c:formatCode>
                <c:ptCount val="17"/>
                <c:pt idx="2">
                  <c:v>1016</c:v>
                </c:pt>
                <c:pt idx="3">
                  <c:v>540</c:v>
                </c:pt>
                <c:pt idx="4">
                  <c:v>227</c:v>
                </c:pt>
                <c:pt idx="5">
                  <c:v>485</c:v>
                </c:pt>
                <c:pt idx="9">
                  <c:v>1615</c:v>
                </c:pt>
                <c:pt idx="12">
                  <c:v>4140</c:v>
                </c:pt>
                <c:pt idx="15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2-4C30-A260-F5D5BC0B402A}"/>
            </c:ext>
          </c:extLst>
        </c:ser>
        <c:ser>
          <c:idx val="1"/>
          <c:order val="1"/>
          <c:tx>
            <c:v>계획</c:v>
          </c:tx>
          <c:cat>
            <c:strRef>
              <c:f>'18'!$D$6:$D$22</c:f>
              <c:strCache>
                <c:ptCount val="16"/>
                <c:pt idx="4">
                  <c:v>LEAD GUIDE</c:v>
                </c:pt>
                <c:pt idx="5">
                  <c:v>ACTUATOR</c:v>
                </c:pt>
                <c:pt idx="6">
                  <c:v>HINGE</c:v>
                </c:pt>
                <c:pt idx="7">
                  <c:v>SLIDER</c:v>
                </c:pt>
                <c:pt idx="8">
                  <c:v>BODY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SEPARATOR</c:v>
                </c:pt>
                <c:pt idx="15">
                  <c:v>JOINT</c:v>
                </c:pt>
              </c:strCache>
            </c:strRef>
          </c:cat>
          <c:val>
            <c:numRef>
              <c:f>'18'!$J$6:$J$22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1016</c:v>
                </c:pt>
                <c:pt idx="3">
                  <c:v>540</c:v>
                </c:pt>
                <c:pt idx="4">
                  <c:v>227</c:v>
                </c:pt>
                <c:pt idx="5">
                  <c:v>485</c:v>
                </c:pt>
                <c:pt idx="6">
                  <c:v>1577</c:v>
                </c:pt>
                <c:pt idx="7">
                  <c:v>2357</c:v>
                </c:pt>
                <c:pt idx="8">
                  <c:v>2290</c:v>
                </c:pt>
                <c:pt idx="9">
                  <c:v>1615</c:v>
                </c:pt>
                <c:pt idx="10">
                  <c:v>1068</c:v>
                </c:pt>
                <c:pt idx="11">
                  <c:v>7454</c:v>
                </c:pt>
                <c:pt idx="12">
                  <c:v>4140</c:v>
                </c:pt>
                <c:pt idx="13">
                  <c:v>300</c:v>
                </c:pt>
                <c:pt idx="14">
                  <c:v>3302</c:v>
                </c:pt>
                <c:pt idx="15">
                  <c:v>410</c:v>
                </c:pt>
                <c:pt idx="16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2-4C30-A260-F5D5BC0B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17%</c:v>
                </c:pt>
                <c:pt idx="4">
                  <c:v>8%</c:v>
                </c:pt>
                <c:pt idx="5">
                  <c:v>13%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42%</c:v>
                </c:pt>
                <c:pt idx="10">
                  <c:v>0%</c:v>
                </c:pt>
                <c:pt idx="11">
                  <c:v>0%</c:v>
                </c:pt>
                <c:pt idx="12">
                  <c:v>46%</c:v>
                </c:pt>
                <c:pt idx="13">
                  <c:v>0%</c:v>
                </c:pt>
                <c:pt idx="14">
                  <c:v>0%</c:v>
                </c:pt>
                <c:pt idx="15">
                  <c:v>17%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'18'!$D$6:$D$22</c:f>
              <c:strCache>
                <c:ptCount val="16"/>
                <c:pt idx="4">
                  <c:v>LEAD GUIDE</c:v>
                </c:pt>
                <c:pt idx="5">
                  <c:v>ACTUATOR</c:v>
                </c:pt>
                <c:pt idx="6">
                  <c:v>HINGE</c:v>
                </c:pt>
                <c:pt idx="7">
                  <c:v>SLIDER</c:v>
                </c:pt>
                <c:pt idx="8">
                  <c:v>BODY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SEPARATOR</c:v>
                </c:pt>
                <c:pt idx="15">
                  <c:v>JOINT</c:v>
                </c:pt>
              </c:strCache>
            </c:strRef>
          </c:cat>
          <c:val>
            <c:numRef>
              <c:f>'18'!$AD$6:$AD$22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0.16666666666666666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0.41666666666666669</c:v>
                </c:pt>
                <c:pt idx="10">
                  <c:v>0</c:v>
                </c:pt>
                <c:pt idx="11">
                  <c:v>0</c:v>
                </c:pt>
                <c:pt idx="12">
                  <c:v>0.45833333333333331</c:v>
                </c:pt>
                <c:pt idx="13">
                  <c:v>0</c:v>
                </c:pt>
                <c:pt idx="14">
                  <c:v>0</c:v>
                </c:pt>
                <c:pt idx="15">
                  <c:v>0.16666666666666666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6-4494-AFAD-B4E5ECF40F3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F6-4494-AFAD-B4E5ECF40F3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'18'!$D$6:$D$22</c:f>
              <c:strCache>
                <c:ptCount val="16"/>
                <c:pt idx="4">
                  <c:v>LEAD GUIDE</c:v>
                </c:pt>
                <c:pt idx="5">
                  <c:v>ACTUATOR</c:v>
                </c:pt>
                <c:pt idx="6">
                  <c:v>HINGE</c:v>
                </c:pt>
                <c:pt idx="7">
                  <c:v>SLIDER</c:v>
                </c:pt>
                <c:pt idx="8">
                  <c:v>BODY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SEPARATOR</c:v>
                </c:pt>
                <c:pt idx="15">
                  <c:v>JOINT</c:v>
                </c:pt>
              </c:strCache>
            </c:strRef>
          </c:cat>
          <c:val>
            <c:numRef>
              <c:f>'18'!$AE$6:$AE$22</c:f>
              <c:numCache>
                <c:formatCode>0%</c:formatCode>
                <c:ptCount val="17"/>
                <c:pt idx="0">
                  <c:v>0.11111111111111112</c:v>
                </c:pt>
                <c:pt idx="1">
                  <c:v>0.11111111111111112</c:v>
                </c:pt>
                <c:pt idx="2">
                  <c:v>0.11111111111111112</c:v>
                </c:pt>
                <c:pt idx="3">
                  <c:v>0.11111111111111112</c:v>
                </c:pt>
                <c:pt idx="4">
                  <c:v>0.11111111111111112</c:v>
                </c:pt>
                <c:pt idx="5">
                  <c:v>0.16666666666666666</c:v>
                </c:pt>
                <c:pt idx="6">
                  <c:v>0.11111111111111112</c:v>
                </c:pt>
                <c:pt idx="7">
                  <c:v>0.11111111111111112</c:v>
                </c:pt>
                <c:pt idx="8">
                  <c:v>0.11111111111111112</c:v>
                </c:pt>
                <c:pt idx="9">
                  <c:v>0.11111111111111112</c:v>
                </c:pt>
                <c:pt idx="10">
                  <c:v>0.11111111111111112</c:v>
                </c:pt>
                <c:pt idx="11">
                  <c:v>0.11111111111111112</c:v>
                </c:pt>
                <c:pt idx="12">
                  <c:v>0.11111111111111112</c:v>
                </c:pt>
                <c:pt idx="13">
                  <c:v>0.11111111111111112</c:v>
                </c:pt>
                <c:pt idx="14">
                  <c:v>0.11111111111111112</c:v>
                </c:pt>
                <c:pt idx="15">
                  <c:v>0.11111111111111112</c:v>
                </c:pt>
                <c:pt idx="16">
                  <c:v>0.11111111111111112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6-4494-AFAD-B4E5ECF4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'18'!$D$6:$D$22</c:f>
              <c:strCache>
                <c:ptCount val="16"/>
                <c:pt idx="4">
                  <c:v>LEAD GUIDE</c:v>
                </c:pt>
                <c:pt idx="5">
                  <c:v>ACTUATOR</c:v>
                </c:pt>
                <c:pt idx="6">
                  <c:v>HINGE</c:v>
                </c:pt>
                <c:pt idx="7">
                  <c:v>SLIDER</c:v>
                </c:pt>
                <c:pt idx="8">
                  <c:v>BODY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SEPARATOR</c:v>
                </c:pt>
                <c:pt idx="15">
                  <c:v>JOINT</c:v>
                </c:pt>
              </c:strCache>
            </c:strRef>
          </c:cat>
          <c:val>
            <c:numRef>
              <c:f>'18'!$L$6:$L$22</c:f>
              <c:numCache>
                <c:formatCode>_(* #,##0_);_(* \(#,##0\);_(* "-"_);_(@_)</c:formatCode>
                <c:ptCount val="17"/>
                <c:pt idx="2">
                  <c:v>1016</c:v>
                </c:pt>
                <c:pt idx="3">
                  <c:v>540</c:v>
                </c:pt>
                <c:pt idx="4">
                  <c:v>227</c:v>
                </c:pt>
                <c:pt idx="5">
                  <c:v>485</c:v>
                </c:pt>
                <c:pt idx="9">
                  <c:v>1615</c:v>
                </c:pt>
                <c:pt idx="12">
                  <c:v>4140</c:v>
                </c:pt>
                <c:pt idx="15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9-4F06-8F6E-6D2255140C2D}"/>
            </c:ext>
          </c:extLst>
        </c:ser>
        <c:ser>
          <c:idx val="1"/>
          <c:order val="1"/>
          <c:tx>
            <c:v>계획</c:v>
          </c:tx>
          <c:cat>
            <c:strRef>
              <c:f>'18'!$D$6:$D$22</c:f>
              <c:strCache>
                <c:ptCount val="16"/>
                <c:pt idx="4">
                  <c:v>LEAD GUIDE</c:v>
                </c:pt>
                <c:pt idx="5">
                  <c:v>ACTUATOR</c:v>
                </c:pt>
                <c:pt idx="6">
                  <c:v>HINGE</c:v>
                </c:pt>
                <c:pt idx="7">
                  <c:v>SLIDER</c:v>
                </c:pt>
                <c:pt idx="8">
                  <c:v>BODY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SEPARATOR</c:v>
                </c:pt>
                <c:pt idx="15">
                  <c:v>JOINT</c:v>
                </c:pt>
              </c:strCache>
            </c:strRef>
          </c:cat>
          <c:val>
            <c:numRef>
              <c:f>'18'!$J$6:$J$22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1016</c:v>
                </c:pt>
                <c:pt idx="3">
                  <c:v>540</c:v>
                </c:pt>
                <c:pt idx="4">
                  <c:v>227</c:v>
                </c:pt>
                <c:pt idx="5">
                  <c:v>485</c:v>
                </c:pt>
                <c:pt idx="6">
                  <c:v>1577</c:v>
                </c:pt>
                <c:pt idx="7">
                  <c:v>2357</c:v>
                </c:pt>
                <c:pt idx="8">
                  <c:v>2290</c:v>
                </c:pt>
                <c:pt idx="9">
                  <c:v>1615</c:v>
                </c:pt>
                <c:pt idx="10">
                  <c:v>1068</c:v>
                </c:pt>
                <c:pt idx="11">
                  <c:v>7454</c:v>
                </c:pt>
                <c:pt idx="12">
                  <c:v>4140</c:v>
                </c:pt>
                <c:pt idx="13">
                  <c:v>300</c:v>
                </c:pt>
                <c:pt idx="14">
                  <c:v>3302</c:v>
                </c:pt>
                <c:pt idx="15">
                  <c:v>410</c:v>
                </c:pt>
                <c:pt idx="16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9-4F06-8F6E-6D2255140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17%</c:v>
                </c:pt>
                <c:pt idx="4">
                  <c:v>8%</c:v>
                </c:pt>
                <c:pt idx="5">
                  <c:v>13%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42%</c:v>
                </c:pt>
                <c:pt idx="10">
                  <c:v>0%</c:v>
                </c:pt>
                <c:pt idx="11">
                  <c:v>0%</c:v>
                </c:pt>
                <c:pt idx="12">
                  <c:v>46%</c:v>
                </c:pt>
                <c:pt idx="13">
                  <c:v>0%</c:v>
                </c:pt>
                <c:pt idx="14">
                  <c:v>0%</c:v>
                </c:pt>
                <c:pt idx="15">
                  <c:v>17%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'18'!$D$6:$D$22</c:f>
              <c:strCache>
                <c:ptCount val="16"/>
                <c:pt idx="4">
                  <c:v>LEAD GUIDE</c:v>
                </c:pt>
                <c:pt idx="5">
                  <c:v>ACTUATOR</c:v>
                </c:pt>
                <c:pt idx="6">
                  <c:v>HINGE</c:v>
                </c:pt>
                <c:pt idx="7">
                  <c:v>SLIDER</c:v>
                </c:pt>
                <c:pt idx="8">
                  <c:v>BODY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SEPARATOR</c:v>
                </c:pt>
                <c:pt idx="15">
                  <c:v>JOINT</c:v>
                </c:pt>
              </c:strCache>
            </c:strRef>
          </c:cat>
          <c:val>
            <c:numRef>
              <c:f>'18'!$AD$6:$AD$22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0.16666666666666666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0.41666666666666669</c:v>
                </c:pt>
                <c:pt idx="10">
                  <c:v>0</c:v>
                </c:pt>
                <c:pt idx="11">
                  <c:v>0</c:v>
                </c:pt>
                <c:pt idx="12">
                  <c:v>0.45833333333333331</c:v>
                </c:pt>
                <c:pt idx="13">
                  <c:v>0</c:v>
                </c:pt>
                <c:pt idx="14">
                  <c:v>0</c:v>
                </c:pt>
                <c:pt idx="15">
                  <c:v>0.16666666666666666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3-40CF-966D-7DE889A6D60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63-40CF-966D-7DE889A6D6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'18'!$D$6:$D$22</c:f>
              <c:strCache>
                <c:ptCount val="16"/>
                <c:pt idx="4">
                  <c:v>LEAD GUIDE</c:v>
                </c:pt>
                <c:pt idx="5">
                  <c:v>ACTUATOR</c:v>
                </c:pt>
                <c:pt idx="6">
                  <c:v>HINGE</c:v>
                </c:pt>
                <c:pt idx="7">
                  <c:v>SLIDER</c:v>
                </c:pt>
                <c:pt idx="8">
                  <c:v>BODY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SEPARATOR</c:v>
                </c:pt>
                <c:pt idx="15">
                  <c:v>JOINT</c:v>
                </c:pt>
              </c:strCache>
            </c:strRef>
          </c:cat>
          <c:val>
            <c:numRef>
              <c:f>'18'!$AE$6:$AE$22</c:f>
              <c:numCache>
                <c:formatCode>0%</c:formatCode>
                <c:ptCount val="17"/>
                <c:pt idx="0">
                  <c:v>0.11111111111111112</c:v>
                </c:pt>
                <c:pt idx="1">
                  <c:v>0.11111111111111112</c:v>
                </c:pt>
                <c:pt idx="2">
                  <c:v>0.11111111111111112</c:v>
                </c:pt>
                <c:pt idx="3">
                  <c:v>0.11111111111111112</c:v>
                </c:pt>
                <c:pt idx="4">
                  <c:v>0.11111111111111112</c:v>
                </c:pt>
                <c:pt idx="5">
                  <c:v>0.16666666666666666</c:v>
                </c:pt>
                <c:pt idx="6">
                  <c:v>0.11111111111111112</c:v>
                </c:pt>
                <c:pt idx="7">
                  <c:v>0.11111111111111112</c:v>
                </c:pt>
                <c:pt idx="8">
                  <c:v>0.11111111111111112</c:v>
                </c:pt>
                <c:pt idx="9">
                  <c:v>0.11111111111111112</c:v>
                </c:pt>
                <c:pt idx="10">
                  <c:v>0.11111111111111112</c:v>
                </c:pt>
                <c:pt idx="11">
                  <c:v>0.11111111111111112</c:v>
                </c:pt>
                <c:pt idx="12">
                  <c:v>0.11111111111111112</c:v>
                </c:pt>
                <c:pt idx="13">
                  <c:v>0.11111111111111112</c:v>
                </c:pt>
                <c:pt idx="14">
                  <c:v>0.11111111111111112</c:v>
                </c:pt>
                <c:pt idx="15">
                  <c:v>0.11111111111111112</c:v>
                </c:pt>
                <c:pt idx="16">
                  <c:v>0.11111111111111112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3-40CF-966D-7DE889A6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464-4B5D-B2AE-8098AEC900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4-4B5D-B2AE-8098AEC9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64-4B5D-B2AE-8098AEC900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4-4B5D-B2AE-8098AEC9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2">
                  <c:v>4583</c:v>
                </c:pt>
                <c:pt idx="3">
                  <c:v>2320</c:v>
                </c:pt>
                <c:pt idx="6">
                  <c:v>1081</c:v>
                </c:pt>
                <c:pt idx="7">
                  <c:v>5006</c:v>
                </c:pt>
                <c:pt idx="10">
                  <c:v>6912</c:v>
                </c:pt>
                <c:pt idx="11">
                  <c:v>406</c:v>
                </c:pt>
                <c:pt idx="12">
                  <c:v>10176</c:v>
                </c:pt>
                <c:pt idx="13">
                  <c:v>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A-450D-94B0-76B9337A425B}"/>
            </c:ext>
          </c:extLst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4583</c:v>
                </c:pt>
                <c:pt idx="3">
                  <c:v>2320</c:v>
                </c:pt>
                <c:pt idx="4">
                  <c:v>1577</c:v>
                </c:pt>
                <c:pt idx="5">
                  <c:v>2357</c:v>
                </c:pt>
                <c:pt idx="6">
                  <c:v>1081</c:v>
                </c:pt>
                <c:pt idx="7">
                  <c:v>5006</c:v>
                </c:pt>
                <c:pt idx="8">
                  <c:v>1068</c:v>
                </c:pt>
                <c:pt idx="9">
                  <c:v>7454</c:v>
                </c:pt>
                <c:pt idx="10">
                  <c:v>6912</c:v>
                </c:pt>
                <c:pt idx="11">
                  <c:v>406</c:v>
                </c:pt>
                <c:pt idx="12">
                  <c:v>10176</c:v>
                </c:pt>
                <c:pt idx="13">
                  <c:v>8312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A-450D-94B0-76B9337A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58%</c:v>
                </c:pt>
                <c:pt idx="4">
                  <c:v>0%</c:v>
                </c:pt>
                <c:pt idx="5">
                  <c:v>0%</c:v>
                </c:pt>
                <c:pt idx="6">
                  <c:v>42%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71%</c:v>
                </c:pt>
                <c:pt idx="11">
                  <c:v>17%</c:v>
                </c:pt>
                <c:pt idx="12">
                  <c:v>92%</c:v>
                </c:pt>
                <c:pt idx="13">
                  <c:v>92%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0.58333333333333337</c:v>
                </c:pt>
                <c:pt idx="4">
                  <c:v>0</c:v>
                </c:pt>
                <c:pt idx="5">
                  <c:v>0</c:v>
                </c:pt>
                <c:pt idx="6">
                  <c:v>0.41666666666666669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0.70833333333333337</c:v>
                </c:pt>
                <c:pt idx="11">
                  <c:v>0.16666666666666666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3-4AF9-9070-11E20FF38CC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C3-4AF9-9070-11E20FF38CC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0.38055555555555559</c:v>
                </c:pt>
                <c:pt idx="1">
                  <c:v>0.38055555555555559</c:v>
                </c:pt>
                <c:pt idx="2">
                  <c:v>0.38055555555555559</c:v>
                </c:pt>
                <c:pt idx="3">
                  <c:v>0.38055555555555559</c:v>
                </c:pt>
                <c:pt idx="4">
                  <c:v>0.38055555555555559</c:v>
                </c:pt>
                <c:pt idx="5">
                  <c:v>0.38055555555555559</c:v>
                </c:pt>
                <c:pt idx="6">
                  <c:v>0.38055555555555559</c:v>
                </c:pt>
                <c:pt idx="7">
                  <c:v>0.38055555555555559</c:v>
                </c:pt>
                <c:pt idx="8">
                  <c:v>0.38055555555555559</c:v>
                </c:pt>
                <c:pt idx="9">
                  <c:v>0.38055555555555559</c:v>
                </c:pt>
                <c:pt idx="10">
                  <c:v>0.38055555555555559</c:v>
                </c:pt>
                <c:pt idx="11">
                  <c:v>0.38055555555555559</c:v>
                </c:pt>
                <c:pt idx="12">
                  <c:v>0.38055555555555559</c:v>
                </c:pt>
                <c:pt idx="13">
                  <c:v>0.38055555555555559</c:v>
                </c:pt>
                <c:pt idx="14">
                  <c:v>0.38055555555555559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3-4AF9-9070-11E20FF3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13%</c:v>
                </c:pt>
                <c:pt idx="4">
                  <c:v>17%</c:v>
                </c:pt>
                <c:pt idx="5">
                  <c:v>0%</c:v>
                </c:pt>
                <c:pt idx="6">
                  <c:v>0%</c:v>
                </c:pt>
                <c:pt idx="7">
                  <c:v>79%</c:v>
                </c:pt>
                <c:pt idx="8">
                  <c:v>38%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33%</c:v>
                </c:pt>
                <c:pt idx="13">
                  <c:v>100%</c:v>
                </c:pt>
                <c:pt idx="14">
                  <c:v>88%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'01'!$D$6:$D$21</c:f>
              <c:strCache>
                <c:ptCount val="15"/>
                <c:pt idx="2">
                  <c:v>LATCH</c:v>
                </c:pt>
                <c:pt idx="3">
                  <c:v>GUIDE</c:v>
                </c:pt>
                <c:pt idx="4">
                  <c:v>LATCH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</c:v>
                </c:pt>
              </c:strCache>
            </c:strRef>
          </c:cat>
          <c:val>
            <c:numRef>
              <c:f>'01'!$AD$6:$AD$21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</c:v>
                </c:pt>
                <c:pt idx="6">
                  <c:v>0</c:v>
                </c:pt>
                <c:pt idx="7">
                  <c:v>0.79166666666666663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0.33333333333333331</c:v>
                </c:pt>
                <c:pt idx="13">
                  <c:v>1</c:v>
                </c:pt>
                <c:pt idx="14">
                  <c:v>0.875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B-42F9-A717-2A32105620F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2B-42F9-A717-2A32105620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'01'!$D$6:$D$21</c:f>
              <c:strCache>
                <c:ptCount val="15"/>
                <c:pt idx="2">
                  <c:v>LATCH</c:v>
                </c:pt>
                <c:pt idx="3">
                  <c:v>GUIDE</c:v>
                </c:pt>
                <c:pt idx="4">
                  <c:v>LATCH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</c:v>
                </c:pt>
              </c:strCache>
            </c:strRef>
          </c:cat>
          <c:val>
            <c:numRef>
              <c:f>'01'!$AE$6:$AE$21</c:f>
              <c:numCache>
                <c:formatCode>0%</c:formatCode>
                <c:ptCount val="16"/>
                <c:pt idx="0">
                  <c:v>0.37777777777777782</c:v>
                </c:pt>
                <c:pt idx="1">
                  <c:v>0.37777777777777782</c:v>
                </c:pt>
                <c:pt idx="2">
                  <c:v>0.37777777777777782</c:v>
                </c:pt>
                <c:pt idx="3">
                  <c:v>0.37777777777777782</c:v>
                </c:pt>
                <c:pt idx="4">
                  <c:v>0.37777777777777782</c:v>
                </c:pt>
                <c:pt idx="5">
                  <c:v>0.37777777777777782</c:v>
                </c:pt>
                <c:pt idx="6">
                  <c:v>0.37777777777777782</c:v>
                </c:pt>
                <c:pt idx="7">
                  <c:v>0.37777777777777782</c:v>
                </c:pt>
                <c:pt idx="8">
                  <c:v>0.37777777777777782</c:v>
                </c:pt>
                <c:pt idx="9">
                  <c:v>0.37777777777777782</c:v>
                </c:pt>
                <c:pt idx="10">
                  <c:v>0.37777777777777782</c:v>
                </c:pt>
                <c:pt idx="11">
                  <c:v>0.37777777777777782</c:v>
                </c:pt>
                <c:pt idx="12">
                  <c:v>0.37777777777777782</c:v>
                </c:pt>
                <c:pt idx="13">
                  <c:v>0.37777777777777782</c:v>
                </c:pt>
                <c:pt idx="14">
                  <c:v>0.37777777777777782</c:v>
                </c:pt>
                <c:pt idx="15">
                  <c:v>0.37777777777777782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B-42F9-A717-2A321056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2">
                  <c:v>4583</c:v>
                </c:pt>
                <c:pt idx="3">
                  <c:v>2320</c:v>
                </c:pt>
                <c:pt idx="6">
                  <c:v>1081</c:v>
                </c:pt>
                <c:pt idx="7">
                  <c:v>5006</c:v>
                </c:pt>
                <c:pt idx="10">
                  <c:v>6912</c:v>
                </c:pt>
                <c:pt idx="11">
                  <c:v>406</c:v>
                </c:pt>
                <c:pt idx="12">
                  <c:v>10176</c:v>
                </c:pt>
                <c:pt idx="13">
                  <c:v>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A-40F7-8D18-0A38847E1903}"/>
            </c:ext>
          </c:extLst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4583</c:v>
                </c:pt>
                <c:pt idx="3">
                  <c:v>2320</c:v>
                </c:pt>
                <c:pt idx="4">
                  <c:v>1577</c:v>
                </c:pt>
                <c:pt idx="5">
                  <c:v>2357</c:v>
                </c:pt>
                <c:pt idx="6">
                  <c:v>1081</c:v>
                </c:pt>
                <c:pt idx="7">
                  <c:v>5006</c:v>
                </c:pt>
                <c:pt idx="8">
                  <c:v>1068</c:v>
                </c:pt>
                <c:pt idx="9">
                  <c:v>7454</c:v>
                </c:pt>
                <c:pt idx="10">
                  <c:v>6912</c:v>
                </c:pt>
                <c:pt idx="11">
                  <c:v>406</c:v>
                </c:pt>
                <c:pt idx="12">
                  <c:v>10176</c:v>
                </c:pt>
                <c:pt idx="13">
                  <c:v>8312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A-40F7-8D18-0A38847E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58%</c:v>
                </c:pt>
                <c:pt idx="4">
                  <c:v>0%</c:v>
                </c:pt>
                <c:pt idx="5">
                  <c:v>0%</c:v>
                </c:pt>
                <c:pt idx="6">
                  <c:v>42%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71%</c:v>
                </c:pt>
                <c:pt idx="11">
                  <c:v>17%</c:v>
                </c:pt>
                <c:pt idx="12">
                  <c:v>92%</c:v>
                </c:pt>
                <c:pt idx="13">
                  <c:v>92%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0.58333333333333337</c:v>
                </c:pt>
                <c:pt idx="4">
                  <c:v>0</c:v>
                </c:pt>
                <c:pt idx="5">
                  <c:v>0</c:v>
                </c:pt>
                <c:pt idx="6">
                  <c:v>0.41666666666666669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0.70833333333333337</c:v>
                </c:pt>
                <c:pt idx="11">
                  <c:v>0.16666666666666666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C-4B55-BAE2-68315899757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DC-4B55-BAE2-6831589975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3">
                  <c:v>SLIDER</c:v>
                </c:pt>
                <c:pt idx="4">
                  <c:v>HINGE</c:v>
                </c:pt>
                <c:pt idx="5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0.38055555555555559</c:v>
                </c:pt>
                <c:pt idx="1">
                  <c:v>0.38055555555555559</c:v>
                </c:pt>
                <c:pt idx="2">
                  <c:v>0.38055555555555559</c:v>
                </c:pt>
                <c:pt idx="3">
                  <c:v>0.38055555555555559</c:v>
                </c:pt>
                <c:pt idx="4">
                  <c:v>0.38055555555555559</c:v>
                </c:pt>
                <c:pt idx="5">
                  <c:v>0.38055555555555559</c:v>
                </c:pt>
                <c:pt idx="6">
                  <c:v>0.38055555555555559</c:v>
                </c:pt>
                <c:pt idx="7">
                  <c:v>0.38055555555555559</c:v>
                </c:pt>
                <c:pt idx="8">
                  <c:v>0.38055555555555559</c:v>
                </c:pt>
                <c:pt idx="9">
                  <c:v>0.38055555555555559</c:v>
                </c:pt>
                <c:pt idx="10">
                  <c:v>0.38055555555555559</c:v>
                </c:pt>
                <c:pt idx="11">
                  <c:v>0.38055555555555559</c:v>
                </c:pt>
                <c:pt idx="12">
                  <c:v>0.38055555555555559</c:v>
                </c:pt>
                <c:pt idx="13">
                  <c:v>0.38055555555555559</c:v>
                </c:pt>
                <c:pt idx="14">
                  <c:v>0.38055555555555559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C-4B55-BAE2-68315899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70F-46E4-80AF-713EAFE66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F-46E4-80AF-713EAFE6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0F-46E4-80AF-713EAFE66B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F-46E4-80AF-713EAFE6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'23'!$D$6:$D$22</c:f>
              <c:strCache>
                <c:ptCount val="16"/>
                <c:pt idx="2">
                  <c:v>PUSHER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LID/PLATE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STOPPER</c:v>
                </c:pt>
                <c:pt idx="14">
                  <c:v>LEAD GUIDE</c:v>
                </c:pt>
                <c:pt idx="15">
                  <c:v>BASE</c:v>
                </c:pt>
              </c:strCache>
            </c:strRef>
          </c:cat>
          <c:val>
            <c:numRef>
              <c:f>'23'!$L$6:$L$22</c:f>
              <c:numCache>
                <c:formatCode>_(* #,##0_);_(* \(#,##0\);_(* "-"_);_(@_)</c:formatCode>
                <c:ptCount val="17"/>
                <c:pt idx="2">
                  <c:v>1687</c:v>
                </c:pt>
                <c:pt idx="3">
                  <c:v>4225</c:v>
                </c:pt>
                <c:pt idx="4">
                  <c:v>174432</c:v>
                </c:pt>
                <c:pt idx="6">
                  <c:v>1805</c:v>
                </c:pt>
                <c:pt idx="7">
                  <c:v>1560</c:v>
                </c:pt>
                <c:pt idx="8">
                  <c:v>5081</c:v>
                </c:pt>
                <c:pt idx="13">
                  <c:v>4414</c:v>
                </c:pt>
                <c:pt idx="14">
                  <c:v>3098</c:v>
                </c:pt>
                <c:pt idx="15">
                  <c:v>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F-4BAA-9EDA-544986887FAF}"/>
            </c:ext>
          </c:extLst>
        </c:ser>
        <c:ser>
          <c:idx val="1"/>
          <c:order val="1"/>
          <c:tx>
            <c:v>계획</c:v>
          </c:tx>
          <c:cat>
            <c:strRef>
              <c:f>'23'!$D$6:$D$22</c:f>
              <c:strCache>
                <c:ptCount val="16"/>
                <c:pt idx="2">
                  <c:v>PUSHER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LID/PLATE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STOPPER</c:v>
                </c:pt>
                <c:pt idx="14">
                  <c:v>LEAD GUIDE</c:v>
                </c:pt>
                <c:pt idx="15">
                  <c:v>BASE</c:v>
                </c:pt>
              </c:strCache>
            </c:strRef>
          </c:cat>
          <c:val>
            <c:numRef>
              <c:f>'23'!$J$6:$J$22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1687</c:v>
                </c:pt>
                <c:pt idx="3">
                  <c:v>4225</c:v>
                </c:pt>
                <c:pt idx="4">
                  <c:v>174432</c:v>
                </c:pt>
                <c:pt idx="5">
                  <c:v>2357</c:v>
                </c:pt>
                <c:pt idx="6">
                  <c:v>1805</c:v>
                </c:pt>
                <c:pt idx="7">
                  <c:v>1560</c:v>
                </c:pt>
                <c:pt idx="8">
                  <c:v>5081</c:v>
                </c:pt>
                <c:pt idx="9">
                  <c:v>1068</c:v>
                </c:pt>
                <c:pt idx="10">
                  <c:v>7454</c:v>
                </c:pt>
                <c:pt idx="11">
                  <c:v>6912</c:v>
                </c:pt>
                <c:pt idx="12">
                  <c:v>406</c:v>
                </c:pt>
                <c:pt idx="13">
                  <c:v>4414</c:v>
                </c:pt>
                <c:pt idx="14">
                  <c:v>3098</c:v>
                </c:pt>
                <c:pt idx="15">
                  <c:v>9100</c:v>
                </c:pt>
                <c:pt idx="16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F-4BAA-9EDA-544986887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46%</c:v>
                </c:pt>
                <c:pt idx="3">
                  <c:v>88%</c:v>
                </c:pt>
                <c:pt idx="4">
                  <c:v>92%</c:v>
                </c:pt>
                <c:pt idx="5">
                  <c:v>0%</c:v>
                </c:pt>
                <c:pt idx="6">
                  <c:v>42%</c:v>
                </c:pt>
                <c:pt idx="7">
                  <c:v>38%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42%</c:v>
                </c:pt>
                <c:pt idx="14">
                  <c:v>54%</c:v>
                </c:pt>
                <c:pt idx="15">
                  <c:v>100%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'23'!$D$6:$D$22</c:f>
              <c:strCache>
                <c:ptCount val="16"/>
                <c:pt idx="2">
                  <c:v>PUSHER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LID/PLATE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STOPPER</c:v>
                </c:pt>
                <c:pt idx="14">
                  <c:v>LEAD GUIDE</c:v>
                </c:pt>
                <c:pt idx="15">
                  <c:v>BASE</c:v>
                </c:pt>
              </c:strCache>
            </c:strRef>
          </c:cat>
          <c:val>
            <c:numRef>
              <c:f>'23'!$AD$6:$AD$22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</c:v>
                </c:pt>
                <c:pt idx="6">
                  <c:v>0.41666666666666669</c:v>
                </c:pt>
                <c:pt idx="7">
                  <c:v>0.375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0.41666666666666669</c:v>
                </c:pt>
                <c:pt idx="14">
                  <c:v>0.54166666666666663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E-47EB-97E6-236648F4BE7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2E-47EB-97E6-236648F4BE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'23'!$D$6:$D$22</c:f>
              <c:strCache>
                <c:ptCount val="16"/>
                <c:pt idx="2">
                  <c:v>PUSHER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LID/PLATE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STOPPER</c:v>
                </c:pt>
                <c:pt idx="14">
                  <c:v>LEAD GUIDE</c:v>
                </c:pt>
                <c:pt idx="15">
                  <c:v>BASE</c:v>
                </c:pt>
              </c:strCache>
            </c:strRef>
          </c:cat>
          <c:val>
            <c:numRef>
              <c:f>'23'!$AE$6:$AE$22</c:f>
              <c:numCache>
                <c:formatCode>0%</c:formatCode>
                <c:ptCount val="1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E-47EB-97E6-236648F4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'23'!$D$6:$D$22</c:f>
              <c:strCache>
                <c:ptCount val="16"/>
                <c:pt idx="2">
                  <c:v>PUSHER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LID/PLATE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STOPPER</c:v>
                </c:pt>
                <c:pt idx="14">
                  <c:v>LEAD GUIDE</c:v>
                </c:pt>
                <c:pt idx="15">
                  <c:v>BASE</c:v>
                </c:pt>
              </c:strCache>
            </c:strRef>
          </c:cat>
          <c:val>
            <c:numRef>
              <c:f>'23'!$L$6:$L$22</c:f>
              <c:numCache>
                <c:formatCode>_(* #,##0_);_(* \(#,##0\);_(* "-"_);_(@_)</c:formatCode>
                <c:ptCount val="17"/>
                <c:pt idx="2">
                  <c:v>1687</c:v>
                </c:pt>
                <c:pt idx="3">
                  <c:v>4225</c:v>
                </c:pt>
                <c:pt idx="4">
                  <c:v>174432</c:v>
                </c:pt>
                <c:pt idx="6">
                  <c:v>1805</c:v>
                </c:pt>
                <c:pt idx="7">
                  <c:v>1560</c:v>
                </c:pt>
                <c:pt idx="8">
                  <c:v>5081</c:v>
                </c:pt>
                <c:pt idx="13">
                  <c:v>4414</c:v>
                </c:pt>
                <c:pt idx="14">
                  <c:v>3098</c:v>
                </c:pt>
                <c:pt idx="15">
                  <c:v>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B-49B0-B48D-6ADC6CBAF080}"/>
            </c:ext>
          </c:extLst>
        </c:ser>
        <c:ser>
          <c:idx val="1"/>
          <c:order val="1"/>
          <c:tx>
            <c:v>계획</c:v>
          </c:tx>
          <c:cat>
            <c:strRef>
              <c:f>'23'!$D$6:$D$22</c:f>
              <c:strCache>
                <c:ptCount val="16"/>
                <c:pt idx="2">
                  <c:v>PUSHER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LID/PLATE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STOPPER</c:v>
                </c:pt>
                <c:pt idx="14">
                  <c:v>LEAD GUIDE</c:v>
                </c:pt>
                <c:pt idx="15">
                  <c:v>BASE</c:v>
                </c:pt>
              </c:strCache>
            </c:strRef>
          </c:cat>
          <c:val>
            <c:numRef>
              <c:f>'23'!$J$6:$J$22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1687</c:v>
                </c:pt>
                <c:pt idx="3">
                  <c:v>4225</c:v>
                </c:pt>
                <c:pt idx="4">
                  <c:v>174432</c:v>
                </c:pt>
                <c:pt idx="5">
                  <c:v>2357</c:v>
                </c:pt>
                <c:pt idx="6">
                  <c:v>1805</c:v>
                </c:pt>
                <c:pt idx="7">
                  <c:v>1560</c:v>
                </c:pt>
                <c:pt idx="8">
                  <c:v>5081</c:v>
                </c:pt>
                <c:pt idx="9">
                  <c:v>1068</c:v>
                </c:pt>
                <c:pt idx="10">
                  <c:v>7454</c:v>
                </c:pt>
                <c:pt idx="11">
                  <c:v>6912</c:v>
                </c:pt>
                <c:pt idx="12">
                  <c:v>406</c:v>
                </c:pt>
                <c:pt idx="13">
                  <c:v>4414</c:v>
                </c:pt>
                <c:pt idx="14">
                  <c:v>3098</c:v>
                </c:pt>
                <c:pt idx="15">
                  <c:v>9100</c:v>
                </c:pt>
                <c:pt idx="16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B-49B0-B48D-6ADC6CBA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46%</c:v>
                </c:pt>
                <c:pt idx="3">
                  <c:v>88%</c:v>
                </c:pt>
                <c:pt idx="4">
                  <c:v>92%</c:v>
                </c:pt>
                <c:pt idx="5">
                  <c:v>0%</c:v>
                </c:pt>
                <c:pt idx="6">
                  <c:v>42%</c:v>
                </c:pt>
                <c:pt idx="7">
                  <c:v>38%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42%</c:v>
                </c:pt>
                <c:pt idx="14">
                  <c:v>54%</c:v>
                </c:pt>
                <c:pt idx="15">
                  <c:v>100%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'23'!$D$6:$D$22</c:f>
              <c:strCache>
                <c:ptCount val="16"/>
                <c:pt idx="2">
                  <c:v>PUSHER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LID/PLATE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STOPPER</c:v>
                </c:pt>
                <c:pt idx="14">
                  <c:v>LEAD GUIDE</c:v>
                </c:pt>
                <c:pt idx="15">
                  <c:v>BASE</c:v>
                </c:pt>
              </c:strCache>
            </c:strRef>
          </c:cat>
          <c:val>
            <c:numRef>
              <c:f>'23'!$AD$6:$AD$22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</c:v>
                </c:pt>
                <c:pt idx="6">
                  <c:v>0.41666666666666669</c:v>
                </c:pt>
                <c:pt idx="7">
                  <c:v>0.375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0.41666666666666669</c:v>
                </c:pt>
                <c:pt idx="14">
                  <c:v>0.54166666666666663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B-433A-B9EF-4314A54CF12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5B-433A-B9EF-4314A54CF1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'23'!$D$6:$D$22</c:f>
              <c:strCache>
                <c:ptCount val="16"/>
                <c:pt idx="2">
                  <c:v>PUSHER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LID/PLATE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STOPPER</c:v>
                </c:pt>
                <c:pt idx="14">
                  <c:v>LEAD GUIDE</c:v>
                </c:pt>
                <c:pt idx="15">
                  <c:v>BASE</c:v>
                </c:pt>
              </c:strCache>
            </c:strRef>
          </c:cat>
          <c:val>
            <c:numRef>
              <c:f>'23'!$AE$6:$AE$22</c:f>
              <c:numCache>
                <c:formatCode>0%</c:formatCode>
                <c:ptCount val="1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B-433A-B9EF-4314A54C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840-42CD-8C0A-C29104322F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0-42CD-8C0A-C2910432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40-42CD-8C0A-C29104322F2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0-42CD-8C0A-C2910432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'24'!$D$6:$D$23</c:f>
              <c:strCache>
                <c:ptCount val="17"/>
                <c:pt idx="2">
                  <c:v>PUSHER</c:v>
                </c:pt>
                <c:pt idx="3">
                  <c:v>SLIDER</c:v>
                </c:pt>
                <c:pt idx="4">
                  <c:v>ACTUATOR</c:v>
                </c:pt>
                <c:pt idx="5">
                  <c:v>SHAFT</c:v>
                </c:pt>
                <c:pt idx="6">
                  <c:v>SHAFT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  <c:pt idx="16">
                  <c:v>LEAD GUIDE</c:v>
                </c:pt>
              </c:strCache>
            </c:strRef>
          </c:cat>
          <c:val>
            <c:numRef>
              <c:f>'24'!$L$6:$L$23</c:f>
              <c:numCache>
                <c:formatCode>_(* #,##0_);_(* \(#,##0\);_(* "-"_);_(@_)</c:formatCode>
                <c:ptCount val="18"/>
                <c:pt idx="3">
                  <c:v>1451</c:v>
                </c:pt>
                <c:pt idx="4">
                  <c:v>3070</c:v>
                </c:pt>
                <c:pt idx="5">
                  <c:v>44736</c:v>
                </c:pt>
                <c:pt idx="6">
                  <c:v>42304</c:v>
                </c:pt>
                <c:pt idx="8">
                  <c:v>3050</c:v>
                </c:pt>
                <c:pt idx="14">
                  <c:v>3906</c:v>
                </c:pt>
                <c:pt idx="15">
                  <c:v>1423</c:v>
                </c:pt>
                <c:pt idx="16">
                  <c:v>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2-413C-9939-7F23992B0B59}"/>
            </c:ext>
          </c:extLst>
        </c:ser>
        <c:ser>
          <c:idx val="1"/>
          <c:order val="1"/>
          <c:tx>
            <c:v>계획</c:v>
          </c:tx>
          <c:cat>
            <c:strRef>
              <c:f>'24'!$D$6:$D$23</c:f>
              <c:strCache>
                <c:ptCount val="17"/>
                <c:pt idx="2">
                  <c:v>PUSHER</c:v>
                </c:pt>
                <c:pt idx="3">
                  <c:v>SLIDER</c:v>
                </c:pt>
                <c:pt idx="4">
                  <c:v>ACTUATOR</c:v>
                </c:pt>
                <c:pt idx="5">
                  <c:v>SHAFT</c:v>
                </c:pt>
                <c:pt idx="6">
                  <c:v>SHAFT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  <c:pt idx="16">
                  <c:v>LEAD GUIDE</c:v>
                </c:pt>
              </c:strCache>
            </c:strRef>
          </c:cat>
          <c:val>
            <c:numRef>
              <c:f>'24'!$J$6:$J$23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1687</c:v>
                </c:pt>
                <c:pt idx="3">
                  <c:v>1451</c:v>
                </c:pt>
                <c:pt idx="4">
                  <c:v>3070</c:v>
                </c:pt>
                <c:pt idx="5">
                  <c:v>44800</c:v>
                </c:pt>
                <c:pt idx="6">
                  <c:v>42304</c:v>
                </c:pt>
                <c:pt idx="7">
                  <c:v>2357</c:v>
                </c:pt>
                <c:pt idx="8">
                  <c:v>3050</c:v>
                </c:pt>
                <c:pt idx="9">
                  <c:v>5081</c:v>
                </c:pt>
                <c:pt idx="10">
                  <c:v>1068</c:v>
                </c:pt>
                <c:pt idx="11">
                  <c:v>7454</c:v>
                </c:pt>
                <c:pt idx="12">
                  <c:v>6912</c:v>
                </c:pt>
                <c:pt idx="13">
                  <c:v>406</c:v>
                </c:pt>
                <c:pt idx="14">
                  <c:v>3906</c:v>
                </c:pt>
                <c:pt idx="15">
                  <c:v>1423</c:v>
                </c:pt>
                <c:pt idx="16">
                  <c:v>2390</c:v>
                </c:pt>
                <c:pt idx="17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2-413C-9939-7F23992B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'24'!$AD$6:$AD$23</c:f>
              <c:strCache>
                <c:ptCount val="18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25%</c:v>
                </c:pt>
                <c:pt idx="4">
                  <c:v>67%</c:v>
                </c:pt>
                <c:pt idx="5">
                  <c:v>29%</c:v>
                </c:pt>
                <c:pt idx="6">
                  <c:v>58%</c:v>
                </c:pt>
                <c:pt idx="7">
                  <c:v>0%</c:v>
                </c:pt>
                <c:pt idx="8">
                  <c:v>75%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79%</c:v>
                </c:pt>
                <c:pt idx="15">
                  <c:v>33%</c:v>
                </c:pt>
                <c:pt idx="16">
                  <c:v>50%</c:v>
                </c:pt>
                <c:pt idx="17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'24'!$D$6:$D$23</c:f>
              <c:strCache>
                <c:ptCount val="17"/>
                <c:pt idx="2">
                  <c:v>PUSHER</c:v>
                </c:pt>
                <c:pt idx="3">
                  <c:v>SLIDER</c:v>
                </c:pt>
                <c:pt idx="4">
                  <c:v>ACTUATOR</c:v>
                </c:pt>
                <c:pt idx="5">
                  <c:v>SHAFT</c:v>
                </c:pt>
                <c:pt idx="6">
                  <c:v>SHAFT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  <c:pt idx="16">
                  <c:v>LEAD GUIDE</c:v>
                </c:pt>
              </c:strCache>
            </c:strRef>
          </c:cat>
          <c:val>
            <c:numRef>
              <c:f>'24'!$AD$6:$AD$23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0.66666666666666663</c:v>
                </c:pt>
                <c:pt idx="5">
                  <c:v>0.29125000000000001</c:v>
                </c:pt>
                <c:pt idx="6">
                  <c:v>0.58333333333333337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0.79166666666666663</c:v>
                </c:pt>
                <c:pt idx="15">
                  <c:v>0.33333333333333331</c:v>
                </c:pt>
                <c:pt idx="16">
                  <c:v>0.5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DFD-876C-7FEFEE2A2AC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1C-4DFD-876C-7FEFEE2A2A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'24'!$D$6:$D$23</c:f>
              <c:strCache>
                <c:ptCount val="17"/>
                <c:pt idx="2">
                  <c:v>PUSHER</c:v>
                </c:pt>
                <c:pt idx="3">
                  <c:v>SLIDER</c:v>
                </c:pt>
                <c:pt idx="4">
                  <c:v>ACTUATOR</c:v>
                </c:pt>
                <c:pt idx="5">
                  <c:v>SHAFT</c:v>
                </c:pt>
                <c:pt idx="6">
                  <c:v>SHAFT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  <c:pt idx="16">
                  <c:v>LEAD GUIDE</c:v>
                </c:pt>
              </c:strCache>
            </c:strRef>
          </c:cat>
          <c:val>
            <c:numRef>
              <c:f>'24'!$AE$6:$AE$23</c:f>
              <c:numCache>
                <c:formatCode>0%</c:formatCode>
                <c:ptCount val="18"/>
                <c:pt idx="0">
                  <c:v>0.27775</c:v>
                </c:pt>
                <c:pt idx="1">
                  <c:v>0.27775</c:v>
                </c:pt>
                <c:pt idx="2">
                  <c:v>0.27775</c:v>
                </c:pt>
                <c:pt idx="3">
                  <c:v>0.27775</c:v>
                </c:pt>
                <c:pt idx="4">
                  <c:v>0.27775</c:v>
                </c:pt>
                <c:pt idx="5">
                  <c:v>0.27775</c:v>
                </c:pt>
                <c:pt idx="6">
                  <c:v>0.27775</c:v>
                </c:pt>
                <c:pt idx="7">
                  <c:v>0.27775</c:v>
                </c:pt>
                <c:pt idx="8">
                  <c:v>0.27775</c:v>
                </c:pt>
                <c:pt idx="9">
                  <c:v>0.27775</c:v>
                </c:pt>
                <c:pt idx="10">
                  <c:v>0.27775</c:v>
                </c:pt>
                <c:pt idx="11">
                  <c:v>0.27775</c:v>
                </c:pt>
                <c:pt idx="12">
                  <c:v>0.27775</c:v>
                </c:pt>
                <c:pt idx="13">
                  <c:v>0.27775</c:v>
                </c:pt>
                <c:pt idx="14">
                  <c:v>0.27775</c:v>
                </c:pt>
                <c:pt idx="15">
                  <c:v>0.27775</c:v>
                </c:pt>
                <c:pt idx="16">
                  <c:v>0.27775</c:v>
                </c:pt>
                <c:pt idx="17">
                  <c:v>0.27775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DFD-876C-7FEFEE2A2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E95-4D70-911C-F698C292B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5-4D70-911C-F698C292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95-4D70-911C-F698C292B6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5-4D70-911C-F698C292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'24'!$D$6:$D$23</c:f>
              <c:strCache>
                <c:ptCount val="17"/>
                <c:pt idx="2">
                  <c:v>PUSHER</c:v>
                </c:pt>
                <c:pt idx="3">
                  <c:v>SLIDER</c:v>
                </c:pt>
                <c:pt idx="4">
                  <c:v>ACTUATOR</c:v>
                </c:pt>
                <c:pt idx="5">
                  <c:v>SHAFT</c:v>
                </c:pt>
                <c:pt idx="6">
                  <c:v>SHAFT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  <c:pt idx="16">
                  <c:v>LEAD GUIDE</c:v>
                </c:pt>
              </c:strCache>
            </c:strRef>
          </c:cat>
          <c:val>
            <c:numRef>
              <c:f>'24'!$L$6:$L$23</c:f>
              <c:numCache>
                <c:formatCode>_(* #,##0_);_(* \(#,##0\);_(* "-"_);_(@_)</c:formatCode>
                <c:ptCount val="18"/>
                <c:pt idx="3">
                  <c:v>1451</c:v>
                </c:pt>
                <c:pt idx="4">
                  <c:v>3070</c:v>
                </c:pt>
                <c:pt idx="5">
                  <c:v>44736</c:v>
                </c:pt>
                <c:pt idx="6">
                  <c:v>42304</c:v>
                </c:pt>
                <c:pt idx="8">
                  <c:v>3050</c:v>
                </c:pt>
                <c:pt idx="14">
                  <c:v>3906</c:v>
                </c:pt>
                <c:pt idx="15">
                  <c:v>1423</c:v>
                </c:pt>
                <c:pt idx="16">
                  <c:v>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E-4E77-9E9D-9DA15D1145EB}"/>
            </c:ext>
          </c:extLst>
        </c:ser>
        <c:ser>
          <c:idx val="1"/>
          <c:order val="1"/>
          <c:tx>
            <c:v>계획</c:v>
          </c:tx>
          <c:cat>
            <c:strRef>
              <c:f>'24'!$D$6:$D$23</c:f>
              <c:strCache>
                <c:ptCount val="17"/>
                <c:pt idx="2">
                  <c:v>PUSHER</c:v>
                </c:pt>
                <c:pt idx="3">
                  <c:v>SLIDER</c:v>
                </c:pt>
                <c:pt idx="4">
                  <c:v>ACTUATOR</c:v>
                </c:pt>
                <c:pt idx="5">
                  <c:v>SHAFT</c:v>
                </c:pt>
                <c:pt idx="6">
                  <c:v>SHAFT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  <c:pt idx="16">
                  <c:v>LEAD GUIDE</c:v>
                </c:pt>
              </c:strCache>
            </c:strRef>
          </c:cat>
          <c:val>
            <c:numRef>
              <c:f>'24'!$J$6:$J$23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1687</c:v>
                </c:pt>
                <c:pt idx="3">
                  <c:v>1451</c:v>
                </c:pt>
                <c:pt idx="4">
                  <c:v>3070</c:v>
                </c:pt>
                <c:pt idx="5">
                  <c:v>44800</c:v>
                </c:pt>
                <c:pt idx="6">
                  <c:v>42304</c:v>
                </c:pt>
                <c:pt idx="7">
                  <c:v>2357</c:v>
                </c:pt>
                <c:pt idx="8">
                  <c:v>3050</c:v>
                </c:pt>
                <c:pt idx="9">
                  <c:v>5081</c:v>
                </c:pt>
                <c:pt idx="10">
                  <c:v>1068</c:v>
                </c:pt>
                <c:pt idx="11">
                  <c:v>7454</c:v>
                </c:pt>
                <c:pt idx="12">
                  <c:v>6912</c:v>
                </c:pt>
                <c:pt idx="13">
                  <c:v>406</c:v>
                </c:pt>
                <c:pt idx="14">
                  <c:v>3906</c:v>
                </c:pt>
                <c:pt idx="15">
                  <c:v>1423</c:v>
                </c:pt>
                <c:pt idx="16">
                  <c:v>2390</c:v>
                </c:pt>
                <c:pt idx="17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E-4E77-9E9D-9DA15D11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'24'!$AD$6:$AD$23</c:f>
              <c:strCache>
                <c:ptCount val="18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25%</c:v>
                </c:pt>
                <c:pt idx="4">
                  <c:v>67%</c:v>
                </c:pt>
                <c:pt idx="5">
                  <c:v>29%</c:v>
                </c:pt>
                <c:pt idx="6">
                  <c:v>58%</c:v>
                </c:pt>
                <c:pt idx="7">
                  <c:v>0%</c:v>
                </c:pt>
                <c:pt idx="8">
                  <c:v>75%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79%</c:v>
                </c:pt>
                <c:pt idx="15">
                  <c:v>33%</c:v>
                </c:pt>
                <c:pt idx="16">
                  <c:v>50%</c:v>
                </c:pt>
                <c:pt idx="17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'24'!$D$6:$D$23</c:f>
              <c:strCache>
                <c:ptCount val="17"/>
                <c:pt idx="2">
                  <c:v>PUSHER</c:v>
                </c:pt>
                <c:pt idx="3">
                  <c:v>SLIDER</c:v>
                </c:pt>
                <c:pt idx="4">
                  <c:v>ACTUATOR</c:v>
                </c:pt>
                <c:pt idx="5">
                  <c:v>SHAFT</c:v>
                </c:pt>
                <c:pt idx="6">
                  <c:v>SHAFT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  <c:pt idx="16">
                  <c:v>LEAD GUIDE</c:v>
                </c:pt>
              </c:strCache>
            </c:strRef>
          </c:cat>
          <c:val>
            <c:numRef>
              <c:f>'24'!$AD$6:$AD$23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0.66666666666666663</c:v>
                </c:pt>
                <c:pt idx="5">
                  <c:v>0.29125000000000001</c:v>
                </c:pt>
                <c:pt idx="6">
                  <c:v>0.58333333333333337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0.79166666666666663</c:v>
                </c:pt>
                <c:pt idx="15">
                  <c:v>0.33333333333333331</c:v>
                </c:pt>
                <c:pt idx="16">
                  <c:v>0.5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A15-9E67-8DFEFA38E4F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D-4A15-9E67-8DFEFA38E4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'24'!$D$6:$D$23</c:f>
              <c:strCache>
                <c:ptCount val="17"/>
                <c:pt idx="2">
                  <c:v>PUSHER</c:v>
                </c:pt>
                <c:pt idx="3">
                  <c:v>SLIDER</c:v>
                </c:pt>
                <c:pt idx="4">
                  <c:v>ACTUATOR</c:v>
                </c:pt>
                <c:pt idx="5">
                  <c:v>SHAFT</c:v>
                </c:pt>
                <c:pt idx="6">
                  <c:v>SHAFT</c:v>
                </c:pt>
                <c:pt idx="7">
                  <c:v>SLIDER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1">
                  <c:v>SLIDER</c:v>
                </c:pt>
                <c:pt idx="12">
                  <c:v>LATCH</c:v>
                </c:pt>
                <c:pt idx="13">
                  <c:v>ADAPTER</c:v>
                </c:pt>
                <c:pt idx="14">
                  <c:v>SLIDER</c:v>
                </c:pt>
                <c:pt idx="15">
                  <c:v>BASE</c:v>
                </c:pt>
                <c:pt idx="16">
                  <c:v>LEAD GUIDE</c:v>
                </c:pt>
              </c:strCache>
            </c:strRef>
          </c:cat>
          <c:val>
            <c:numRef>
              <c:f>'24'!$AE$6:$AE$23</c:f>
              <c:numCache>
                <c:formatCode>0%</c:formatCode>
                <c:ptCount val="18"/>
                <c:pt idx="0">
                  <c:v>0.27775</c:v>
                </c:pt>
                <c:pt idx="1">
                  <c:v>0.27775</c:v>
                </c:pt>
                <c:pt idx="2">
                  <c:v>0.27775</c:v>
                </c:pt>
                <c:pt idx="3">
                  <c:v>0.27775</c:v>
                </c:pt>
                <c:pt idx="4">
                  <c:v>0.27775</c:v>
                </c:pt>
                <c:pt idx="5">
                  <c:v>0.27775</c:v>
                </c:pt>
                <c:pt idx="6">
                  <c:v>0.27775</c:v>
                </c:pt>
                <c:pt idx="7">
                  <c:v>0.27775</c:v>
                </c:pt>
                <c:pt idx="8">
                  <c:v>0.27775</c:v>
                </c:pt>
                <c:pt idx="9">
                  <c:v>0.27775</c:v>
                </c:pt>
                <c:pt idx="10">
                  <c:v>0.27775</c:v>
                </c:pt>
                <c:pt idx="11">
                  <c:v>0.27775</c:v>
                </c:pt>
                <c:pt idx="12">
                  <c:v>0.27775</c:v>
                </c:pt>
                <c:pt idx="13">
                  <c:v>0.27775</c:v>
                </c:pt>
                <c:pt idx="14">
                  <c:v>0.27775</c:v>
                </c:pt>
                <c:pt idx="15">
                  <c:v>0.27775</c:v>
                </c:pt>
                <c:pt idx="16">
                  <c:v>0.27775</c:v>
                </c:pt>
                <c:pt idx="17">
                  <c:v>0.27775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A15-9E67-8DFEFA3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5F-4146-BA9B-FDB7E6F0B8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F-4146-BA9B-FDB7E6F0B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5F-4146-BA9B-FDB7E6F0B8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F-4146-BA9B-FDB7E6F0B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ACTUATOR</c:v>
                </c:pt>
                <c:pt idx="5">
                  <c:v>SHAFT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SLIDER</c:v>
                </c:pt>
                <c:pt idx="14">
                  <c:v>LEAD GUIDE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2">
                  <c:v>4451</c:v>
                </c:pt>
                <c:pt idx="3">
                  <c:v>3346</c:v>
                </c:pt>
                <c:pt idx="4">
                  <c:v>1129</c:v>
                </c:pt>
                <c:pt idx="5">
                  <c:v>86480</c:v>
                </c:pt>
                <c:pt idx="7">
                  <c:v>5746</c:v>
                </c:pt>
                <c:pt idx="13">
                  <c:v>6347</c:v>
                </c:pt>
                <c:pt idx="14">
                  <c:v>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1-461F-B12D-DDE8B0768C44}"/>
            </c:ext>
          </c:extLst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ACTUATOR</c:v>
                </c:pt>
                <c:pt idx="5">
                  <c:v>SHAFT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SLIDER</c:v>
                </c:pt>
                <c:pt idx="14">
                  <c:v>LEAD GUIDE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4451</c:v>
                </c:pt>
                <c:pt idx="3">
                  <c:v>3350</c:v>
                </c:pt>
                <c:pt idx="4">
                  <c:v>1130</c:v>
                </c:pt>
                <c:pt idx="5">
                  <c:v>86480</c:v>
                </c:pt>
                <c:pt idx="6">
                  <c:v>2357</c:v>
                </c:pt>
                <c:pt idx="7">
                  <c:v>5750</c:v>
                </c:pt>
                <c:pt idx="8">
                  <c:v>5081</c:v>
                </c:pt>
                <c:pt idx="9">
                  <c:v>1068</c:v>
                </c:pt>
                <c:pt idx="10">
                  <c:v>7454</c:v>
                </c:pt>
                <c:pt idx="11">
                  <c:v>6912</c:v>
                </c:pt>
                <c:pt idx="12">
                  <c:v>406</c:v>
                </c:pt>
                <c:pt idx="13">
                  <c:v>6350</c:v>
                </c:pt>
                <c:pt idx="14">
                  <c:v>4430</c:v>
                </c:pt>
                <c:pt idx="15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1-461F-B12D-DDE8B076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83%</c:v>
                </c:pt>
                <c:pt idx="3">
                  <c:v>67%</c:v>
                </c:pt>
                <c:pt idx="4">
                  <c:v>25%</c:v>
                </c:pt>
                <c:pt idx="5">
                  <c:v>100%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ACTUATOR</c:v>
                </c:pt>
                <c:pt idx="5">
                  <c:v>SHAFT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SLIDER</c:v>
                </c:pt>
                <c:pt idx="14">
                  <c:v>LEAD GUIDE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0.83333333333333337</c:v>
                </c:pt>
                <c:pt idx="3">
                  <c:v>0.66587064676616914</c:v>
                </c:pt>
                <c:pt idx="4">
                  <c:v>0.24977876106194691</c:v>
                </c:pt>
                <c:pt idx="5">
                  <c:v>1</c:v>
                </c:pt>
                <c:pt idx="6">
                  <c:v>0</c:v>
                </c:pt>
                <c:pt idx="7">
                  <c:v>0.9993043478260869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0.99952755905511814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F-4BC6-8830-45908DE9CB3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BF-4BC6-8830-45908DE9CB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ACTUATOR</c:v>
                </c:pt>
                <c:pt idx="5">
                  <c:v>SHAFT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SLIDER</c:v>
                </c:pt>
                <c:pt idx="14">
                  <c:v>LEAD GUIDE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0.3831876432028436</c:v>
                </c:pt>
                <c:pt idx="1">
                  <c:v>0.3831876432028436</c:v>
                </c:pt>
                <c:pt idx="2">
                  <c:v>0.3831876432028436</c:v>
                </c:pt>
                <c:pt idx="3">
                  <c:v>0.3831876432028436</c:v>
                </c:pt>
                <c:pt idx="4">
                  <c:v>0.3831876432028436</c:v>
                </c:pt>
                <c:pt idx="5">
                  <c:v>0.3831876432028436</c:v>
                </c:pt>
                <c:pt idx="6">
                  <c:v>0.3831876432028436</c:v>
                </c:pt>
                <c:pt idx="7">
                  <c:v>0.3831876432028436</c:v>
                </c:pt>
                <c:pt idx="8">
                  <c:v>0.3831876432028436</c:v>
                </c:pt>
                <c:pt idx="9">
                  <c:v>0.3831876432028436</c:v>
                </c:pt>
                <c:pt idx="10">
                  <c:v>0.3831876432028436</c:v>
                </c:pt>
                <c:pt idx="11">
                  <c:v>0.3831876432028436</c:v>
                </c:pt>
                <c:pt idx="12">
                  <c:v>0.3831876432028436</c:v>
                </c:pt>
                <c:pt idx="13">
                  <c:v>0.3831876432028436</c:v>
                </c:pt>
                <c:pt idx="14">
                  <c:v>0.3831876432028436</c:v>
                </c:pt>
                <c:pt idx="15">
                  <c:v>0.3831876432028436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F-4BC6-8830-45908DE9C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ACTUATOR</c:v>
                </c:pt>
                <c:pt idx="5">
                  <c:v>SHAFT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SLIDER</c:v>
                </c:pt>
                <c:pt idx="14">
                  <c:v>LEAD GUIDE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2">
                  <c:v>4451</c:v>
                </c:pt>
                <c:pt idx="3">
                  <c:v>3346</c:v>
                </c:pt>
                <c:pt idx="4">
                  <c:v>1129</c:v>
                </c:pt>
                <c:pt idx="5">
                  <c:v>86480</c:v>
                </c:pt>
                <c:pt idx="7">
                  <c:v>5746</c:v>
                </c:pt>
                <c:pt idx="13">
                  <c:v>6347</c:v>
                </c:pt>
                <c:pt idx="14">
                  <c:v>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8-4B81-B0C1-6ABE0D33D51D}"/>
            </c:ext>
          </c:extLst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ACTUATOR</c:v>
                </c:pt>
                <c:pt idx="5">
                  <c:v>SHAFT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SLIDER</c:v>
                </c:pt>
                <c:pt idx="14">
                  <c:v>LEAD GUIDE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4451</c:v>
                </c:pt>
                <c:pt idx="3">
                  <c:v>3350</c:v>
                </c:pt>
                <c:pt idx="4">
                  <c:v>1130</c:v>
                </c:pt>
                <c:pt idx="5">
                  <c:v>86480</c:v>
                </c:pt>
                <c:pt idx="6">
                  <c:v>2357</c:v>
                </c:pt>
                <c:pt idx="7">
                  <c:v>5750</c:v>
                </c:pt>
                <c:pt idx="8">
                  <c:v>5081</c:v>
                </c:pt>
                <c:pt idx="9">
                  <c:v>1068</c:v>
                </c:pt>
                <c:pt idx="10">
                  <c:v>7454</c:v>
                </c:pt>
                <c:pt idx="11">
                  <c:v>6912</c:v>
                </c:pt>
                <c:pt idx="12">
                  <c:v>406</c:v>
                </c:pt>
                <c:pt idx="13">
                  <c:v>6350</c:v>
                </c:pt>
                <c:pt idx="14">
                  <c:v>4430</c:v>
                </c:pt>
                <c:pt idx="15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8-4B81-B0C1-6ABE0D33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83%</c:v>
                </c:pt>
                <c:pt idx="3">
                  <c:v>67%</c:v>
                </c:pt>
                <c:pt idx="4">
                  <c:v>25%</c:v>
                </c:pt>
                <c:pt idx="5">
                  <c:v>100%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ACTUATOR</c:v>
                </c:pt>
                <c:pt idx="5">
                  <c:v>SHAFT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SLIDER</c:v>
                </c:pt>
                <c:pt idx="14">
                  <c:v>LEAD GUIDE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0.83333333333333337</c:v>
                </c:pt>
                <c:pt idx="3">
                  <c:v>0.66587064676616914</c:v>
                </c:pt>
                <c:pt idx="4">
                  <c:v>0.24977876106194691</c:v>
                </c:pt>
                <c:pt idx="5">
                  <c:v>1</c:v>
                </c:pt>
                <c:pt idx="6">
                  <c:v>0</c:v>
                </c:pt>
                <c:pt idx="7">
                  <c:v>0.9993043478260869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0.99952755905511814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8-4692-83D3-9BF3123B3B3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F8-4692-83D3-9BF3123B3B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ACTUATOR</c:v>
                </c:pt>
                <c:pt idx="5">
                  <c:v>SHAFT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LATCH</c:v>
                </c:pt>
                <c:pt idx="12">
                  <c:v>ADAPTER</c:v>
                </c:pt>
                <c:pt idx="13">
                  <c:v>SLIDER</c:v>
                </c:pt>
                <c:pt idx="14">
                  <c:v>LEAD GUIDE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0.3831876432028436</c:v>
                </c:pt>
                <c:pt idx="1">
                  <c:v>0.3831876432028436</c:v>
                </c:pt>
                <c:pt idx="2">
                  <c:v>0.3831876432028436</c:v>
                </c:pt>
                <c:pt idx="3">
                  <c:v>0.3831876432028436</c:v>
                </c:pt>
                <c:pt idx="4">
                  <c:v>0.3831876432028436</c:v>
                </c:pt>
                <c:pt idx="5">
                  <c:v>0.3831876432028436</c:v>
                </c:pt>
                <c:pt idx="6">
                  <c:v>0.3831876432028436</c:v>
                </c:pt>
                <c:pt idx="7">
                  <c:v>0.3831876432028436</c:v>
                </c:pt>
                <c:pt idx="8">
                  <c:v>0.3831876432028436</c:v>
                </c:pt>
                <c:pt idx="9">
                  <c:v>0.3831876432028436</c:v>
                </c:pt>
                <c:pt idx="10">
                  <c:v>0.3831876432028436</c:v>
                </c:pt>
                <c:pt idx="11">
                  <c:v>0.3831876432028436</c:v>
                </c:pt>
                <c:pt idx="12">
                  <c:v>0.3831876432028436</c:v>
                </c:pt>
                <c:pt idx="13">
                  <c:v>0.3831876432028436</c:v>
                </c:pt>
                <c:pt idx="14">
                  <c:v>0.3831876432028436</c:v>
                </c:pt>
                <c:pt idx="15">
                  <c:v>0.3831876432028436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8-4692-83D3-9BF3123B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DEE-42BF-8945-D5A31929E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E-42BF-8945-D5A31929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EE-42BF-8945-D5A31929E0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EE-42BF-8945-D5A31929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2">
                  <c:v>2564</c:v>
                </c:pt>
                <c:pt idx="3">
                  <c:v>4675</c:v>
                </c:pt>
                <c:pt idx="4">
                  <c:v>10478</c:v>
                </c:pt>
                <c:pt idx="6">
                  <c:v>4966</c:v>
                </c:pt>
                <c:pt idx="11">
                  <c:v>1660</c:v>
                </c:pt>
                <c:pt idx="12">
                  <c:v>5815</c:v>
                </c:pt>
                <c:pt idx="14">
                  <c:v>21192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2-4388-8183-B552D9127B5A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2564</c:v>
                </c:pt>
                <c:pt idx="3">
                  <c:v>4675</c:v>
                </c:pt>
                <c:pt idx="4">
                  <c:v>10478</c:v>
                </c:pt>
                <c:pt idx="5">
                  <c:v>2357</c:v>
                </c:pt>
                <c:pt idx="6">
                  <c:v>4966</c:v>
                </c:pt>
                <c:pt idx="7">
                  <c:v>5081</c:v>
                </c:pt>
                <c:pt idx="8">
                  <c:v>1068</c:v>
                </c:pt>
                <c:pt idx="9">
                  <c:v>7454</c:v>
                </c:pt>
                <c:pt idx="10">
                  <c:v>6912</c:v>
                </c:pt>
                <c:pt idx="11">
                  <c:v>1660</c:v>
                </c:pt>
                <c:pt idx="12">
                  <c:v>5815</c:v>
                </c:pt>
                <c:pt idx="13">
                  <c:v>4430</c:v>
                </c:pt>
                <c:pt idx="14">
                  <c:v>21192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2-4388-8183-B552D912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67%</c:v>
                </c:pt>
                <c:pt idx="3">
                  <c:v>100%</c:v>
                </c:pt>
                <c:pt idx="4">
                  <c:v>96%</c:v>
                </c:pt>
                <c:pt idx="5">
                  <c:v>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38%</c:v>
                </c:pt>
                <c:pt idx="12">
                  <c:v>100%</c:v>
                </c:pt>
                <c:pt idx="13">
                  <c:v>0%</c:v>
                </c:pt>
                <c:pt idx="14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1</c:v>
                </c:pt>
                <c:pt idx="4">
                  <c:v>0.95833333333333337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0.375</c:v>
                </c:pt>
                <c:pt idx="12">
                  <c:v>1</c:v>
                </c:pt>
                <c:pt idx="13">
                  <c:v>0</c:v>
                </c:pt>
                <c:pt idx="14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650-B0B1-1AEC07DF5A9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93-4650-B0B1-1AEC07DF5A9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0.36388888888888887</c:v>
                </c:pt>
                <c:pt idx="1">
                  <c:v>0.36388888888888887</c:v>
                </c:pt>
                <c:pt idx="2">
                  <c:v>0.36388888888888887</c:v>
                </c:pt>
                <c:pt idx="3">
                  <c:v>0.36388888888888887</c:v>
                </c:pt>
                <c:pt idx="4">
                  <c:v>0.36388888888888887</c:v>
                </c:pt>
                <c:pt idx="5">
                  <c:v>0.36388888888888887</c:v>
                </c:pt>
                <c:pt idx="6">
                  <c:v>0.36388888888888887</c:v>
                </c:pt>
                <c:pt idx="7">
                  <c:v>0.36388888888888887</c:v>
                </c:pt>
                <c:pt idx="8">
                  <c:v>0.36388888888888887</c:v>
                </c:pt>
                <c:pt idx="9">
                  <c:v>0.36388888888888887</c:v>
                </c:pt>
                <c:pt idx="10">
                  <c:v>0.36388888888888887</c:v>
                </c:pt>
                <c:pt idx="11">
                  <c:v>0.36388888888888887</c:v>
                </c:pt>
                <c:pt idx="12">
                  <c:v>0.36388888888888887</c:v>
                </c:pt>
                <c:pt idx="13">
                  <c:v>0.36388888888888887</c:v>
                </c:pt>
                <c:pt idx="14">
                  <c:v>0.36388888888888887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3-4650-B0B1-1AEC07DF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'02'!$D$6:$D$22</c:f>
              <c:strCache>
                <c:ptCount val="16"/>
                <c:pt idx="2">
                  <c:v>LATCH</c:v>
                </c:pt>
                <c:pt idx="3">
                  <c:v>SHAFT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FLOAT</c:v>
                </c:pt>
                <c:pt idx="15">
                  <c:v>BASE</c:v>
                </c:pt>
              </c:strCache>
            </c:strRef>
          </c:cat>
          <c:val>
            <c:numRef>
              <c:f>'02'!$L$6:$L$22</c:f>
              <c:numCache>
                <c:formatCode>_(* #,##0_);_(* \(#,##0\);_(* "-"_);_(@_)</c:formatCode>
                <c:ptCount val="17"/>
                <c:pt idx="2">
                  <c:v>8602</c:v>
                </c:pt>
                <c:pt idx="3">
                  <c:v>35472</c:v>
                </c:pt>
                <c:pt idx="4">
                  <c:v>6204</c:v>
                </c:pt>
                <c:pt idx="5">
                  <c:v>4840</c:v>
                </c:pt>
                <c:pt idx="7">
                  <c:v>4831</c:v>
                </c:pt>
                <c:pt idx="8">
                  <c:v>3797</c:v>
                </c:pt>
                <c:pt idx="10">
                  <c:v>7545</c:v>
                </c:pt>
                <c:pt idx="11">
                  <c:v>3339</c:v>
                </c:pt>
                <c:pt idx="13">
                  <c:v>1491</c:v>
                </c:pt>
                <c:pt idx="14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0E4-B09A-5A26742471F7}"/>
            </c:ext>
          </c:extLst>
        </c:ser>
        <c:ser>
          <c:idx val="1"/>
          <c:order val="1"/>
          <c:tx>
            <c:v>계획</c:v>
          </c:tx>
          <c:cat>
            <c:strRef>
              <c:f>'02'!$D$6:$D$22</c:f>
              <c:strCache>
                <c:ptCount val="16"/>
                <c:pt idx="2">
                  <c:v>LATCH</c:v>
                </c:pt>
                <c:pt idx="3">
                  <c:v>SHAFT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FLOAT</c:v>
                </c:pt>
                <c:pt idx="15">
                  <c:v>BASE</c:v>
                </c:pt>
              </c:strCache>
            </c:strRef>
          </c:cat>
          <c:val>
            <c:numRef>
              <c:f>'02'!$J$6:$J$22</c:f>
              <c:numCache>
                <c:formatCode>_(* #,##0_);_(* \(#,##0\);_(* "-"_);_(@_)</c:formatCode>
                <c:ptCount val="17"/>
                <c:pt idx="0">
                  <c:v>36840</c:v>
                </c:pt>
                <c:pt idx="1">
                  <c:v>800</c:v>
                </c:pt>
                <c:pt idx="2">
                  <c:v>8602</c:v>
                </c:pt>
                <c:pt idx="3">
                  <c:v>35472</c:v>
                </c:pt>
                <c:pt idx="4">
                  <c:v>6204</c:v>
                </c:pt>
                <c:pt idx="5">
                  <c:v>4840</c:v>
                </c:pt>
                <c:pt idx="6">
                  <c:v>2357</c:v>
                </c:pt>
                <c:pt idx="7">
                  <c:v>4831</c:v>
                </c:pt>
                <c:pt idx="8">
                  <c:v>3797</c:v>
                </c:pt>
                <c:pt idx="9">
                  <c:v>1068</c:v>
                </c:pt>
                <c:pt idx="10">
                  <c:v>7454</c:v>
                </c:pt>
                <c:pt idx="11">
                  <c:v>3339</c:v>
                </c:pt>
                <c:pt idx="12">
                  <c:v>1846</c:v>
                </c:pt>
                <c:pt idx="13">
                  <c:v>1491</c:v>
                </c:pt>
                <c:pt idx="14">
                  <c:v>2210</c:v>
                </c:pt>
                <c:pt idx="15">
                  <c:v>3101</c:v>
                </c:pt>
                <c:pt idx="16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0E4-B09A-5A267424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2">
                  <c:v>2564</c:v>
                </c:pt>
                <c:pt idx="3">
                  <c:v>4675</c:v>
                </c:pt>
                <c:pt idx="4">
                  <c:v>10478</c:v>
                </c:pt>
                <c:pt idx="6">
                  <c:v>4966</c:v>
                </c:pt>
                <c:pt idx="11">
                  <c:v>1660</c:v>
                </c:pt>
                <c:pt idx="12">
                  <c:v>5815</c:v>
                </c:pt>
                <c:pt idx="14">
                  <c:v>21192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3-4313-A272-47FD40021209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2564</c:v>
                </c:pt>
                <c:pt idx="3">
                  <c:v>4675</c:v>
                </c:pt>
                <c:pt idx="4">
                  <c:v>10478</c:v>
                </c:pt>
                <c:pt idx="5">
                  <c:v>2357</c:v>
                </c:pt>
                <c:pt idx="6">
                  <c:v>4966</c:v>
                </c:pt>
                <c:pt idx="7">
                  <c:v>5081</c:v>
                </c:pt>
                <c:pt idx="8">
                  <c:v>1068</c:v>
                </c:pt>
                <c:pt idx="9">
                  <c:v>7454</c:v>
                </c:pt>
                <c:pt idx="10">
                  <c:v>6912</c:v>
                </c:pt>
                <c:pt idx="11">
                  <c:v>1660</c:v>
                </c:pt>
                <c:pt idx="12">
                  <c:v>5815</c:v>
                </c:pt>
                <c:pt idx="13">
                  <c:v>4430</c:v>
                </c:pt>
                <c:pt idx="14">
                  <c:v>21192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3-4313-A272-47FD4002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67%</c:v>
                </c:pt>
                <c:pt idx="3">
                  <c:v>100%</c:v>
                </c:pt>
                <c:pt idx="4">
                  <c:v>96%</c:v>
                </c:pt>
                <c:pt idx="5">
                  <c:v>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38%</c:v>
                </c:pt>
                <c:pt idx="12">
                  <c:v>100%</c:v>
                </c:pt>
                <c:pt idx="13">
                  <c:v>0%</c:v>
                </c:pt>
                <c:pt idx="14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1</c:v>
                </c:pt>
                <c:pt idx="4">
                  <c:v>0.95833333333333337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0.375</c:v>
                </c:pt>
                <c:pt idx="12">
                  <c:v>1</c:v>
                </c:pt>
                <c:pt idx="13">
                  <c:v>0</c:v>
                </c:pt>
                <c:pt idx="14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3-45DB-AB13-9AB5E55F548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53-45DB-AB13-9AB5E55F54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SLIDER</c:v>
                </c:pt>
                <c:pt idx="10">
                  <c:v>LATCH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0.36388888888888887</c:v>
                </c:pt>
                <c:pt idx="1">
                  <c:v>0.36388888888888887</c:v>
                </c:pt>
                <c:pt idx="2">
                  <c:v>0.36388888888888887</c:v>
                </c:pt>
                <c:pt idx="3">
                  <c:v>0.36388888888888887</c:v>
                </c:pt>
                <c:pt idx="4">
                  <c:v>0.36388888888888887</c:v>
                </c:pt>
                <c:pt idx="5">
                  <c:v>0.36388888888888887</c:v>
                </c:pt>
                <c:pt idx="6">
                  <c:v>0.36388888888888887</c:v>
                </c:pt>
                <c:pt idx="7">
                  <c:v>0.36388888888888887</c:v>
                </c:pt>
                <c:pt idx="8">
                  <c:v>0.36388888888888887</c:v>
                </c:pt>
                <c:pt idx="9">
                  <c:v>0.36388888888888887</c:v>
                </c:pt>
                <c:pt idx="10">
                  <c:v>0.36388888888888887</c:v>
                </c:pt>
                <c:pt idx="11">
                  <c:v>0.36388888888888887</c:v>
                </c:pt>
                <c:pt idx="12">
                  <c:v>0.36388888888888887</c:v>
                </c:pt>
                <c:pt idx="13">
                  <c:v>0.36388888888888887</c:v>
                </c:pt>
                <c:pt idx="14">
                  <c:v>0.36388888888888887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3-45DB-AB13-9AB5E55F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8F-4431-87DC-0A487FDF6F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F-4431-87DC-0A487FDF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8F-4431-87DC-0A487FDF6F6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F-4431-87DC-0A487FDF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'30'!$L$6:$L$21</c:f>
              <c:numCache>
                <c:formatCode>_(* #,##0_);_(* \(#,##0\);_(* "-"_);_(@_)</c:formatCode>
                <c:ptCount val="16"/>
                <c:pt idx="2">
                  <c:v>5334</c:v>
                </c:pt>
                <c:pt idx="3">
                  <c:v>4163</c:v>
                </c:pt>
                <c:pt idx="4">
                  <c:v>14576</c:v>
                </c:pt>
                <c:pt idx="5">
                  <c:v>5375</c:v>
                </c:pt>
                <c:pt idx="6">
                  <c:v>5122</c:v>
                </c:pt>
                <c:pt idx="8">
                  <c:v>4376</c:v>
                </c:pt>
                <c:pt idx="10">
                  <c:v>957</c:v>
                </c:pt>
                <c:pt idx="12">
                  <c:v>1959</c:v>
                </c:pt>
                <c:pt idx="13">
                  <c:v>3536</c:v>
                </c:pt>
                <c:pt idx="14">
                  <c:v>4949</c:v>
                </c:pt>
                <c:pt idx="15">
                  <c:v>22576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1-4F1E-8D32-90D2D614AECA}"/>
            </c:ext>
          </c:extLst>
        </c:ser>
        <c:ser>
          <c:idx val="1"/>
          <c:order val="1"/>
          <c:tx>
            <c:v>계획</c:v>
          </c:tx>
          <c:cat>
            <c:strRef>
              <c:f>'30'!$D$6:$D$21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'30'!$J$6:$J$21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5334</c:v>
                </c:pt>
                <c:pt idx="3">
                  <c:v>4163</c:v>
                </c:pt>
                <c:pt idx="4">
                  <c:v>14576</c:v>
                </c:pt>
                <c:pt idx="5">
                  <c:v>5375</c:v>
                </c:pt>
                <c:pt idx="6">
                  <c:v>5122</c:v>
                </c:pt>
                <c:pt idx="7">
                  <c:v>5081</c:v>
                </c:pt>
                <c:pt idx="8">
                  <c:v>4376</c:v>
                </c:pt>
                <c:pt idx="9">
                  <c:v>7454</c:v>
                </c:pt>
                <c:pt idx="10">
                  <c:v>957</c:v>
                </c:pt>
                <c:pt idx="11">
                  <c:v>1660</c:v>
                </c:pt>
                <c:pt idx="12">
                  <c:v>1959</c:v>
                </c:pt>
                <c:pt idx="13">
                  <c:v>3536</c:v>
                </c:pt>
                <c:pt idx="14">
                  <c:v>4950</c:v>
                </c:pt>
                <c:pt idx="15">
                  <c:v>22576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1-4F1E-8D32-90D2D614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88%</c:v>
                </c:pt>
                <c:pt idx="4">
                  <c:v>100%</c:v>
                </c:pt>
                <c:pt idx="5">
                  <c:v>88%</c:v>
                </c:pt>
                <c:pt idx="6">
                  <c:v>100%</c:v>
                </c:pt>
                <c:pt idx="7">
                  <c:v>0%</c:v>
                </c:pt>
                <c:pt idx="8">
                  <c:v>88%</c:v>
                </c:pt>
                <c:pt idx="9">
                  <c:v>0%</c:v>
                </c:pt>
                <c:pt idx="10">
                  <c:v>25%</c:v>
                </c:pt>
                <c:pt idx="11">
                  <c:v>0%</c:v>
                </c:pt>
                <c:pt idx="12">
                  <c:v>25%</c:v>
                </c:pt>
                <c:pt idx="13">
                  <c:v>67%</c:v>
                </c:pt>
                <c:pt idx="14">
                  <c:v>96%</c:v>
                </c:pt>
                <c:pt idx="15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'30'!$AD$6:$AD$21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0.875</c:v>
                </c:pt>
                <c:pt idx="4">
                  <c:v>1</c:v>
                </c:pt>
                <c:pt idx="5">
                  <c:v>0.875</c:v>
                </c:pt>
                <c:pt idx="6">
                  <c:v>1</c:v>
                </c:pt>
                <c:pt idx="7">
                  <c:v>0</c:v>
                </c:pt>
                <c:pt idx="8">
                  <c:v>0.875</c:v>
                </c:pt>
                <c:pt idx="9">
                  <c:v>0</c:v>
                </c:pt>
                <c:pt idx="10">
                  <c:v>0.25</c:v>
                </c:pt>
                <c:pt idx="11">
                  <c:v>0</c:v>
                </c:pt>
                <c:pt idx="12">
                  <c:v>0.25</c:v>
                </c:pt>
                <c:pt idx="13">
                  <c:v>0.66666666666666663</c:v>
                </c:pt>
                <c:pt idx="14">
                  <c:v>0.95813973063973068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D-4B90-BB16-DFF1C2FE8A7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AD-4B90-BB16-DFF1C2FE8A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'30'!$AE$6:$AE$21</c:f>
              <c:numCache>
                <c:formatCode>0%</c:formatCode>
                <c:ptCount val="16"/>
                <c:pt idx="0">
                  <c:v>0.54720931537598205</c:v>
                </c:pt>
                <c:pt idx="1">
                  <c:v>0.54720931537598205</c:v>
                </c:pt>
                <c:pt idx="2">
                  <c:v>0.54720931537598205</c:v>
                </c:pt>
                <c:pt idx="3">
                  <c:v>0.54720931537598205</c:v>
                </c:pt>
                <c:pt idx="4">
                  <c:v>0.54720931537598205</c:v>
                </c:pt>
                <c:pt idx="5">
                  <c:v>0.54720931537598205</c:v>
                </c:pt>
                <c:pt idx="6">
                  <c:v>0.54720931537598205</c:v>
                </c:pt>
                <c:pt idx="7">
                  <c:v>0.54720931537598205</c:v>
                </c:pt>
                <c:pt idx="8">
                  <c:v>0.54720931537598205</c:v>
                </c:pt>
                <c:pt idx="9">
                  <c:v>0.54720931537598205</c:v>
                </c:pt>
                <c:pt idx="10">
                  <c:v>0.54720931537598205</c:v>
                </c:pt>
                <c:pt idx="11">
                  <c:v>0.54720931537598205</c:v>
                </c:pt>
                <c:pt idx="12">
                  <c:v>0.54720931537598205</c:v>
                </c:pt>
                <c:pt idx="13">
                  <c:v>0.54720931537598205</c:v>
                </c:pt>
                <c:pt idx="14">
                  <c:v>0.54720931537598205</c:v>
                </c:pt>
                <c:pt idx="15">
                  <c:v>0.54720931537598205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D-4B90-BB16-DFF1C2FE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'30'!$L$6:$L$21</c:f>
              <c:numCache>
                <c:formatCode>_(* #,##0_);_(* \(#,##0\);_(* "-"_);_(@_)</c:formatCode>
                <c:ptCount val="16"/>
                <c:pt idx="2">
                  <c:v>5334</c:v>
                </c:pt>
                <c:pt idx="3">
                  <c:v>4163</c:v>
                </c:pt>
                <c:pt idx="4">
                  <c:v>14576</c:v>
                </c:pt>
                <c:pt idx="5">
                  <c:v>5375</c:v>
                </c:pt>
                <c:pt idx="6">
                  <c:v>5122</c:v>
                </c:pt>
                <c:pt idx="8">
                  <c:v>4376</c:v>
                </c:pt>
                <c:pt idx="10">
                  <c:v>957</c:v>
                </c:pt>
                <c:pt idx="12">
                  <c:v>1959</c:v>
                </c:pt>
                <c:pt idx="13">
                  <c:v>3536</c:v>
                </c:pt>
                <c:pt idx="14">
                  <c:v>4949</c:v>
                </c:pt>
                <c:pt idx="15">
                  <c:v>22576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C-4D4A-A940-FACA22FA20A7}"/>
            </c:ext>
          </c:extLst>
        </c:ser>
        <c:ser>
          <c:idx val="1"/>
          <c:order val="1"/>
          <c:tx>
            <c:v>계획</c:v>
          </c:tx>
          <c:cat>
            <c:strRef>
              <c:f>'30'!$D$6:$D$21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'30'!$J$6:$J$21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5334</c:v>
                </c:pt>
                <c:pt idx="3">
                  <c:v>4163</c:v>
                </c:pt>
                <c:pt idx="4">
                  <c:v>14576</c:v>
                </c:pt>
                <c:pt idx="5">
                  <c:v>5375</c:v>
                </c:pt>
                <c:pt idx="6">
                  <c:v>5122</c:v>
                </c:pt>
                <c:pt idx="7">
                  <c:v>5081</c:v>
                </c:pt>
                <c:pt idx="8">
                  <c:v>4376</c:v>
                </c:pt>
                <c:pt idx="9">
                  <c:v>7454</c:v>
                </c:pt>
                <c:pt idx="10">
                  <c:v>957</c:v>
                </c:pt>
                <c:pt idx="11">
                  <c:v>1660</c:v>
                </c:pt>
                <c:pt idx="12">
                  <c:v>1959</c:v>
                </c:pt>
                <c:pt idx="13">
                  <c:v>3536</c:v>
                </c:pt>
                <c:pt idx="14">
                  <c:v>4950</c:v>
                </c:pt>
                <c:pt idx="15">
                  <c:v>22576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C-4D4A-A940-FACA22FA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88%</c:v>
                </c:pt>
                <c:pt idx="4">
                  <c:v>100%</c:v>
                </c:pt>
                <c:pt idx="5">
                  <c:v>88%</c:v>
                </c:pt>
                <c:pt idx="6">
                  <c:v>100%</c:v>
                </c:pt>
                <c:pt idx="7">
                  <c:v>0%</c:v>
                </c:pt>
                <c:pt idx="8">
                  <c:v>88%</c:v>
                </c:pt>
                <c:pt idx="9">
                  <c:v>0%</c:v>
                </c:pt>
                <c:pt idx="10">
                  <c:v>25%</c:v>
                </c:pt>
                <c:pt idx="11">
                  <c:v>0%</c:v>
                </c:pt>
                <c:pt idx="12">
                  <c:v>25%</c:v>
                </c:pt>
                <c:pt idx="13">
                  <c:v>67%</c:v>
                </c:pt>
                <c:pt idx="14">
                  <c:v>96%</c:v>
                </c:pt>
                <c:pt idx="15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'30'!$AD$6:$AD$21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0.875</c:v>
                </c:pt>
                <c:pt idx="4">
                  <c:v>1</c:v>
                </c:pt>
                <c:pt idx="5">
                  <c:v>0.875</c:v>
                </c:pt>
                <c:pt idx="6">
                  <c:v>1</c:v>
                </c:pt>
                <c:pt idx="7">
                  <c:v>0</c:v>
                </c:pt>
                <c:pt idx="8">
                  <c:v>0.875</c:v>
                </c:pt>
                <c:pt idx="9">
                  <c:v>0</c:v>
                </c:pt>
                <c:pt idx="10">
                  <c:v>0.25</c:v>
                </c:pt>
                <c:pt idx="11">
                  <c:v>0</c:v>
                </c:pt>
                <c:pt idx="12">
                  <c:v>0.25</c:v>
                </c:pt>
                <c:pt idx="13">
                  <c:v>0.66666666666666663</c:v>
                </c:pt>
                <c:pt idx="14">
                  <c:v>0.95813973063973068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2-40CC-B75B-AE6D504CE8E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72-40CC-B75B-AE6D504CE8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'30'!$D$6:$D$21</c:f>
              <c:strCache>
                <c:ptCount val="15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COVER</c:v>
                </c:pt>
                <c:pt idx="12">
                  <c:v>SLIDER</c:v>
                </c:pt>
                <c:pt idx="13">
                  <c:v>STOPPER</c:v>
                </c:pt>
                <c:pt idx="14">
                  <c:v>BASE</c:v>
                </c:pt>
              </c:strCache>
            </c:strRef>
          </c:cat>
          <c:val>
            <c:numRef>
              <c:f>'30'!$AE$6:$AE$21</c:f>
              <c:numCache>
                <c:formatCode>0%</c:formatCode>
                <c:ptCount val="16"/>
                <c:pt idx="0">
                  <c:v>0.54720931537598205</c:v>
                </c:pt>
                <c:pt idx="1">
                  <c:v>0.54720931537598205</c:v>
                </c:pt>
                <c:pt idx="2">
                  <c:v>0.54720931537598205</c:v>
                </c:pt>
                <c:pt idx="3">
                  <c:v>0.54720931537598205</c:v>
                </c:pt>
                <c:pt idx="4">
                  <c:v>0.54720931537598205</c:v>
                </c:pt>
                <c:pt idx="5">
                  <c:v>0.54720931537598205</c:v>
                </c:pt>
                <c:pt idx="6">
                  <c:v>0.54720931537598205</c:v>
                </c:pt>
                <c:pt idx="7">
                  <c:v>0.54720931537598205</c:v>
                </c:pt>
                <c:pt idx="8">
                  <c:v>0.54720931537598205</c:v>
                </c:pt>
                <c:pt idx="9">
                  <c:v>0.54720931537598205</c:v>
                </c:pt>
                <c:pt idx="10">
                  <c:v>0.54720931537598205</c:v>
                </c:pt>
                <c:pt idx="11">
                  <c:v>0.54720931537598205</c:v>
                </c:pt>
                <c:pt idx="12">
                  <c:v>0.54720931537598205</c:v>
                </c:pt>
                <c:pt idx="13">
                  <c:v>0.54720931537598205</c:v>
                </c:pt>
                <c:pt idx="14">
                  <c:v>0.54720931537598205</c:v>
                </c:pt>
                <c:pt idx="15">
                  <c:v>0.54720931537598205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2-40CC-B75B-AE6D504C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9FB-41CA-AC74-A16D2347D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B-41CA-AC74-A16D2347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FB-41CA-AC74-A16D2347DB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B-41CA-AC74-A16D2347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LATCH PLATE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'31'!$L$6:$L$20</c:f>
              <c:numCache>
                <c:formatCode>_(* #,##0_);_(* \(#,##0\);_(* "-"_);_(@_)</c:formatCode>
                <c:ptCount val="15"/>
                <c:pt idx="2">
                  <c:v>5151</c:v>
                </c:pt>
                <c:pt idx="3">
                  <c:v>4691</c:v>
                </c:pt>
                <c:pt idx="4">
                  <c:v>14436</c:v>
                </c:pt>
                <c:pt idx="5">
                  <c:v>6082</c:v>
                </c:pt>
                <c:pt idx="6">
                  <c:v>4854</c:v>
                </c:pt>
                <c:pt idx="7">
                  <c:v>820</c:v>
                </c:pt>
                <c:pt idx="8">
                  <c:v>5256</c:v>
                </c:pt>
                <c:pt idx="9">
                  <c:v>2150</c:v>
                </c:pt>
                <c:pt idx="10">
                  <c:v>11556</c:v>
                </c:pt>
                <c:pt idx="12">
                  <c:v>5741</c:v>
                </c:pt>
                <c:pt idx="13">
                  <c:v>5750</c:v>
                </c:pt>
                <c:pt idx="14">
                  <c:v>21736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A-43F1-A999-8FC51B6DE784}"/>
            </c:ext>
          </c:extLst>
        </c:ser>
        <c:ser>
          <c:idx val="1"/>
          <c:order val="1"/>
          <c:tx>
            <c:v>계획</c:v>
          </c:tx>
          <c:cat>
            <c:strRef>
              <c:f>'31'!$D$6:$D$20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LATCH PLATE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'31'!$J$6:$J$20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5151</c:v>
                </c:pt>
                <c:pt idx="3">
                  <c:v>4691</c:v>
                </c:pt>
                <c:pt idx="4">
                  <c:v>14436</c:v>
                </c:pt>
                <c:pt idx="5">
                  <c:v>6082</c:v>
                </c:pt>
                <c:pt idx="6">
                  <c:v>4854</c:v>
                </c:pt>
                <c:pt idx="7">
                  <c:v>820</c:v>
                </c:pt>
                <c:pt idx="8">
                  <c:v>5256</c:v>
                </c:pt>
                <c:pt idx="9">
                  <c:v>2150</c:v>
                </c:pt>
                <c:pt idx="10">
                  <c:v>11556</c:v>
                </c:pt>
                <c:pt idx="11">
                  <c:v>1660</c:v>
                </c:pt>
                <c:pt idx="12">
                  <c:v>5741</c:v>
                </c:pt>
                <c:pt idx="13">
                  <c:v>5750</c:v>
                </c:pt>
                <c:pt idx="14">
                  <c:v>21736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A-43F1-A999-8FC51B6DE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92%</c:v>
                </c:pt>
                <c:pt idx="4">
                  <c:v>100%</c:v>
                </c:pt>
                <c:pt idx="5">
                  <c:v>100%</c:v>
                </c:pt>
                <c:pt idx="6">
                  <c:v>92%</c:v>
                </c:pt>
                <c:pt idx="7">
                  <c:v>50%</c:v>
                </c:pt>
                <c:pt idx="8">
                  <c:v>100%</c:v>
                </c:pt>
                <c:pt idx="9">
                  <c:v>50%</c:v>
                </c:pt>
                <c:pt idx="10">
                  <c:v>92%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LATCH PLATE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'31'!$AD$6:$AD$20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0.91666666666666663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0.91666666666666663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5-4AA4-95AF-2ADF8A62592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05-4AA4-95AF-2ADF8A6259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LATCH PLATE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'31'!$AE$6:$AE$20</c:f>
              <c:numCache>
                <c:formatCode>0%</c:formatCode>
                <c:ptCount val="15"/>
                <c:pt idx="0">
                  <c:v>0.68055555555555558</c:v>
                </c:pt>
                <c:pt idx="1">
                  <c:v>0.68055555555555558</c:v>
                </c:pt>
                <c:pt idx="2">
                  <c:v>0.68055555555555558</c:v>
                </c:pt>
                <c:pt idx="3">
                  <c:v>0.68055555555555558</c:v>
                </c:pt>
                <c:pt idx="4">
                  <c:v>0.68055555555555558</c:v>
                </c:pt>
                <c:pt idx="5">
                  <c:v>0.68055555555555558</c:v>
                </c:pt>
                <c:pt idx="6">
                  <c:v>0.68055555555555558</c:v>
                </c:pt>
                <c:pt idx="7">
                  <c:v>0.68055555555555558</c:v>
                </c:pt>
                <c:pt idx="8">
                  <c:v>0.68055555555555558</c:v>
                </c:pt>
                <c:pt idx="9">
                  <c:v>0.68055555555555558</c:v>
                </c:pt>
                <c:pt idx="10">
                  <c:v>0.68055555555555558</c:v>
                </c:pt>
                <c:pt idx="11">
                  <c:v>0.68055555555555558</c:v>
                </c:pt>
                <c:pt idx="12">
                  <c:v>0.68055555555555558</c:v>
                </c:pt>
                <c:pt idx="13">
                  <c:v>0.68055555555555558</c:v>
                </c:pt>
                <c:pt idx="14">
                  <c:v>0.68055555555555558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5-4AA4-95AF-2ADF8A62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42%</c:v>
                </c:pt>
                <c:pt idx="4">
                  <c:v>38%</c:v>
                </c:pt>
                <c:pt idx="5">
                  <c:v>42%</c:v>
                </c:pt>
                <c:pt idx="6">
                  <c:v>0%</c:v>
                </c:pt>
                <c:pt idx="7">
                  <c:v>92%</c:v>
                </c:pt>
                <c:pt idx="8">
                  <c:v>88%</c:v>
                </c:pt>
                <c:pt idx="9">
                  <c:v>0%</c:v>
                </c:pt>
                <c:pt idx="10">
                  <c:v>67%</c:v>
                </c:pt>
                <c:pt idx="11">
                  <c:v>67%</c:v>
                </c:pt>
                <c:pt idx="12">
                  <c:v>0%</c:v>
                </c:pt>
                <c:pt idx="13">
                  <c:v>25%</c:v>
                </c:pt>
                <c:pt idx="14">
                  <c:v>67%</c:v>
                </c:pt>
                <c:pt idx="15">
                  <c:v>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'02'!$D$6:$D$22</c:f>
              <c:strCache>
                <c:ptCount val="16"/>
                <c:pt idx="2">
                  <c:v>LATCH</c:v>
                </c:pt>
                <c:pt idx="3">
                  <c:v>SHAFT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FLOAT</c:v>
                </c:pt>
                <c:pt idx="15">
                  <c:v>BASE</c:v>
                </c:pt>
              </c:strCache>
            </c:strRef>
          </c:cat>
          <c:val>
            <c:numRef>
              <c:f>'02'!$AD$6:$AD$22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0.41666666666666669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</c:v>
                </c:pt>
                <c:pt idx="7">
                  <c:v>0.91666666666666663</c:v>
                </c:pt>
                <c:pt idx="8">
                  <c:v>0.875</c:v>
                </c:pt>
                <c:pt idx="9">
                  <c:v>0</c:v>
                </c:pt>
                <c:pt idx="10">
                  <c:v>0.67480547357123699</c:v>
                </c:pt>
                <c:pt idx="11">
                  <c:v>0.66666666666666663</c:v>
                </c:pt>
                <c:pt idx="12">
                  <c:v>0</c:v>
                </c:pt>
                <c:pt idx="13">
                  <c:v>0.25</c:v>
                </c:pt>
                <c:pt idx="14">
                  <c:v>0.66666666666666663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C-4AD1-85A3-340A30A0E61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1C-4AD1-85A3-340A30A0E61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'02'!$D$6:$D$22</c:f>
              <c:strCache>
                <c:ptCount val="16"/>
                <c:pt idx="2">
                  <c:v>LATCH</c:v>
                </c:pt>
                <c:pt idx="3">
                  <c:v>SHAFT</c:v>
                </c:pt>
                <c:pt idx="4">
                  <c:v>STOPPER</c:v>
                </c:pt>
                <c:pt idx="5">
                  <c:v>SEPARATOR</c:v>
                </c:pt>
                <c:pt idx="6">
                  <c:v>SLIDER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SLIDER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FLOAT</c:v>
                </c:pt>
                <c:pt idx="15">
                  <c:v>BASE</c:v>
                </c:pt>
              </c:strCache>
            </c:strRef>
          </c:cat>
          <c:val>
            <c:numRef>
              <c:f>'02'!$AE$6:$AE$22</c:f>
              <c:numCache>
                <c:formatCode>0%</c:formatCode>
                <c:ptCount val="17"/>
                <c:pt idx="0">
                  <c:v>0.41720925379363805</c:v>
                </c:pt>
                <c:pt idx="1">
                  <c:v>0.41720925379363805</c:v>
                </c:pt>
                <c:pt idx="2">
                  <c:v>0.41720925379363805</c:v>
                </c:pt>
                <c:pt idx="3">
                  <c:v>0.41720925379363805</c:v>
                </c:pt>
                <c:pt idx="4">
                  <c:v>0.41720925379363805</c:v>
                </c:pt>
                <c:pt idx="5">
                  <c:v>0.41720925379363805</c:v>
                </c:pt>
                <c:pt idx="6">
                  <c:v>0.41720925379363805</c:v>
                </c:pt>
                <c:pt idx="7">
                  <c:v>0.41720925379363805</c:v>
                </c:pt>
                <c:pt idx="8">
                  <c:v>0.41720925379363805</c:v>
                </c:pt>
                <c:pt idx="9">
                  <c:v>0.41720925379363805</c:v>
                </c:pt>
                <c:pt idx="10">
                  <c:v>0.41720925379363805</c:v>
                </c:pt>
                <c:pt idx="11">
                  <c:v>0.41720925379363805</c:v>
                </c:pt>
                <c:pt idx="12">
                  <c:v>0.41720925379363805</c:v>
                </c:pt>
                <c:pt idx="13">
                  <c:v>0.41720925379363805</c:v>
                </c:pt>
                <c:pt idx="14">
                  <c:v>0.41720925379363805</c:v>
                </c:pt>
                <c:pt idx="15">
                  <c:v>0.41720925379363805</c:v>
                </c:pt>
                <c:pt idx="16">
                  <c:v>0.41720925379363805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C-4AD1-85A3-340A30A0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LATCH PLATE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'31'!$L$6:$L$20</c:f>
              <c:numCache>
                <c:formatCode>_(* #,##0_);_(* \(#,##0\);_(* "-"_);_(@_)</c:formatCode>
                <c:ptCount val="15"/>
                <c:pt idx="2">
                  <c:v>5151</c:v>
                </c:pt>
                <c:pt idx="3">
                  <c:v>4691</c:v>
                </c:pt>
                <c:pt idx="4">
                  <c:v>14436</c:v>
                </c:pt>
                <c:pt idx="5">
                  <c:v>6082</c:v>
                </c:pt>
                <c:pt idx="6">
                  <c:v>4854</c:v>
                </c:pt>
                <c:pt idx="7">
                  <c:v>820</c:v>
                </c:pt>
                <c:pt idx="8">
                  <c:v>5256</c:v>
                </c:pt>
                <c:pt idx="9">
                  <c:v>2150</c:v>
                </c:pt>
                <c:pt idx="10">
                  <c:v>11556</c:v>
                </c:pt>
                <c:pt idx="12">
                  <c:v>5741</c:v>
                </c:pt>
                <c:pt idx="13">
                  <c:v>5750</c:v>
                </c:pt>
                <c:pt idx="14">
                  <c:v>21736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9-4660-B4F5-DBF892466D5F}"/>
            </c:ext>
          </c:extLst>
        </c:ser>
        <c:ser>
          <c:idx val="1"/>
          <c:order val="1"/>
          <c:tx>
            <c:v>계획</c:v>
          </c:tx>
          <c:cat>
            <c:strRef>
              <c:f>'31'!$D$6:$D$20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LATCH PLATE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'31'!$J$6:$J$20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5151</c:v>
                </c:pt>
                <c:pt idx="3">
                  <c:v>4691</c:v>
                </c:pt>
                <c:pt idx="4">
                  <c:v>14436</c:v>
                </c:pt>
                <c:pt idx="5">
                  <c:v>6082</c:v>
                </c:pt>
                <c:pt idx="6">
                  <c:v>4854</c:v>
                </c:pt>
                <c:pt idx="7">
                  <c:v>820</c:v>
                </c:pt>
                <c:pt idx="8">
                  <c:v>5256</c:v>
                </c:pt>
                <c:pt idx="9">
                  <c:v>2150</c:v>
                </c:pt>
                <c:pt idx="10">
                  <c:v>11556</c:v>
                </c:pt>
                <c:pt idx="11">
                  <c:v>1660</c:v>
                </c:pt>
                <c:pt idx="12">
                  <c:v>5741</c:v>
                </c:pt>
                <c:pt idx="13">
                  <c:v>5750</c:v>
                </c:pt>
                <c:pt idx="14">
                  <c:v>21736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9-4660-B4F5-DBF89246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92%</c:v>
                </c:pt>
                <c:pt idx="4">
                  <c:v>100%</c:v>
                </c:pt>
                <c:pt idx="5">
                  <c:v>100%</c:v>
                </c:pt>
                <c:pt idx="6">
                  <c:v>92%</c:v>
                </c:pt>
                <c:pt idx="7">
                  <c:v>50%</c:v>
                </c:pt>
                <c:pt idx="8">
                  <c:v>100%</c:v>
                </c:pt>
                <c:pt idx="9">
                  <c:v>50%</c:v>
                </c:pt>
                <c:pt idx="10">
                  <c:v>92%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LATCH PLATE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'31'!$AD$6:$AD$20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0.91666666666666663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0.91666666666666663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2-4239-A7E3-0B352D6C6F0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02-4239-A7E3-0B352D6C6F0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'31'!$D$6:$D$20</c:f>
              <c:strCache>
                <c:ptCount val="14"/>
                <c:pt idx="2">
                  <c:v>COVER</c:v>
                </c:pt>
                <c:pt idx="3">
                  <c:v>BASE</c:v>
                </c:pt>
                <c:pt idx="4">
                  <c:v>LATCH</c:v>
                </c:pt>
                <c:pt idx="5">
                  <c:v>SLIDER</c:v>
                </c:pt>
                <c:pt idx="6">
                  <c:v>LEAD GUIDE</c:v>
                </c:pt>
                <c:pt idx="7">
                  <c:v>BASE</c:v>
                </c:pt>
                <c:pt idx="8">
                  <c:v>ADAPTER</c:v>
                </c:pt>
                <c:pt idx="9">
                  <c:v>SLIDER</c:v>
                </c:pt>
                <c:pt idx="10">
                  <c:v>LATCH PLATE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'31'!$AE$6:$AE$20</c:f>
              <c:numCache>
                <c:formatCode>0%</c:formatCode>
                <c:ptCount val="15"/>
                <c:pt idx="0">
                  <c:v>0.68055555555555558</c:v>
                </c:pt>
                <c:pt idx="1">
                  <c:v>0.68055555555555558</c:v>
                </c:pt>
                <c:pt idx="2">
                  <c:v>0.68055555555555558</c:v>
                </c:pt>
                <c:pt idx="3">
                  <c:v>0.68055555555555558</c:v>
                </c:pt>
                <c:pt idx="4">
                  <c:v>0.68055555555555558</c:v>
                </c:pt>
                <c:pt idx="5">
                  <c:v>0.68055555555555558</c:v>
                </c:pt>
                <c:pt idx="6">
                  <c:v>0.68055555555555558</c:v>
                </c:pt>
                <c:pt idx="7">
                  <c:v>0.68055555555555558</c:v>
                </c:pt>
                <c:pt idx="8">
                  <c:v>0.68055555555555558</c:v>
                </c:pt>
                <c:pt idx="9">
                  <c:v>0.68055555555555558</c:v>
                </c:pt>
                <c:pt idx="10">
                  <c:v>0.68055555555555558</c:v>
                </c:pt>
                <c:pt idx="11">
                  <c:v>0.68055555555555558</c:v>
                </c:pt>
                <c:pt idx="12">
                  <c:v>0.68055555555555558</c:v>
                </c:pt>
                <c:pt idx="13">
                  <c:v>0.68055555555555558</c:v>
                </c:pt>
                <c:pt idx="14">
                  <c:v>0.68055555555555558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2-4239-A7E3-0B352D6C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10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B1B-435A-BF6D-6FC24859F1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0.37777777777777782</c:v>
                </c:pt>
                <c:pt idx="1">
                  <c:v>0.41720925379363805</c:v>
                </c:pt>
                <c:pt idx="3">
                  <c:v>0.31388888888888888</c:v>
                </c:pt>
                <c:pt idx="4">
                  <c:v>0.3305555555555556</c:v>
                </c:pt>
                <c:pt idx="7">
                  <c:v>0.40277777777777773</c:v>
                </c:pt>
                <c:pt idx="9">
                  <c:v>0.30555555555555558</c:v>
                </c:pt>
                <c:pt idx="10">
                  <c:v>5.5555555555555559E-2</c:v>
                </c:pt>
                <c:pt idx="14">
                  <c:v>0.28333333333333333</c:v>
                </c:pt>
                <c:pt idx="15">
                  <c:v>0.32206060606060605</c:v>
                </c:pt>
                <c:pt idx="16">
                  <c:v>0.15</c:v>
                </c:pt>
                <c:pt idx="17">
                  <c:v>0.11111111111111112</c:v>
                </c:pt>
                <c:pt idx="21">
                  <c:v>0.38055555555555559</c:v>
                </c:pt>
                <c:pt idx="22">
                  <c:v>0.4</c:v>
                </c:pt>
                <c:pt idx="23">
                  <c:v>0.27775</c:v>
                </c:pt>
                <c:pt idx="24">
                  <c:v>0.3831876432028436</c:v>
                </c:pt>
                <c:pt idx="28">
                  <c:v>0.36388888888888887</c:v>
                </c:pt>
                <c:pt idx="29">
                  <c:v>0.54720931537598205</c:v>
                </c:pt>
                <c:pt idx="30">
                  <c:v>0.68055555555555558</c:v>
                </c:pt>
                <c:pt idx="31">
                  <c:v>0.19687007658027819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B-435A-BF6D-6FC24859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1B-435A-BF6D-6FC24859F1C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B-435A-BF6D-6FC24859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69482B-052A-4610-9DF4-23FA28E2D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9821DD2-4171-4B65-BB79-52B475567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58A62DC-C042-47EE-92AE-18C67332B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5E3775B-C0BF-4ABF-910E-CB96B17B2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5A6FDC-761E-4CE8-982C-807509402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3A55952-B0AD-4426-B9CE-F62CB79EE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AFA95CD-B0E4-4279-8306-D671A5236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DEC92A-BA4B-4793-B204-0076ACDCB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7A5B1BC-118F-471E-881C-3FD2C054A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0BFC06B-FFB4-4257-99A4-2169DA56B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792FE95-3A32-46E2-8DA5-483B6EAB2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1484D4E-D39D-4845-8CAE-711EBE498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982983F0-E3A9-4062-8B1B-27F194163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DDA1119-FEC3-4DEA-9C0D-CF0EBBB7C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C5B5FB1-B323-4CBB-BA14-992D5F936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417BC99-1511-4FF1-BDA6-B8C3A3A32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C98A935-AE38-4EE1-8067-5173FE2AC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D74E5AF-5E82-46A3-96D5-1C60646E9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1985588-28FC-4052-814F-8E6282B6F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A9BEDA8-DE9C-494F-92BD-A43F46F15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7400F67-DA70-4017-8392-44099C52F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CC79C3-D793-4FCA-BE67-FC34F6E3B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3DFFE9F-228C-425E-A5A4-7312F33D0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EE054F8-A7E0-4AFA-AE36-0532295CE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4233DA9-9022-4950-A6A5-9C5DC8C74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8EF7A0E-C52E-4D65-AE95-15515F933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5D1A1B3-3BD4-493A-AAB5-BE7483F01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F7BADBD-E2E0-4A35-B798-023D39DEA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92F652-CE85-4130-BF92-83E4EFB88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02337F4-0E9E-4086-A36B-73D505A5B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3E6B4AA-C593-472D-BF24-FDE877226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82ACEF2-F723-465A-94B7-34798B4A2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DA8EE62-53CA-4583-A0B2-7ECE91D99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789004B-999D-4704-890D-1899CE987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A3EF622-7DB3-471E-AB97-2E9FFB392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DC0F80-9AA7-4DB9-8834-66BB224B2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401E569-03BC-467A-96A8-A93FDF28B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055329B-4EAD-4559-A219-686D61846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9FEB434-F811-46CB-90A2-9D1A0BB8E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A7C8333-BAE8-4DAE-80F4-F99DA3FD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B050CB7-8CAA-4919-9BA4-338355E7A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0E06A42-FFC0-4E32-9206-566F5F56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04AC0D-DA05-4141-92F1-9683289D7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6F6415A-B0F3-42AD-AE56-0B60CA094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E7F5BCB-DDF0-4D45-9E44-95F292753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C23F68E-2972-48F2-BC09-749E022C5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0E92123-A6B2-4F40-974F-7E18FCA04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34481B8-2D77-4584-8F70-18BC446EA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AC41FCA-B539-4942-9423-4BFDEB144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D5DF05-0DE3-4045-A906-30F5F9CE5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5A0E558-2A1B-427E-B5B4-B51F52458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3134D29-BFC9-425E-BBC3-7366C60DE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EBD65B7-DE3D-47FA-9A2B-24448362D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AF334A9-5C45-4921-9495-DD4A04781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08F7C9C-5822-4B83-ABA6-EC609AE81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E57DA1E-9362-4AF1-AB9B-57CD94EFD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E5C45A-1FBB-4266-B380-7C729415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D299CC4-7CD0-4DBC-AD2C-BD1DA223D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623F25C-24AF-4404-94E8-B633F42A2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BCA2341-D13A-47DA-B3AB-E5EEF57D6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A8B4E9A-C7AC-47C5-9563-3A7219D05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A4CB625-E097-41A3-9F10-6980D3C62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5CEE22A-104B-40EC-9DA9-E576C8313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31D959-6392-437B-8288-8A8AA07D1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8D7F5E4-ED29-4BEA-B4A8-29606022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3A8319A-A61C-4FCD-B94A-1E9F2690D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8C718-2620-43DA-AA20-7796FF5FC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06BBDDA-1F63-4DB2-9E82-FBFFEC9E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3787820-D5D5-4136-A8C9-0B3985080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5A051A0-9BF5-4395-9D4B-EA19B8E2E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442D4D-1C7A-409D-8384-4BC1A3EC9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16E64FD-ABD4-41BA-A554-61F8FD077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631C908-9948-4D7F-95C2-DEE98AB29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ECFBE11-0DBA-4EC1-A1B9-010E384EC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145CA15-B184-40AA-86D0-134A8BD2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7D797AD-73EF-40D4-9F8A-23588E95A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40</xdr:row>
      <xdr:rowOff>13607</xdr:rowOff>
    </xdr:from>
    <xdr:to>
      <xdr:col>29</xdr:col>
      <xdr:colOff>476250</xdr:colOff>
      <xdr:row>48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3D524A8-E631-4C5D-8870-1B188CC33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1E8232-CC10-4FA6-9EB5-FC7C173F0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F36FD5B-3930-4402-9654-3A943227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D2B6C12-8E3D-4C5C-9D8A-3118E6C31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E4EB719-7E2C-4DA7-8477-9337BAEF8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A7719CB-DAD1-45B3-8DB3-C145D13AA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5BEEFBA-9E58-4595-9D07-3E0411245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19DE3DE-C91B-4B31-BD74-B61C6A082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4D9ADC-FCFD-479F-B2D3-C160ACED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AE473BB-17EA-4E1B-9950-A8CF3C074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EF000E7-859E-40B1-B523-FD7C7B8AE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72DA17-53D5-49FC-B7AD-E939279AA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1EBFFB7-D55F-4B7C-AED2-3ADCB0508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33D9141-058B-477C-8695-819DFE304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480F104-420B-4E63-AAC7-E7421A083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DC81438-3DCA-437A-B715-9A67B8248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6010FC-4103-43FD-B760-8D530CCEE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DAA213A6-C5A7-4382-B2FB-294B51041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F4BE0C7-5106-4277-8AD8-A8D1184BC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416266A-7BFD-4DD0-A4E2-B17583279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FE9DC37-8D52-48BD-97CC-213F7D95B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44F4D7D-2F09-43F6-8ADF-2AD18186A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3A4C2A-415C-4F05-843A-B19E9C14D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6EB1569-265D-4982-965D-DF36F2448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8BE6203-2F02-47EB-88B1-CB9271DC1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4B73DEE-7C58-4AE3-80C3-7509D4143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10278C-F5FA-4D6D-8A6C-77ACCC14D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CEA123A-A69F-4952-8761-CF13D5145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BC5484C-1219-4190-8E4B-4428B27DD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B8D2DB-33EE-4E00-BCD8-9D6C0242D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C9B933-05C8-46C6-94CC-C8A0CEA0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254A68D-3AAC-4C38-B414-76121688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E7C6818-A4E8-4168-9DD8-8601B415E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A2E8FCB-ACA6-4E5B-A8C8-12EF987EB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32105F9-64A9-4B44-BA4E-76ACDE69F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21B4DCF-1CBD-4104-AC7B-7A8208697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87065E-6563-47FB-A45C-FC97F6781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DF56F9B-2D70-45D1-AA8D-A16B5D11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18F9F86-5164-4214-B54A-58B399F12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1ACBC9D-155C-4B1F-AF07-4C8A54178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882DB68-6ACC-4466-9EBA-C338A1E4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E9DED1F-58D4-4DFE-93B6-808A687A4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BFC624C-A000-4D1D-B425-DC17D359A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7BA4C1-459D-4325-BB75-785934F6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7448FED-7763-46AB-8464-50EE26D15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19309FF-2A6B-40D3-A17C-0E7295D0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DCA3F08-57E2-4D90-872B-4755BED57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602FB60-1B7B-4D67-9863-98E2D6F0B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D654D43-5C73-4BD1-B7B8-C7518276F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1038905-767F-4B81-8B4B-43D19DEE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AI7" sqref="AI7"/>
    </sheetView>
  </sheetViews>
  <sheetFormatPr defaultRowHeight="13.5"/>
  <cols>
    <col min="1" max="1" width="7.5" style="74" bestFit="1" customWidth="1"/>
    <col min="2" max="17" width="5.5" style="74" bestFit="1" customWidth="1"/>
    <col min="18" max="18" width="6" style="74" customWidth="1"/>
    <col min="19" max="33" width="5.5" style="74" bestFit="1" customWidth="1"/>
    <col min="34" max="16384" width="9" style="74"/>
  </cols>
  <sheetData>
    <row r="1" spans="1:33" ht="33.75" customHeight="1" thickBot="1">
      <c r="A1" s="290" t="s">
        <v>168</v>
      </c>
      <c r="B1" s="290"/>
      <c r="C1" s="290"/>
      <c r="D1" s="290"/>
      <c r="E1" s="290"/>
      <c r="F1" s="290"/>
      <c r="G1" s="290"/>
      <c r="H1" s="290"/>
    </row>
    <row r="2" spans="1:33" ht="21.75" customHeight="1" thickBot="1">
      <c r="A2" s="95" t="s">
        <v>59</v>
      </c>
      <c r="B2" s="97" t="s">
        <v>74</v>
      </c>
      <c r="C2" s="98" t="s">
        <v>75</v>
      </c>
      <c r="D2" s="98" t="s">
        <v>76</v>
      </c>
      <c r="E2" s="98" t="s">
        <v>77</v>
      </c>
      <c r="F2" s="98" t="s">
        <v>78</v>
      </c>
      <c r="G2" s="98" t="s">
        <v>79</v>
      </c>
      <c r="H2" s="98" t="s">
        <v>80</v>
      </c>
      <c r="I2" s="98" t="s">
        <v>81</v>
      </c>
      <c r="J2" s="98" t="s">
        <v>82</v>
      </c>
      <c r="K2" s="98" t="s">
        <v>83</v>
      </c>
      <c r="L2" s="98" t="s">
        <v>84</v>
      </c>
      <c r="M2" s="98" t="s">
        <v>85</v>
      </c>
      <c r="N2" s="98" t="s">
        <v>86</v>
      </c>
      <c r="O2" s="98" t="s">
        <v>87</v>
      </c>
      <c r="P2" s="98" t="s">
        <v>88</v>
      </c>
      <c r="Q2" s="98" t="s">
        <v>89</v>
      </c>
      <c r="R2" s="98" t="s">
        <v>90</v>
      </c>
      <c r="S2" s="98" t="s">
        <v>91</v>
      </c>
      <c r="T2" s="98" t="s">
        <v>92</v>
      </c>
      <c r="U2" s="98" t="s">
        <v>93</v>
      </c>
      <c r="V2" s="98" t="s">
        <v>94</v>
      </c>
      <c r="W2" s="98" t="s">
        <v>95</v>
      </c>
      <c r="X2" s="98" t="s">
        <v>96</v>
      </c>
      <c r="Y2" s="98" t="s">
        <v>97</v>
      </c>
      <c r="Z2" s="98" t="s">
        <v>98</v>
      </c>
      <c r="AA2" s="98" t="s">
        <v>99</v>
      </c>
      <c r="AB2" s="98" t="s">
        <v>100</v>
      </c>
      <c r="AC2" s="98" t="s">
        <v>101</v>
      </c>
      <c r="AD2" s="98" t="s">
        <v>102</v>
      </c>
      <c r="AE2" s="98" t="s">
        <v>103</v>
      </c>
      <c r="AF2" s="99" t="s">
        <v>104</v>
      </c>
      <c r="AG2" s="95" t="s">
        <v>106</v>
      </c>
    </row>
    <row r="3" spans="1:33" ht="21.75" customHeight="1">
      <c r="A3" s="115" t="s">
        <v>60</v>
      </c>
      <c r="B3" s="110">
        <f>'01'!AD6</f>
        <v>0</v>
      </c>
      <c r="C3" s="110">
        <f>'02'!AD6</f>
        <v>0</v>
      </c>
      <c r="D3" s="103"/>
      <c r="E3" s="103">
        <f>'04'!AD6</f>
        <v>0</v>
      </c>
      <c r="F3" s="103">
        <f>'05'!AD6</f>
        <v>0</v>
      </c>
      <c r="G3" s="103"/>
      <c r="H3" s="103"/>
      <c r="I3" s="103">
        <f>'08'!AD6</f>
        <v>0</v>
      </c>
      <c r="J3" s="103"/>
      <c r="K3" s="103">
        <f>'10'!AD6</f>
        <v>0</v>
      </c>
      <c r="L3" s="103">
        <f>'11'!AD6</f>
        <v>0</v>
      </c>
      <c r="M3" s="103"/>
      <c r="N3" s="121"/>
      <c r="O3" s="103"/>
      <c r="P3" s="103">
        <f>'15'!AD6</f>
        <v>0</v>
      </c>
      <c r="Q3" s="103">
        <f>'16'!AD6</f>
        <v>0</v>
      </c>
      <c r="R3" s="103">
        <f>'17'!AD6</f>
        <v>0</v>
      </c>
      <c r="S3" s="103">
        <f>'18'!AD6</f>
        <v>0</v>
      </c>
      <c r="T3" s="103"/>
      <c r="U3" s="103"/>
      <c r="V3" s="103"/>
      <c r="W3" s="121">
        <f>'22'!AD6</f>
        <v>0</v>
      </c>
      <c r="X3" s="103">
        <f>'23'!AD6</f>
        <v>0</v>
      </c>
      <c r="Y3" s="103">
        <f>'24'!AD6</f>
        <v>0</v>
      </c>
      <c r="Z3" s="103">
        <f>'25'!AD6</f>
        <v>0</v>
      </c>
      <c r="AA3" s="103"/>
      <c r="AB3" s="103"/>
      <c r="AC3" s="103"/>
      <c r="AD3" s="103">
        <f>'29'!AD6</f>
        <v>0</v>
      </c>
      <c r="AE3" s="103">
        <f>'30'!AD6</f>
        <v>0</v>
      </c>
      <c r="AF3" s="104">
        <f>'31'!AD6</f>
        <v>0</v>
      </c>
      <c r="AG3" s="106">
        <f>SUM(B3:AF3)/31</f>
        <v>0</v>
      </c>
    </row>
    <row r="4" spans="1:33" ht="21.75" customHeight="1">
      <c r="A4" s="116" t="s">
        <v>61</v>
      </c>
      <c r="B4" s="111">
        <f>'01'!AD7</f>
        <v>0</v>
      </c>
      <c r="C4" s="111">
        <f>'02'!AD7</f>
        <v>0</v>
      </c>
      <c r="D4" s="80"/>
      <c r="E4" s="80">
        <f>'04'!AD7</f>
        <v>0</v>
      </c>
      <c r="F4" s="80">
        <f>'05'!AD7</f>
        <v>0</v>
      </c>
      <c r="G4" s="80"/>
      <c r="H4" s="80"/>
      <c r="I4" s="80">
        <f>'08'!AD7</f>
        <v>0</v>
      </c>
      <c r="J4" s="80"/>
      <c r="K4" s="80">
        <f>'10'!AD7</f>
        <v>0</v>
      </c>
      <c r="L4" s="80">
        <f>'11'!AD7</f>
        <v>0</v>
      </c>
      <c r="M4" s="80"/>
      <c r="N4" s="80"/>
      <c r="O4" s="80"/>
      <c r="P4" s="80">
        <f>'15'!AD7</f>
        <v>0</v>
      </c>
      <c r="Q4" s="80">
        <f>'16'!AD7</f>
        <v>0</v>
      </c>
      <c r="R4" s="80">
        <f>'17'!AD7</f>
        <v>0</v>
      </c>
      <c r="S4" s="80">
        <f>'18'!AD7</f>
        <v>0</v>
      </c>
      <c r="T4" s="80"/>
      <c r="U4" s="80"/>
      <c r="V4" s="80"/>
      <c r="W4" s="80">
        <f>'22'!AD7</f>
        <v>0</v>
      </c>
      <c r="X4" s="80">
        <f>'23'!AD7</f>
        <v>0</v>
      </c>
      <c r="Y4" s="80">
        <f>'24'!AD7</f>
        <v>0</v>
      </c>
      <c r="Z4" s="80">
        <f>'25'!AD7</f>
        <v>0</v>
      </c>
      <c r="AA4" s="80"/>
      <c r="AB4" s="80"/>
      <c r="AC4" s="80"/>
      <c r="AD4" s="80">
        <f>'29'!AD7</f>
        <v>0</v>
      </c>
      <c r="AE4" s="80">
        <f>'30'!AD7</f>
        <v>0</v>
      </c>
      <c r="AF4" s="81">
        <f>'31'!AD7</f>
        <v>0</v>
      </c>
      <c r="AG4" s="82">
        <f t="shared" ref="AG4:AG18" si="0">SUM(B4:AF4)/31</f>
        <v>0</v>
      </c>
    </row>
    <row r="5" spans="1:33" ht="21.75" customHeight="1">
      <c r="A5" s="117" t="s">
        <v>62</v>
      </c>
      <c r="B5" s="112">
        <f>'01'!AD8</f>
        <v>1</v>
      </c>
      <c r="C5" s="112">
        <f>'02'!AD8</f>
        <v>1</v>
      </c>
      <c r="D5" s="83"/>
      <c r="E5" s="83">
        <f>'04'!AD8</f>
        <v>0.83333333333333337</v>
      </c>
      <c r="F5" s="83">
        <f>'05'!AD8</f>
        <v>0.45833333333333331</v>
      </c>
      <c r="G5" s="83"/>
      <c r="H5" s="83"/>
      <c r="I5" s="83">
        <f>'08'!AD8</f>
        <v>0.625</v>
      </c>
      <c r="J5" s="83"/>
      <c r="K5" s="83">
        <f>'10'!AD8</f>
        <v>0.41666666666666669</v>
      </c>
      <c r="L5" s="83">
        <f>'11'!AD8</f>
        <v>0.16666666666666666</v>
      </c>
      <c r="M5" s="83"/>
      <c r="N5" s="83"/>
      <c r="O5" s="83"/>
      <c r="P5" s="83">
        <f>'15'!AD8</f>
        <v>0.70833333333333337</v>
      </c>
      <c r="Q5" s="83">
        <f>'16'!AD8</f>
        <v>0.75</v>
      </c>
      <c r="R5" s="83">
        <f>'17'!AD8</f>
        <v>0.41666666666666669</v>
      </c>
      <c r="S5" s="83">
        <f>'18'!AD8+'18'!AD9</f>
        <v>0.41666666666666663</v>
      </c>
      <c r="T5" s="83"/>
      <c r="U5" s="83"/>
      <c r="V5" s="83"/>
      <c r="W5" s="122">
        <f>'22'!AD8</f>
        <v>1</v>
      </c>
      <c r="X5" s="83">
        <f>'23'!AD8</f>
        <v>0.45833333333333331</v>
      </c>
      <c r="Y5" s="83">
        <f>'24'!AD8</f>
        <v>0</v>
      </c>
      <c r="Z5" s="83">
        <f>'25'!AD8</f>
        <v>0.83333333333333337</v>
      </c>
      <c r="AA5" s="83"/>
      <c r="AB5" s="83"/>
      <c r="AC5" s="83"/>
      <c r="AD5" s="83">
        <f>'29'!AD8</f>
        <v>0.66666666666666663</v>
      </c>
      <c r="AE5" s="83">
        <f>'30'!AD8</f>
        <v>1</v>
      </c>
      <c r="AF5" s="84">
        <f>'31'!AD8</f>
        <v>1</v>
      </c>
      <c r="AG5" s="85">
        <f t="shared" si="0"/>
        <v>0.37903225806451618</v>
      </c>
    </row>
    <row r="6" spans="1:33" ht="21.75" customHeight="1">
      <c r="A6" s="118" t="s">
        <v>63</v>
      </c>
      <c r="B6" s="113">
        <f>'01'!AD9+'01'!AD10</f>
        <v>0.29166666666666663</v>
      </c>
      <c r="C6" s="113">
        <f>'02'!AD9+'02'!AD10</f>
        <v>0.79166666666666674</v>
      </c>
      <c r="D6" s="86"/>
      <c r="E6" s="86">
        <f>'04'!AD9</f>
        <v>0.16666666666666666</v>
      </c>
      <c r="F6" s="86">
        <f>'05'!AD9</f>
        <v>0.625</v>
      </c>
      <c r="G6" s="86"/>
      <c r="H6" s="86"/>
      <c r="I6" s="86">
        <f>'08'!AD9</f>
        <v>1</v>
      </c>
      <c r="J6" s="86"/>
      <c r="K6" s="86">
        <f>'10'!AD9</f>
        <v>0.875</v>
      </c>
      <c r="L6" s="86">
        <f>'11'!AD9</f>
        <v>0</v>
      </c>
      <c r="M6" s="86"/>
      <c r="N6" s="86"/>
      <c r="O6" s="86"/>
      <c r="P6" s="86">
        <f>'15'!AD9</f>
        <v>0.625</v>
      </c>
      <c r="Q6" s="86">
        <f>'16'!AD9</f>
        <v>0.79166666666666663</v>
      </c>
      <c r="R6" s="86">
        <f>'17'!AD9</f>
        <v>0.45833333333333331</v>
      </c>
      <c r="S6" s="86">
        <f>'18'!AD10+'18'!AD11</f>
        <v>0.20833333333333331</v>
      </c>
      <c r="T6" s="86"/>
      <c r="U6" s="86"/>
      <c r="V6" s="86"/>
      <c r="W6" s="86">
        <f>'22'!AD9</f>
        <v>0.58333333333333337</v>
      </c>
      <c r="X6" s="86">
        <f>'23'!AD9</f>
        <v>0.875</v>
      </c>
      <c r="Y6" s="86">
        <f>'24'!AD9+'24'!AD10</f>
        <v>0.91666666666666663</v>
      </c>
      <c r="Z6" s="86">
        <f>'25'!AD9+'25'!AD10</f>
        <v>0.9156494078281161</v>
      </c>
      <c r="AA6" s="86"/>
      <c r="AB6" s="86"/>
      <c r="AC6" s="86"/>
      <c r="AD6" s="86">
        <f>'29'!AD9</f>
        <v>1</v>
      </c>
      <c r="AE6" s="86">
        <f>'30'!AD9</f>
        <v>0.875</v>
      </c>
      <c r="AF6" s="87">
        <f>'31'!AD9</f>
        <v>0.91666666666666663</v>
      </c>
      <c r="AG6" s="88">
        <f t="shared" si="0"/>
        <v>0.38437578734929401</v>
      </c>
    </row>
    <row r="7" spans="1:33" ht="21.75" customHeight="1">
      <c r="A7" s="118" t="s">
        <v>64</v>
      </c>
      <c r="B7" s="113">
        <f>'01'!AD11</f>
        <v>0</v>
      </c>
      <c r="C7" s="113">
        <f>'02'!AD11</f>
        <v>0.41666666666666669</v>
      </c>
      <c r="D7" s="86"/>
      <c r="E7" s="86">
        <f>'04'!AD10</f>
        <v>0</v>
      </c>
      <c r="F7" s="86">
        <f>'05'!AD10</f>
        <v>0</v>
      </c>
      <c r="G7" s="86"/>
      <c r="H7" s="86"/>
      <c r="I7" s="86">
        <f>'08'!AD10</f>
        <v>0.45833333333333331</v>
      </c>
      <c r="J7" s="86"/>
      <c r="K7" s="86">
        <f>'10'!AD10</f>
        <v>0</v>
      </c>
      <c r="L7" s="86">
        <f>'11'!AD10</f>
        <v>0</v>
      </c>
      <c r="M7" s="86"/>
      <c r="N7" s="86"/>
      <c r="O7" s="86"/>
      <c r="P7" s="86">
        <f>'15'!AD10</f>
        <v>0</v>
      </c>
      <c r="Q7" s="86">
        <f>'16'!AD10</f>
        <v>0</v>
      </c>
      <c r="R7" s="86">
        <f>'17'!AD10</f>
        <v>0</v>
      </c>
      <c r="S7" s="86">
        <f>'18'!AD12</f>
        <v>0</v>
      </c>
      <c r="T7" s="86"/>
      <c r="U7" s="86"/>
      <c r="V7" s="86"/>
      <c r="W7" s="86">
        <f>'22'!AD10</f>
        <v>0</v>
      </c>
      <c r="X7" s="86">
        <f>'23'!AD10</f>
        <v>0.91666666666666663</v>
      </c>
      <c r="Y7" s="86">
        <f>'24'!AD11+'24'!AD12</f>
        <v>0.87458333333333338</v>
      </c>
      <c r="Z7" s="86">
        <f>'25'!AD11</f>
        <v>1</v>
      </c>
      <c r="AA7" s="86"/>
      <c r="AB7" s="86"/>
      <c r="AC7" s="86"/>
      <c r="AD7" s="86">
        <f>'29'!AD10</f>
        <v>0.95833333333333337</v>
      </c>
      <c r="AE7" s="86">
        <f>'30'!AD10</f>
        <v>1</v>
      </c>
      <c r="AF7" s="87">
        <f>'31'!AD10</f>
        <v>1</v>
      </c>
      <c r="AG7" s="88">
        <f t="shared" si="0"/>
        <v>0.21369623655913977</v>
      </c>
    </row>
    <row r="8" spans="1:33" ht="21.75" customHeight="1">
      <c r="A8" s="118" t="s">
        <v>65</v>
      </c>
      <c r="B8" s="113">
        <f>'01'!AD12</f>
        <v>0</v>
      </c>
      <c r="C8" s="113">
        <f>'02'!AD12</f>
        <v>0</v>
      </c>
      <c r="D8" s="86"/>
      <c r="E8" s="86">
        <f>'04'!AD11</f>
        <v>0</v>
      </c>
      <c r="F8" s="86">
        <f>'05'!AD11</f>
        <v>0</v>
      </c>
      <c r="G8" s="86"/>
      <c r="H8" s="86"/>
      <c r="I8" s="86">
        <f>'08'!AD11</f>
        <v>0</v>
      </c>
      <c r="J8" s="86"/>
      <c r="K8" s="86">
        <f>'10'!AD11</f>
        <v>0</v>
      </c>
      <c r="L8" s="86">
        <f>'11'!AD11</f>
        <v>0</v>
      </c>
      <c r="M8" s="86"/>
      <c r="N8" s="86"/>
      <c r="O8" s="86"/>
      <c r="P8" s="86">
        <f>'15'!AD11</f>
        <v>0</v>
      </c>
      <c r="Q8" s="86">
        <f>'16'!AD11</f>
        <v>0</v>
      </c>
      <c r="R8" s="86">
        <f>'17'!AD11</f>
        <v>0</v>
      </c>
      <c r="S8" s="86">
        <f>'18'!AD13</f>
        <v>0</v>
      </c>
      <c r="T8" s="86"/>
      <c r="U8" s="86"/>
      <c r="V8" s="86"/>
      <c r="W8" s="86">
        <f>'22'!AD11</f>
        <v>0</v>
      </c>
      <c r="X8" s="86">
        <f>'23'!AD11</f>
        <v>0</v>
      </c>
      <c r="Y8" s="86">
        <f>'24'!AD13</f>
        <v>0</v>
      </c>
      <c r="Z8" s="86">
        <f>'25'!AD12</f>
        <v>0</v>
      </c>
      <c r="AA8" s="86"/>
      <c r="AB8" s="86"/>
      <c r="AC8" s="86"/>
      <c r="AD8" s="86">
        <f>'29'!AD11</f>
        <v>0</v>
      </c>
      <c r="AE8" s="86">
        <f>'30'!AD11</f>
        <v>0.875</v>
      </c>
      <c r="AF8" s="87">
        <f>'31'!AD11</f>
        <v>1</v>
      </c>
      <c r="AG8" s="88">
        <f t="shared" si="0"/>
        <v>6.0483870967741937E-2</v>
      </c>
    </row>
    <row r="9" spans="1:33" ht="21.75" customHeight="1">
      <c r="A9" s="118" t="s">
        <v>66</v>
      </c>
      <c r="B9" s="113">
        <f>'01'!AD13</f>
        <v>0.79166666666666663</v>
      </c>
      <c r="C9" s="113">
        <f>'02'!AD13</f>
        <v>0.91666666666666663</v>
      </c>
      <c r="D9" s="86"/>
      <c r="E9" s="86">
        <f>'04'!AD12</f>
        <v>1</v>
      </c>
      <c r="F9" s="86">
        <f>'05'!AD12</f>
        <v>0.16666666666666666</v>
      </c>
      <c r="G9" s="86"/>
      <c r="H9" s="86"/>
      <c r="I9" s="86">
        <f>'08'!AD12</f>
        <v>0.29166666666666669</v>
      </c>
      <c r="J9" s="86"/>
      <c r="K9" s="86">
        <f>'10'!AD12</f>
        <v>0.79166666666666663</v>
      </c>
      <c r="L9" s="86">
        <f>'11'!AD12</f>
        <v>0.20833333333333334</v>
      </c>
      <c r="M9" s="86"/>
      <c r="N9" s="86"/>
      <c r="O9" s="86"/>
      <c r="P9" s="86">
        <f>'15'!AD12</f>
        <v>0.91666666666666663</v>
      </c>
      <c r="Q9" s="86">
        <f>'16'!AD12</f>
        <v>0.58333333333333337</v>
      </c>
      <c r="R9" s="86">
        <f>'17'!AD12</f>
        <v>0</v>
      </c>
      <c r="S9" s="86">
        <f>'18'!AD14</f>
        <v>0</v>
      </c>
      <c r="T9" s="86"/>
      <c r="U9" s="86"/>
      <c r="V9" s="86"/>
      <c r="W9" s="86">
        <f>'22'!AD12</f>
        <v>0.41666666666666669</v>
      </c>
      <c r="X9" s="86">
        <f>'23'!AD12+'23'!AD13</f>
        <v>0.79166666666666674</v>
      </c>
      <c r="Y9" s="86">
        <f>'24'!AD14</f>
        <v>0.75</v>
      </c>
      <c r="Z9" s="86">
        <f>'25'!AD13</f>
        <v>0.9993043478260869</v>
      </c>
      <c r="AA9" s="86"/>
      <c r="AB9" s="86"/>
      <c r="AC9" s="86"/>
      <c r="AD9" s="86">
        <f>'29'!AD12</f>
        <v>1</v>
      </c>
      <c r="AE9" s="86">
        <f>'30'!AD12</f>
        <v>1</v>
      </c>
      <c r="AF9" s="87">
        <f>'31'!AD12</f>
        <v>0.91666666666666663</v>
      </c>
      <c r="AG9" s="88">
        <f t="shared" si="0"/>
        <v>0.37228938756428237</v>
      </c>
    </row>
    <row r="10" spans="1:33" ht="21.75" customHeight="1">
      <c r="A10" s="118" t="s">
        <v>67</v>
      </c>
      <c r="B10" s="113">
        <f>'01'!AD14</f>
        <v>0.375</v>
      </c>
      <c r="C10" s="113">
        <f>'02'!AD14</f>
        <v>0.875</v>
      </c>
      <c r="D10" s="86"/>
      <c r="E10" s="86">
        <f>'04'!AD13</f>
        <v>0.79166666666666663</v>
      </c>
      <c r="F10" s="86">
        <f>'05'!AD13</f>
        <v>1</v>
      </c>
      <c r="G10" s="86"/>
      <c r="H10" s="86"/>
      <c r="I10" s="86">
        <f>'08'!AD13</f>
        <v>1</v>
      </c>
      <c r="J10" s="86"/>
      <c r="K10" s="86">
        <f>'10'!AD13</f>
        <v>1</v>
      </c>
      <c r="L10" s="86">
        <f>'11'!AD13</f>
        <v>0.20833333333333334</v>
      </c>
      <c r="M10" s="86"/>
      <c r="N10" s="86"/>
      <c r="O10" s="86"/>
      <c r="P10" s="86">
        <f>'15'!AD13</f>
        <v>0.20833333333333334</v>
      </c>
      <c r="Q10" s="86">
        <f>'16'!AD13</f>
        <v>1</v>
      </c>
      <c r="R10" s="86">
        <f>'17'!AD13</f>
        <v>0.41666666666666669</v>
      </c>
      <c r="S10" s="86">
        <f>'18'!AD15</f>
        <v>0.41666666666666669</v>
      </c>
      <c r="T10" s="86"/>
      <c r="U10" s="86"/>
      <c r="V10" s="86"/>
      <c r="W10" s="86">
        <f>'22'!AD13</f>
        <v>1</v>
      </c>
      <c r="X10" s="86">
        <f>'23'!AD14</f>
        <v>1</v>
      </c>
      <c r="Y10" s="86">
        <f>'24'!AD15</f>
        <v>0</v>
      </c>
      <c r="Z10" s="86">
        <f>'25'!AD14</f>
        <v>0</v>
      </c>
      <c r="AA10" s="86"/>
      <c r="AB10" s="86"/>
      <c r="AC10" s="86"/>
      <c r="AD10" s="86">
        <f>'29'!AD13</f>
        <v>0</v>
      </c>
      <c r="AE10" s="86">
        <f>'30'!AD13</f>
        <v>0</v>
      </c>
      <c r="AF10" s="87">
        <f>'31'!AD13</f>
        <v>0.5</v>
      </c>
      <c r="AG10" s="88">
        <f t="shared" si="0"/>
        <v>0.31586021505376344</v>
      </c>
    </row>
    <row r="11" spans="1:33" ht="21.75" customHeight="1">
      <c r="A11" s="117" t="s">
        <v>68</v>
      </c>
      <c r="B11" s="112">
        <f>'01'!AD15</f>
        <v>0</v>
      </c>
      <c r="C11" s="112">
        <f>'02'!AD15</f>
        <v>0</v>
      </c>
      <c r="D11" s="83"/>
      <c r="E11" s="83">
        <f>'04'!AD14</f>
        <v>0</v>
      </c>
      <c r="F11" s="83">
        <f>'05'!AD14</f>
        <v>0</v>
      </c>
      <c r="G11" s="83"/>
      <c r="H11" s="83"/>
      <c r="I11" s="83">
        <f>'08'!AD14</f>
        <v>0</v>
      </c>
      <c r="J11" s="83"/>
      <c r="K11" s="83">
        <f>'10'!AD14</f>
        <v>0</v>
      </c>
      <c r="L11" s="83">
        <f>'11'!AD14</f>
        <v>0</v>
      </c>
      <c r="M11" s="83"/>
      <c r="N11" s="83"/>
      <c r="O11" s="83"/>
      <c r="P11" s="83">
        <f>'15'!AD14</f>
        <v>0</v>
      </c>
      <c r="Q11" s="83">
        <f>'16'!AD14</f>
        <v>0</v>
      </c>
      <c r="R11" s="83">
        <f>'17'!AD14</f>
        <v>0</v>
      </c>
      <c r="S11" s="83">
        <f>'18'!AD16</f>
        <v>0</v>
      </c>
      <c r="T11" s="83"/>
      <c r="U11" s="83"/>
      <c r="V11" s="83"/>
      <c r="W11" s="83">
        <f>'22'!AD14</f>
        <v>0</v>
      </c>
      <c r="X11" s="83">
        <f>'23'!AD15</f>
        <v>0</v>
      </c>
      <c r="Y11" s="83">
        <f>'24'!AD16</f>
        <v>0</v>
      </c>
      <c r="Z11" s="83">
        <f>'25'!AD15</f>
        <v>0</v>
      </c>
      <c r="AA11" s="83"/>
      <c r="AB11" s="83"/>
      <c r="AC11" s="83"/>
      <c r="AD11" s="83">
        <f>'29'!AD14</f>
        <v>0</v>
      </c>
      <c r="AE11" s="83">
        <f>'30'!AD14</f>
        <v>0.875</v>
      </c>
      <c r="AF11" s="84">
        <f>'31'!AD14</f>
        <v>1</v>
      </c>
      <c r="AG11" s="85">
        <f t="shared" si="0"/>
        <v>6.0483870967741937E-2</v>
      </c>
    </row>
    <row r="12" spans="1:33" ht="21.75" customHeight="1">
      <c r="A12" s="117" t="s">
        <v>69</v>
      </c>
      <c r="B12" s="112">
        <f>'01'!AD16</f>
        <v>0</v>
      </c>
      <c r="C12" s="112">
        <f>'02'!AD16</f>
        <v>0.67480547357123699</v>
      </c>
      <c r="D12" s="83"/>
      <c r="E12" s="83">
        <f>'04'!AD15</f>
        <v>0</v>
      </c>
      <c r="F12" s="83">
        <f>'05'!AD15</f>
        <v>0</v>
      </c>
      <c r="G12" s="83"/>
      <c r="H12" s="83"/>
      <c r="I12" s="83">
        <f>'08'!AD15</f>
        <v>0</v>
      </c>
      <c r="J12" s="83"/>
      <c r="K12" s="83">
        <f>'10'!AD15</f>
        <v>0</v>
      </c>
      <c r="L12" s="83">
        <f>'11'!AD15</f>
        <v>0</v>
      </c>
      <c r="M12" s="83"/>
      <c r="N12" s="83"/>
      <c r="O12" s="83"/>
      <c r="P12" s="83">
        <f>'15'!AD15</f>
        <v>0</v>
      </c>
      <c r="Q12" s="83">
        <f>'16'!AD15</f>
        <v>0</v>
      </c>
      <c r="R12" s="83">
        <f>'17'!AD15</f>
        <v>0</v>
      </c>
      <c r="S12" s="83">
        <f>'18'!AD17</f>
        <v>0</v>
      </c>
      <c r="T12" s="83"/>
      <c r="U12" s="83"/>
      <c r="V12" s="83"/>
      <c r="W12" s="83">
        <f>'22'!AD15</f>
        <v>0</v>
      </c>
      <c r="X12" s="83">
        <f>'23'!AD16</f>
        <v>0</v>
      </c>
      <c r="Y12" s="83">
        <f>'24'!AD17</f>
        <v>0</v>
      </c>
      <c r="Z12" s="83">
        <f>'25'!AD16</f>
        <v>0</v>
      </c>
      <c r="AA12" s="83"/>
      <c r="AB12" s="83"/>
      <c r="AC12" s="83"/>
      <c r="AD12" s="83">
        <f>'29'!AD15</f>
        <v>0</v>
      </c>
      <c r="AE12" s="83">
        <f>'30'!AD15</f>
        <v>0</v>
      </c>
      <c r="AF12" s="84">
        <f>'31'!AD15</f>
        <v>0.5</v>
      </c>
      <c r="AG12" s="85">
        <f t="shared" si="0"/>
        <v>3.7896950760362487E-2</v>
      </c>
    </row>
    <row r="13" spans="1:33" ht="21.75" customHeight="1">
      <c r="A13" s="117" t="s">
        <v>70</v>
      </c>
      <c r="B13" s="112">
        <f>'01'!AD17</f>
        <v>1</v>
      </c>
      <c r="C13" s="112">
        <f>'02'!AD17</f>
        <v>0.66666666666666663</v>
      </c>
      <c r="D13" s="83"/>
      <c r="E13" s="83">
        <f>'04'!AD16</f>
        <v>1</v>
      </c>
      <c r="F13" s="83">
        <f>'05'!AD16+'05'!AD17</f>
        <v>0.91666666666666674</v>
      </c>
      <c r="G13" s="83"/>
      <c r="H13" s="83"/>
      <c r="I13" s="83">
        <f>'08'!AD16</f>
        <v>0.70833333333333337</v>
      </c>
      <c r="J13" s="83"/>
      <c r="K13" s="83">
        <f>'10'!AD16</f>
        <v>0</v>
      </c>
      <c r="L13" s="83">
        <f>'11'!AD16</f>
        <v>0</v>
      </c>
      <c r="M13" s="83"/>
      <c r="N13" s="83"/>
      <c r="O13" s="83"/>
      <c r="P13" s="83">
        <f>'15'!AD16</f>
        <v>0.33333333333333331</v>
      </c>
      <c r="Q13" s="83">
        <f>'16'!AD16</f>
        <v>0.33090909090909087</v>
      </c>
      <c r="R13" s="83">
        <f>'17'!AD16</f>
        <v>0.45833333333333331</v>
      </c>
      <c r="S13" s="83">
        <f>'18'!AD18</f>
        <v>0.45833333333333331</v>
      </c>
      <c r="T13" s="83"/>
      <c r="U13" s="83"/>
      <c r="V13" s="83"/>
      <c r="W13" s="83">
        <f>'22'!AD16</f>
        <v>0.70833333333333337</v>
      </c>
      <c r="X13" s="83">
        <f>'23'!AD17</f>
        <v>0</v>
      </c>
      <c r="Y13" s="83">
        <f>'24'!AD18</f>
        <v>0</v>
      </c>
      <c r="Z13" s="83">
        <f>'25'!AD17</f>
        <v>0</v>
      </c>
      <c r="AA13" s="83"/>
      <c r="AB13" s="83"/>
      <c r="AC13" s="83"/>
      <c r="AD13" s="83">
        <f>'29'!AD16</f>
        <v>0</v>
      </c>
      <c r="AE13" s="83">
        <f>'30'!AD16</f>
        <v>0.25</v>
      </c>
      <c r="AF13" s="84">
        <f>'31'!AD16</f>
        <v>0.91666666666666663</v>
      </c>
      <c r="AG13" s="85">
        <f t="shared" si="0"/>
        <v>0.24992179863147601</v>
      </c>
    </row>
    <row r="14" spans="1:33" ht="21.75" customHeight="1">
      <c r="A14" s="117" t="s">
        <v>71</v>
      </c>
      <c r="B14" s="112">
        <f>'01'!AD18</f>
        <v>0.33333333333333331</v>
      </c>
      <c r="C14" s="112">
        <f>'02'!AD18</f>
        <v>0</v>
      </c>
      <c r="D14" s="83"/>
      <c r="E14" s="83">
        <f>'04'!AD17</f>
        <v>0</v>
      </c>
      <c r="F14" s="83">
        <f>'05'!AD18</f>
        <v>0</v>
      </c>
      <c r="G14" s="83"/>
      <c r="H14" s="83"/>
      <c r="I14" s="83">
        <f>'08'!AD17</f>
        <v>0</v>
      </c>
      <c r="J14" s="83"/>
      <c r="K14" s="83">
        <f>'10'!AD17</f>
        <v>0</v>
      </c>
      <c r="L14" s="83">
        <f>'11'!AD17</f>
        <v>0</v>
      </c>
      <c r="M14" s="83"/>
      <c r="N14" s="83"/>
      <c r="O14" s="83"/>
      <c r="P14" s="83">
        <f>'15'!AD17</f>
        <v>0</v>
      </c>
      <c r="Q14" s="83">
        <f>'16'!AD17</f>
        <v>0</v>
      </c>
      <c r="R14" s="83">
        <f>'17'!AD17</f>
        <v>0.16666666666666666</v>
      </c>
      <c r="S14" s="83">
        <f>'18'!AD19</f>
        <v>0</v>
      </c>
      <c r="T14" s="83"/>
      <c r="U14" s="83"/>
      <c r="V14" s="83"/>
      <c r="W14" s="83">
        <f>'22'!AD17</f>
        <v>0.16666666666666666</v>
      </c>
      <c r="X14" s="83">
        <f>'23'!AD18</f>
        <v>0</v>
      </c>
      <c r="Y14" s="83">
        <f>'24'!AD19</f>
        <v>0</v>
      </c>
      <c r="Z14" s="83">
        <f>'25'!AD18</f>
        <v>0</v>
      </c>
      <c r="AA14" s="83"/>
      <c r="AB14" s="83"/>
      <c r="AC14" s="83"/>
      <c r="AD14" s="83">
        <f>'29'!AD17</f>
        <v>0.375</v>
      </c>
      <c r="AE14" s="83">
        <f>'30'!AD17</f>
        <v>0</v>
      </c>
      <c r="AF14" s="84">
        <f>'31'!AD17</f>
        <v>0</v>
      </c>
      <c r="AG14" s="85">
        <f t="shared" si="0"/>
        <v>3.3602150537634407E-2</v>
      </c>
    </row>
    <row r="15" spans="1:33" ht="21.75" customHeight="1">
      <c r="A15" s="118" t="s">
        <v>72</v>
      </c>
      <c r="B15" s="113">
        <f>'01'!AD19</f>
        <v>1</v>
      </c>
      <c r="C15" s="113">
        <f>'02'!AD19+'02'!AD20</f>
        <v>0.91666666666666663</v>
      </c>
      <c r="D15" s="86"/>
      <c r="E15" s="86">
        <f>'04'!AD18</f>
        <v>0.91666666666666663</v>
      </c>
      <c r="F15" s="86">
        <f>'05'!AD19</f>
        <v>1</v>
      </c>
      <c r="G15" s="86"/>
      <c r="H15" s="86"/>
      <c r="I15" s="86">
        <f>'08'!AD18+'08'!AD19</f>
        <v>0.95833333333333337</v>
      </c>
      <c r="J15" s="86"/>
      <c r="K15" s="86">
        <f>'10'!AD18</f>
        <v>1</v>
      </c>
      <c r="L15" s="86">
        <f>'11'!AD18</f>
        <v>0</v>
      </c>
      <c r="M15" s="86"/>
      <c r="N15" s="86"/>
      <c r="O15" s="86"/>
      <c r="P15" s="86">
        <f>'15'!AD18</f>
        <v>0.625</v>
      </c>
      <c r="Q15" s="86">
        <f>'16'!AD18</f>
        <v>0.70833333333333337</v>
      </c>
      <c r="R15" s="86">
        <f>'17'!AD18</f>
        <v>0</v>
      </c>
      <c r="S15" s="86">
        <f>'18'!AD20</f>
        <v>0</v>
      </c>
      <c r="T15" s="86"/>
      <c r="U15" s="86"/>
      <c r="V15" s="86"/>
      <c r="W15" s="86">
        <f>'22'!AD18</f>
        <v>0.91666666666666663</v>
      </c>
      <c r="X15" s="86">
        <f>'23'!AD19+'23'!AD20</f>
        <v>0.95833333333333326</v>
      </c>
      <c r="Y15" s="86">
        <f>'24'!AD20</f>
        <v>0.79166666666666663</v>
      </c>
      <c r="Z15" s="86">
        <f>'25'!AD19</f>
        <v>0.99952755905511814</v>
      </c>
      <c r="AA15" s="86"/>
      <c r="AB15" s="86"/>
      <c r="AC15" s="86"/>
      <c r="AD15" s="86">
        <f>'29'!AD18</f>
        <v>1</v>
      </c>
      <c r="AE15" s="86">
        <f>'30'!AD18+'30'!AD19</f>
        <v>0.91666666666666663</v>
      </c>
      <c r="AF15" s="87">
        <f>'31'!AD18</f>
        <v>1</v>
      </c>
      <c r="AG15" s="88">
        <f t="shared" si="0"/>
        <v>0.44218906104478867</v>
      </c>
    </row>
    <row r="16" spans="1:33" ht="21.75" customHeight="1">
      <c r="A16" s="118" t="s">
        <v>73</v>
      </c>
      <c r="B16" s="113">
        <f>'01'!AD20</f>
        <v>0.875</v>
      </c>
      <c r="C16" s="113">
        <f>'02'!AD21</f>
        <v>0</v>
      </c>
      <c r="D16" s="86"/>
      <c r="E16" s="86">
        <f>'04'!AD19</f>
        <v>0</v>
      </c>
      <c r="F16" s="86">
        <f>'05'!AD20</f>
        <v>0.79166666666666663</v>
      </c>
      <c r="G16" s="86"/>
      <c r="H16" s="86"/>
      <c r="I16" s="86">
        <f>'08'!AD20</f>
        <v>1</v>
      </c>
      <c r="J16" s="86"/>
      <c r="K16" s="86">
        <f>'10'!AD19</f>
        <v>0.5</v>
      </c>
      <c r="L16" s="86">
        <f>'11'!AD19</f>
        <v>0.25</v>
      </c>
      <c r="M16" s="86"/>
      <c r="N16" s="86"/>
      <c r="O16" s="86"/>
      <c r="P16" s="86">
        <f>'15'!AD19</f>
        <v>0.83333333333333337</v>
      </c>
      <c r="Q16" s="86">
        <f>'16'!AD19</f>
        <v>0.66666666666666663</v>
      </c>
      <c r="R16" s="86">
        <f>'17'!AD19</f>
        <v>0.33333333333333331</v>
      </c>
      <c r="S16" s="86">
        <f>'18'!AD21</f>
        <v>0.16666666666666666</v>
      </c>
      <c r="T16" s="86"/>
      <c r="U16" s="86"/>
      <c r="V16" s="86"/>
      <c r="W16" s="86">
        <f>'22'!AD19</f>
        <v>0.91666666666666663</v>
      </c>
      <c r="X16" s="86">
        <f>'23'!AD21</f>
        <v>1</v>
      </c>
      <c r="Y16" s="86">
        <f>'24'!AD21+'24'!AD22</f>
        <v>0.83333333333333326</v>
      </c>
      <c r="Z16" s="86">
        <f>'25'!AD20</f>
        <v>1</v>
      </c>
      <c r="AA16" s="86"/>
      <c r="AB16" s="86"/>
      <c r="AC16" s="86"/>
      <c r="AD16" s="86">
        <f>'29'!AD19</f>
        <v>0</v>
      </c>
      <c r="AE16" s="86">
        <f>'30'!AD20</f>
        <v>0.95813973063973068</v>
      </c>
      <c r="AF16" s="87">
        <f>'31'!AD19</f>
        <v>1</v>
      </c>
      <c r="AG16" s="88">
        <f t="shared" si="0"/>
        <v>0.35886472249375478</v>
      </c>
    </row>
    <row r="17" spans="1:33" ht="21.75" customHeight="1" thickBot="1">
      <c r="A17" s="119" t="s">
        <v>111</v>
      </c>
      <c r="B17" s="114">
        <f>'01'!AD21</f>
        <v>0</v>
      </c>
      <c r="C17" s="114">
        <f>'02'!AD22</f>
        <v>0</v>
      </c>
      <c r="D17" s="89"/>
      <c r="E17" s="89">
        <f>'04'!AD20</f>
        <v>0</v>
      </c>
      <c r="F17" s="89">
        <f>'05'!AD21</f>
        <v>0</v>
      </c>
      <c r="G17" s="89"/>
      <c r="H17" s="89"/>
      <c r="I17" s="89">
        <f>'08'!AD21</f>
        <v>0</v>
      </c>
      <c r="J17" s="89"/>
      <c r="K17" s="89">
        <f>'10'!AD20</f>
        <v>0</v>
      </c>
      <c r="L17" s="89">
        <f>'11'!AD20</f>
        <v>0</v>
      </c>
      <c r="M17" s="89"/>
      <c r="N17" s="89"/>
      <c r="O17" s="89"/>
      <c r="P17" s="89">
        <f>'15'!AD20</f>
        <v>0</v>
      </c>
      <c r="Q17" s="89">
        <f>'16'!AD20</f>
        <v>0</v>
      </c>
      <c r="R17" s="89">
        <f>'17'!AD20</f>
        <v>0</v>
      </c>
      <c r="S17" s="89">
        <f>'18'!AD22</f>
        <v>0</v>
      </c>
      <c r="T17" s="89"/>
      <c r="U17" s="89"/>
      <c r="V17" s="89"/>
      <c r="W17" s="89">
        <f>'22'!AD20</f>
        <v>0</v>
      </c>
      <c r="X17" s="89">
        <f>'23'!AD22</f>
        <v>0</v>
      </c>
      <c r="Y17" s="89">
        <f>'24'!AD23</f>
        <v>0</v>
      </c>
      <c r="Z17" s="89">
        <f>'25'!AD21</f>
        <v>0</v>
      </c>
      <c r="AA17" s="89"/>
      <c r="AB17" s="89"/>
      <c r="AC17" s="89"/>
      <c r="AD17" s="89">
        <f>'29'!AD20</f>
        <v>0.45833333333333331</v>
      </c>
      <c r="AE17" s="89">
        <f>'30'!AD21</f>
        <v>0.45833333333333331</v>
      </c>
      <c r="AF17" s="90">
        <f>'31'!AD20</f>
        <v>0.45833333333333331</v>
      </c>
      <c r="AG17" s="91">
        <f t="shared" si="0"/>
        <v>4.4354838709677422E-2</v>
      </c>
    </row>
    <row r="18" spans="1:33" s="92" customFormat="1" ht="21.75" customHeight="1">
      <c r="A18" s="96" t="s">
        <v>105</v>
      </c>
      <c r="B18" s="100">
        <f>'01'!AD22</f>
        <v>0.37777777777777782</v>
      </c>
      <c r="C18" s="100">
        <f>'02'!AD23</f>
        <v>0.41720925379363805</v>
      </c>
      <c r="D18" s="101"/>
      <c r="E18" s="101">
        <f>'04'!AD21</f>
        <v>0.31388888888888888</v>
      </c>
      <c r="F18" s="101">
        <f>'05'!AD22</f>
        <v>0.3305555555555556</v>
      </c>
      <c r="G18" s="101"/>
      <c r="H18" s="101"/>
      <c r="I18" s="101">
        <f>'08'!AD22</f>
        <v>0.40277777777777773</v>
      </c>
      <c r="J18" s="101"/>
      <c r="K18" s="101">
        <f>'10'!AD21</f>
        <v>0.30555555555555558</v>
      </c>
      <c r="L18" s="101">
        <f>'11'!AD21</f>
        <v>5.5555555555555559E-2</v>
      </c>
      <c r="M18" s="101"/>
      <c r="N18" s="101"/>
      <c r="O18" s="101"/>
      <c r="P18" s="101">
        <f>'15'!AD21</f>
        <v>0.28333333333333333</v>
      </c>
      <c r="Q18" s="101">
        <f>'16'!AD21</f>
        <v>0.32206060606060605</v>
      </c>
      <c r="R18" s="101">
        <f>'17'!AD21</f>
        <v>0.15</v>
      </c>
      <c r="S18" s="101">
        <f>'18'!AD23</f>
        <v>0.11111111111111112</v>
      </c>
      <c r="T18" s="101"/>
      <c r="U18" s="101"/>
      <c r="V18" s="101"/>
      <c r="W18" s="101">
        <f>'22'!AD21</f>
        <v>0.38055555555555559</v>
      </c>
      <c r="X18" s="101">
        <f>'23'!AD23</f>
        <v>0.4</v>
      </c>
      <c r="Y18" s="101">
        <f>'24'!AD24</f>
        <v>0.27775</v>
      </c>
      <c r="Z18" s="101">
        <f>'25'!AD22</f>
        <v>0.3831876432028436</v>
      </c>
      <c r="AA18" s="101"/>
      <c r="AB18" s="101"/>
      <c r="AC18" s="101"/>
      <c r="AD18" s="101">
        <f>'29'!AD21</f>
        <v>0.36388888888888887</v>
      </c>
      <c r="AE18" s="101">
        <f>'30'!AD22</f>
        <v>0.54720931537598205</v>
      </c>
      <c r="AF18" s="102">
        <f>'31'!AD21</f>
        <v>0.68055555555555558</v>
      </c>
      <c r="AG18" s="105">
        <f t="shared" si="0"/>
        <v>0.19687007658027819</v>
      </c>
    </row>
    <row r="19" spans="1:33" ht="21.75" customHeight="1" thickBot="1">
      <c r="A19" s="75" t="s">
        <v>109</v>
      </c>
      <c r="B19" s="76">
        <v>0.7</v>
      </c>
      <c r="C19" s="77">
        <v>0.7</v>
      </c>
      <c r="D19" s="77">
        <v>0.7</v>
      </c>
      <c r="E19" s="77">
        <v>0.7</v>
      </c>
      <c r="F19" s="77">
        <v>0.7</v>
      </c>
      <c r="G19" s="77">
        <v>0.7</v>
      </c>
      <c r="H19" s="77">
        <v>0.7</v>
      </c>
      <c r="I19" s="77">
        <v>0.7</v>
      </c>
      <c r="J19" s="77">
        <v>0.7</v>
      </c>
      <c r="K19" s="77">
        <v>0.7</v>
      </c>
      <c r="L19" s="77">
        <v>0.7</v>
      </c>
      <c r="M19" s="77">
        <v>0.7</v>
      </c>
      <c r="N19" s="77">
        <v>0.7</v>
      </c>
      <c r="O19" s="77">
        <v>0.7</v>
      </c>
      <c r="P19" s="77">
        <v>0.7</v>
      </c>
      <c r="Q19" s="77">
        <v>0.7</v>
      </c>
      <c r="R19" s="77">
        <v>0.7</v>
      </c>
      <c r="S19" s="77">
        <v>0.7</v>
      </c>
      <c r="T19" s="77">
        <v>0.7</v>
      </c>
      <c r="U19" s="77">
        <v>0.7</v>
      </c>
      <c r="V19" s="77">
        <v>0.7</v>
      </c>
      <c r="W19" s="77">
        <v>0.7</v>
      </c>
      <c r="X19" s="77">
        <v>0.7</v>
      </c>
      <c r="Y19" s="77">
        <v>0.7</v>
      </c>
      <c r="Z19" s="77">
        <v>0.7</v>
      </c>
      <c r="AA19" s="77">
        <v>0.7</v>
      </c>
      <c r="AB19" s="77">
        <v>0.7</v>
      </c>
      <c r="AC19" s="77">
        <v>0.7</v>
      </c>
      <c r="AD19" s="77">
        <v>0.7</v>
      </c>
      <c r="AE19" s="77">
        <v>0.7</v>
      </c>
      <c r="AF19" s="78">
        <v>0.7</v>
      </c>
      <c r="AG19" s="79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1772-EF67-43B9-85F9-622F7487A147}">
  <sheetPr>
    <pageSetUpPr fitToPage="1"/>
  </sheetPr>
  <dimension ref="A1:AF86"/>
  <sheetViews>
    <sheetView zoomScale="72" zoomScaleNormal="72" zoomScaleSheetLayoutView="70" workbookViewId="0">
      <selection activeCell="F78" sqref="F78:J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313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212" t="s">
        <v>17</v>
      </c>
      <c r="L5" s="212" t="s">
        <v>18</v>
      </c>
      <c r="M5" s="212" t="s">
        <v>19</v>
      </c>
      <c r="N5" s="21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0.32206060606060605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0.32206060606060605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314</v>
      </c>
      <c r="D8" s="55"/>
      <c r="E8" s="57" t="s">
        <v>315</v>
      </c>
      <c r="F8" s="33" t="s">
        <v>231</v>
      </c>
      <c r="G8" s="36" t="s">
        <v>167</v>
      </c>
      <c r="H8" s="38">
        <v>25</v>
      </c>
      <c r="I8" s="7">
        <v>2500</v>
      </c>
      <c r="J8" s="5">
        <v>2677</v>
      </c>
      <c r="K8" s="15">
        <f>L8</f>
        <v>2677</v>
      </c>
      <c r="L8" s="15">
        <f>515+2162</f>
        <v>2677</v>
      </c>
      <c r="M8" s="16">
        <f t="shared" si="0"/>
        <v>2677</v>
      </c>
      <c r="N8" s="16">
        <v>0</v>
      </c>
      <c r="O8" s="62">
        <f t="shared" si="1"/>
        <v>0</v>
      </c>
      <c r="P8" s="42">
        <f t="shared" si="2"/>
        <v>18</v>
      </c>
      <c r="Q8" s="43">
        <f t="shared" si="3"/>
        <v>6</v>
      </c>
      <c r="R8" s="7"/>
      <c r="S8" s="6"/>
      <c r="T8" s="17">
        <v>6</v>
      </c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0.75</v>
      </c>
      <c r="AD8" s="10">
        <f t="shared" si="6"/>
        <v>0.75</v>
      </c>
      <c r="AE8" s="39">
        <f t="shared" si="7"/>
        <v>0.32206060606060605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114</v>
      </c>
      <c r="D9" s="55" t="s">
        <v>219</v>
      </c>
      <c r="E9" s="57" t="s">
        <v>217</v>
      </c>
      <c r="F9" s="33" t="s">
        <v>231</v>
      </c>
      <c r="G9" s="36">
        <v>1</v>
      </c>
      <c r="H9" s="38">
        <v>25</v>
      </c>
      <c r="I9" s="7">
        <v>13000</v>
      </c>
      <c r="J9" s="5">
        <v>3281</v>
      </c>
      <c r="K9" s="15">
        <f>L9+3665+2500+3483+2000+1207+3121</f>
        <v>19257</v>
      </c>
      <c r="L9" s="15">
        <f>464+2817</f>
        <v>3281</v>
      </c>
      <c r="M9" s="16">
        <f t="shared" si="0"/>
        <v>3281</v>
      </c>
      <c r="N9" s="16">
        <v>0</v>
      </c>
      <c r="O9" s="62">
        <f t="shared" si="1"/>
        <v>0</v>
      </c>
      <c r="P9" s="42">
        <f t="shared" si="2"/>
        <v>19</v>
      </c>
      <c r="Q9" s="43">
        <f t="shared" si="3"/>
        <v>5</v>
      </c>
      <c r="R9" s="7"/>
      <c r="S9" s="6">
        <v>5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0.79166666666666663</v>
      </c>
      <c r="AD9" s="10">
        <f t="shared" si="6"/>
        <v>0.79166666666666663</v>
      </c>
      <c r="AE9" s="39">
        <f t="shared" si="7"/>
        <v>0.32206060606060605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136</v>
      </c>
      <c r="D10" s="55" t="s">
        <v>262</v>
      </c>
      <c r="E10" s="57" t="s">
        <v>263</v>
      </c>
      <c r="F10" s="12" t="s">
        <v>166</v>
      </c>
      <c r="G10" s="12">
        <v>1</v>
      </c>
      <c r="H10" s="13">
        <v>25</v>
      </c>
      <c r="I10" s="7">
        <v>3000</v>
      </c>
      <c r="J10" s="14">
        <v>1577</v>
      </c>
      <c r="K10" s="15">
        <f>L10+1577</f>
        <v>1577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>
        <v>24</v>
      </c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0.32206060606060605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6500</v>
      </c>
      <c r="J11" s="5">
        <v>2357</v>
      </c>
      <c r="K11" s="15">
        <f>L11+5687+2357</f>
        <v>8044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0.32206060606060605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246</v>
      </c>
      <c r="E12" s="57" t="s">
        <v>221</v>
      </c>
      <c r="F12" s="12" t="s">
        <v>146</v>
      </c>
      <c r="G12" s="12">
        <v>1</v>
      </c>
      <c r="H12" s="13">
        <v>25</v>
      </c>
      <c r="I12" s="7">
        <v>13000</v>
      </c>
      <c r="J12" s="14">
        <v>2290</v>
      </c>
      <c r="K12" s="15">
        <f>L12+397+1187+3410+1354+4087</f>
        <v>12725</v>
      </c>
      <c r="L12" s="15">
        <f>2152+138</f>
        <v>2290</v>
      </c>
      <c r="M12" s="16">
        <f t="shared" si="0"/>
        <v>2290</v>
      </c>
      <c r="N12" s="16">
        <v>0</v>
      </c>
      <c r="O12" s="62">
        <f t="shared" si="1"/>
        <v>0</v>
      </c>
      <c r="P12" s="42">
        <f t="shared" si="2"/>
        <v>14</v>
      </c>
      <c r="Q12" s="43">
        <f t="shared" si="3"/>
        <v>10</v>
      </c>
      <c r="R12" s="7"/>
      <c r="S12" s="6"/>
      <c r="T12" s="17"/>
      <c r="U12" s="17"/>
      <c r="V12" s="18"/>
      <c r="W12" s="19">
        <v>10</v>
      </c>
      <c r="X12" s="17"/>
      <c r="Y12" s="20"/>
      <c r="Z12" s="20"/>
      <c r="AA12" s="21"/>
      <c r="AB12" s="8">
        <f t="shared" si="4"/>
        <v>1</v>
      </c>
      <c r="AC12" s="9">
        <f t="shared" si="5"/>
        <v>0.58333333333333337</v>
      </c>
      <c r="AD12" s="10">
        <f t="shared" si="6"/>
        <v>0.58333333333333337</v>
      </c>
      <c r="AE12" s="39">
        <f t="shared" si="7"/>
        <v>0.32206060606060605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295</v>
      </c>
      <c r="F13" s="12" t="s">
        <v>146</v>
      </c>
      <c r="G13" s="12">
        <v>1</v>
      </c>
      <c r="H13" s="13">
        <v>25</v>
      </c>
      <c r="I13" s="7">
        <v>35000</v>
      </c>
      <c r="J13" s="14">
        <v>4519</v>
      </c>
      <c r="K13" s="15">
        <f>L13+761</f>
        <v>5280</v>
      </c>
      <c r="L13" s="15">
        <f>2779+1740</f>
        <v>4519</v>
      </c>
      <c r="M13" s="16">
        <f t="shared" si="0"/>
        <v>4519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1</v>
      </c>
      <c r="AD13" s="10">
        <f t="shared" si="6"/>
        <v>1</v>
      </c>
      <c r="AE13" s="39">
        <f t="shared" si="7"/>
        <v>0.32206060606060605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139</v>
      </c>
      <c r="F14" s="33" t="s">
        <v>138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0.32206060606060605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136</v>
      </c>
      <c r="D15" s="55" t="s">
        <v>131</v>
      </c>
      <c r="E15" s="57" t="s">
        <v>195</v>
      </c>
      <c r="F15" s="12" t="s">
        <v>207</v>
      </c>
      <c r="G15" s="12">
        <v>3</v>
      </c>
      <c r="H15" s="13">
        <v>24</v>
      </c>
      <c r="I15" s="34">
        <v>6000</v>
      </c>
      <c r="J15" s="14">
        <v>7454</v>
      </c>
      <c r="K15" s="15">
        <f>L15+7545</f>
        <v>7545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0.32206060606060605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114</v>
      </c>
      <c r="D16" s="55" t="s">
        <v>152</v>
      </c>
      <c r="E16" s="57" t="s">
        <v>283</v>
      </c>
      <c r="F16" s="33" t="s">
        <v>132</v>
      </c>
      <c r="G16" s="36">
        <v>1</v>
      </c>
      <c r="H16" s="38">
        <v>24</v>
      </c>
      <c r="I16" s="7">
        <v>850</v>
      </c>
      <c r="J16" s="5">
        <v>1100</v>
      </c>
      <c r="K16" s="15">
        <f>L16+1150</f>
        <v>2242</v>
      </c>
      <c r="L16" s="15">
        <v>1092</v>
      </c>
      <c r="M16" s="16">
        <f t="shared" si="0"/>
        <v>1092</v>
      </c>
      <c r="N16" s="16">
        <v>0</v>
      </c>
      <c r="O16" s="62">
        <f t="shared" si="1"/>
        <v>0</v>
      </c>
      <c r="P16" s="42">
        <f t="shared" si="2"/>
        <v>8</v>
      </c>
      <c r="Q16" s="43">
        <f t="shared" si="3"/>
        <v>16</v>
      </c>
      <c r="R16" s="7"/>
      <c r="S16" s="6"/>
      <c r="T16" s="17"/>
      <c r="U16" s="17"/>
      <c r="V16" s="18"/>
      <c r="W16" s="19">
        <v>16</v>
      </c>
      <c r="X16" s="17"/>
      <c r="Y16" s="20"/>
      <c r="Z16" s="20"/>
      <c r="AA16" s="21"/>
      <c r="AB16" s="8">
        <f t="shared" si="4"/>
        <v>0.99272727272727268</v>
      </c>
      <c r="AC16" s="9">
        <f t="shared" si="5"/>
        <v>0.33333333333333331</v>
      </c>
      <c r="AD16" s="10">
        <f t="shared" si="6"/>
        <v>0.33090909090909087</v>
      </c>
      <c r="AE16" s="39">
        <f t="shared" si="7"/>
        <v>0.32206060606060605</v>
      </c>
      <c r="AF16" s="93">
        <f t="shared" si="8"/>
        <v>11</v>
      </c>
    </row>
    <row r="17" spans="1:32" ht="27" customHeight="1">
      <c r="A17" s="108">
        <v>12</v>
      </c>
      <c r="B17" s="11"/>
      <c r="C17" s="11"/>
      <c r="D17" s="55"/>
      <c r="E17" s="57"/>
      <c r="F17" s="12"/>
      <c r="G17" s="12"/>
      <c r="H17" s="13"/>
      <c r="I17" s="34"/>
      <c r="J17" s="14"/>
      <c r="K17" s="15">
        <f>L17</f>
        <v>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/>
      <c r="X17" s="17"/>
      <c r="Y17" s="20"/>
      <c r="Z17" s="20"/>
      <c r="AA17" s="21">
        <v>24</v>
      </c>
      <c r="AB17" s="8" t="str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0.32206060606060605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150</v>
      </c>
      <c r="E18" s="57" t="s">
        <v>316</v>
      </c>
      <c r="F18" s="12" t="s">
        <v>146</v>
      </c>
      <c r="G18" s="36">
        <v>1</v>
      </c>
      <c r="H18" s="38">
        <v>30</v>
      </c>
      <c r="I18" s="7">
        <v>2000</v>
      </c>
      <c r="J18" s="5">
        <v>3302</v>
      </c>
      <c r="K18" s="15">
        <f>L18</f>
        <v>3302</v>
      </c>
      <c r="L18" s="15">
        <v>3302</v>
      </c>
      <c r="M18" s="16">
        <f t="shared" si="0"/>
        <v>3302</v>
      </c>
      <c r="N18" s="16">
        <v>0</v>
      </c>
      <c r="O18" s="62">
        <f t="shared" si="1"/>
        <v>0</v>
      </c>
      <c r="P18" s="42">
        <f t="shared" si="2"/>
        <v>17</v>
      </c>
      <c r="Q18" s="43">
        <f t="shared" si="3"/>
        <v>7</v>
      </c>
      <c r="R18" s="7"/>
      <c r="S18" s="6"/>
      <c r="T18" s="17">
        <v>2</v>
      </c>
      <c r="U18" s="17"/>
      <c r="V18" s="18"/>
      <c r="W18" s="19">
        <v>5</v>
      </c>
      <c r="X18" s="17"/>
      <c r="Y18" s="20"/>
      <c r="Z18" s="20"/>
      <c r="AA18" s="21"/>
      <c r="AB18" s="8">
        <f t="shared" si="4"/>
        <v>1</v>
      </c>
      <c r="AC18" s="9">
        <f t="shared" si="5"/>
        <v>0.70833333333333337</v>
      </c>
      <c r="AD18" s="10">
        <f t="shared" si="6"/>
        <v>0.70833333333333337</v>
      </c>
      <c r="AE18" s="39">
        <f t="shared" si="7"/>
        <v>0.32206060606060605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11" t="s">
        <v>114</v>
      </c>
      <c r="D19" s="55" t="s">
        <v>123</v>
      </c>
      <c r="E19" s="57" t="s">
        <v>317</v>
      </c>
      <c r="F19" s="12" t="s">
        <v>128</v>
      </c>
      <c r="G19" s="12">
        <v>1</v>
      </c>
      <c r="H19" s="13">
        <v>25</v>
      </c>
      <c r="I19" s="7">
        <v>500</v>
      </c>
      <c r="J19" s="14">
        <v>718</v>
      </c>
      <c r="K19" s="15">
        <f>L19</f>
        <v>718</v>
      </c>
      <c r="L19" s="15">
        <v>718</v>
      </c>
      <c r="M19" s="16">
        <f t="shared" si="0"/>
        <v>718</v>
      </c>
      <c r="N19" s="16">
        <v>0</v>
      </c>
      <c r="O19" s="62">
        <f t="shared" si="1"/>
        <v>0</v>
      </c>
      <c r="P19" s="42">
        <f t="shared" si="2"/>
        <v>16</v>
      </c>
      <c r="Q19" s="43">
        <f t="shared" si="3"/>
        <v>8</v>
      </c>
      <c r="R19" s="7"/>
      <c r="S19" s="6"/>
      <c r="T19" s="17"/>
      <c r="U19" s="17"/>
      <c r="V19" s="18"/>
      <c r="W19" s="19">
        <v>8</v>
      </c>
      <c r="X19" s="17"/>
      <c r="Y19" s="20"/>
      <c r="Z19" s="20"/>
      <c r="AA19" s="21"/>
      <c r="AB19" s="8">
        <f t="shared" si="4"/>
        <v>1</v>
      </c>
      <c r="AC19" s="9">
        <f t="shared" si="5"/>
        <v>0.66666666666666663</v>
      </c>
      <c r="AD19" s="10">
        <f t="shared" si="6"/>
        <v>0.66666666666666663</v>
      </c>
      <c r="AE19" s="39">
        <f t="shared" si="7"/>
        <v>0.32206060606060605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151</v>
      </c>
      <c r="F20" s="12" t="s">
        <v>122</v>
      </c>
      <c r="G20" s="12">
        <v>4</v>
      </c>
      <c r="H20" s="38">
        <v>20</v>
      </c>
      <c r="I20" s="7">
        <v>300000</v>
      </c>
      <c r="J20" s="14">
        <v>4524</v>
      </c>
      <c r="K20" s="15">
        <f>L20+20068+24564+48544+43996+30716+19196+21560+23324+19612+4524</f>
        <v>256104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0.32206060606060605</v>
      </c>
      <c r="AF20" s="93">
        <f t="shared" si="8"/>
        <v>15</v>
      </c>
    </row>
    <row r="21" spans="1:32" ht="31.5" customHeight="1" thickBot="1">
      <c r="A21" s="362" t="s">
        <v>34</v>
      </c>
      <c r="B21" s="363"/>
      <c r="C21" s="363"/>
      <c r="D21" s="363"/>
      <c r="E21" s="363"/>
      <c r="F21" s="363"/>
      <c r="G21" s="363"/>
      <c r="H21" s="364"/>
      <c r="I21" s="25">
        <f t="shared" ref="I21:N21" si="9">SUM(I6:I20)</f>
        <v>383350</v>
      </c>
      <c r="J21" s="22">
        <f t="shared" si="9"/>
        <v>34867</v>
      </c>
      <c r="K21" s="23">
        <f t="shared" si="9"/>
        <v>320539</v>
      </c>
      <c r="L21" s="24">
        <f t="shared" si="9"/>
        <v>17879</v>
      </c>
      <c r="M21" s="23">
        <f t="shared" si="9"/>
        <v>17879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116</v>
      </c>
      <c r="Q21" s="46">
        <f t="shared" si="10"/>
        <v>244</v>
      </c>
      <c r="R21" s="26">
        <f t="shared" si="10"/>
        <v>48</v>
      </c>
      <c r="S21" s="27">
        <f t="shared" si="10"/>
        <v>29</v>
      </c>
      <c r="T21" s="27">
        <f t="shared" si="10"/>
        <v>8</v>
      </c>
      <c r="U21" s="27">
        <f t="shared" si="10"/>
        <v>0</v>
      </c>
      <c r="V21" s="28">
        <f t="shared" si="10"/>
        <v>24</v>
      </c>
      <c r="W21" s="29">
        <f t="shared" si="10"/>
        <v>111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24</v>
      </c>
      <c r="AB21" s="31">
        <f>SUM(AB6:AB20)/15</f>
        <v>0.46618181818181814</v>
      </c>
      <c r="AC21" s="4">
        <f>SUM(AC6:AC20)/15</f>
        <v>0.32222222222222224</v>
      </c>
      <c r="AD21" s="4">
        <f>SUM(AD6:AD20)/15</f>
        <v>0.32206060606060605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5" t="s">
        <v>45</v>
      </c>
      <c r="B48" s="365"/>
      <c r="C48" s="365"/>
      <c r="D48" s="365"/>
      <c r="E48" s="36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66" t="s">
        <v>318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8"/>
      <c r="N49" s="369" t="s">
        <v>319</v>
      </c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1"/>
    </row>
    <row r="50" spans="1:32" ht="27" customHeight="1">
      <c r="A50" s="372" t="s">
        <v>2</v>
      </c>
      <c r="B50" s="373"/>
      <c r="C50" s="211" t="s">
        <v>46</v>
      </c>
      <c r="D50" s="211" t="s">
        <v>47</v>
      </c>
      <c r="E50" s="211" t="s">
        <v>108</v>
      </c>
      <c r="F50" s="373" t="s">
        <v>107</v>
      </c>
      <c r="G50" s="373"/>
      <c r="H50" s="373"/>
      <c r="I50" s="373"/>
      <c r="J50" s="373"/>
      <c r="K50" s="373"/>
      <c r="L50" s="373"/>
      <c r="M50" s="374"/>
      <c r="N50" s="73" t="s">
        <v>112</v>
      </c>
      <c r="O50" s="211" t="s">
        <v>46</v>
      </c>
      <c r="P50" s="375" t="s">
        <v>47</v>
      </c>
      <c r="Q50" s="376"/>
      <c r="R50" s="375" t="s">
        <v>38</v>
      </c>
      <c r="S50" s="377"/>
      <c r="T50" s="377"/>
      <c r="U50" s="376"/>
      <c r="V50" s="375" t="s">
        <v>48</v>
      </c>
      <c r="W50" s="377"/>
      <c r="X50" s="377"/>
      <c r="Y50" s="377"/>
      <c r="Z50" s="377"/>
      <c r="AA50" s="377"/>
      <c r="AB50" s="377"/>
      <c r="AC50" s="377"/>
      <c r="AD50" s="378"/>
    </row>
    <row r="51" spans="1:32" ht="27" customHeight="1">
      <c r="A51" s="349" t="s">
        <v>114</v>
      </c>
      <c r="B51" s="350"/>
      <c r="C51" s="208" t="s">
        <v>223</v>
      </c>
      <c r="D51" s="208" t="s">
        <v>123</v>
      </c>
      <c r="E51" s="208" t="s">
        <v>280</v>
      </c>
      <c r="F51" s="341" t="s">
        <v>129</v>
      </c>
      <c r="G51" s="341"/>
      <c r="H51" s="341"/>
      <c r="I51" s="341"/>
      <c r="J51" s="341"/>
      <c r="K51" s="341"/>
      <c r="L51" s="341"/>
      <c r="M51" s="351"/>
      <c r="N51" s="207" t="s">
        <v>320</v>
      </c>
      <c r="O51" s="124" t="s">
        <v>218</v>
      </c>
      <c r="P51" s="358"/>
      <c r="Q51" s="359"/>
      <c r="R51" s="401" t="s">
        <v>321</v>
      </c>
      <c r="S51" s="350"/>
      <c r="T51" s="350"/>
      <c r="U51" s="350"/>
      <c r="V51" s="341" t="s">
        <v>129</v>
      </c>
      <c r="W51" s="341"/>
      <c r="X51" s="341"/>
      <c r="Y51" s="341"/>
      <c r="Z51" s="341"/>
      <c r="AA51" s="341"/>
      <c r="AB51" s="341"/>
      <c r="AC51" s="341"/>
      <c r="AD51" s="351"/>
    </row>
    <row r="52" spans="1:32" ht="27" customHeight="1">
      <c r="A52" s="349" t="s">
        <v>114</v>
      </c>
      <c r="B52" s="350"/>
      <c r="C52" s="208" t="s">
        <v>183</v>
      </c>
      <c r="D52" s="208" t="s">
        <v>123</v>
      </c>
      <c r="E52" s="208" t="s">
        <v>317</v>
      </c>
      <c r="F52" s="341" t="s">
        <v>129</v>
      </c>
      <c r="G52" s="341"/>
      <c r="H52" s="341"/>
      <c r="I52" s="341"/>
      <c r="J52" s="341"/>
      <c r="K52" s="341"/>
      <c r="L52" s="341"/>
      <c r="M52" s="351"/>
      <c r="N52" s="207" t="s">
        <v>114</v>
      </c>
      <c r="O52" s="124" t="s">
        <v>183</v>
      </c>
      <c r="P52" s="358" t="s">
        <v>323</v>
      </c>
      <c r="Q52" s="359"/>
      <c r="R52" s="350" t="s">
        <v>322</v>
      </c>
      <c r="S52" s="350"/>
      <c r="T52" s="350"/>
      <c r="U52" s="350"/>
      <c r="V52" s="341" t="s">
        <v>129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114</v>
      </c>
      <c r="B53" s="350"/>
      <c r="C53" s="208" t="s">
        <v>214</v>
      </c>
      <c r="D53" s="208" t="s">
        <v>150</v>
      </c>
      <c r="E53" s="208" t="s">
        <v>316</v>
      </c>
      <c r="F53" s="341" t="s">
        <v>129</v>
      </c>
      <c r="G53" s="341"/>
      <c r="H53" s="341"/>
      <c r="I53" s="341"/>
      <c r="J53" s="341"/>
      <c r="K53" s="341"/>
      <c r="L53" s="341"/>
      <c r="M53" s="351"/>
      <c r="N53" s="207" t="s">
        <v>125</v>
      </c>
      <c r="O53" s="124" t="s">
        <v>223</v>
      </c>
      <c r="P53" s="358" t="s">
        <v>149</v>
      </c>
      <c r="Q53" s="359"/>
      <c r="R53" s="350" t="s">
        <v>324</v>
      </c>
      <c r="S53" s="350"/>
      <c r="T53" s="350"/>
      <c r="U53" s="350"/>
      <c r="V53" s="341" t="s">
        <v>129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320</v>
      </c>
      <c r="B54" s="350"/>
      <c r="C54" s="208" t="s">
        <v>218</v>
      </c>
      <c r="D54" s="208"/>
      <c r="E54" s="208" t="s">
        <v>315</v>
      </c>
      <c r="F54" s="341" t="s">
        <v>129</v>
      </c>
      <c r="G54" s="341"/>
      <c r="H54" s="341"/>
      <c r="I54" s="341"/>
      <c r="J54" s="341"/>
      <c r="K54" s="341"/>
      <c r="L54" s="341"/>
      <c r="M54" s="351"/>
      <c r="N54" s="207"/>
      <c r="O54" s="124"/>
      <c r="P54" s="350"/>
      <c r="Q54" s="350"/>
      <c r="R54" s="350"/>
      <c r="S54" s="350"/>
      <c r="T54" s="350"/>
      <c r="U54" s="350"/>
      <c r="V54" s="341"/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/>
      <c r="B55" s="350"/>
      <c r="C55" s="208"/>
      <c r="D55" s="208"/>
      <c r="E55" s="208"/>
      <c r="F55" s="341"/>
      <c r="G55" s="341"/>
      <c r="H55" s="341"/>
      <c r="I55" s="341"/>
      <c r="J55" s="341"/>
      <c r="K55" s="341"/>
      <c r="L55" s="341"/>
      <c r="M55" s="351"/>
      <c r="N55" s="207"/>
      <c r="O55" s="124"/>
      <c r="P55" s="350"/>
      <c r="Q55" s="350"/>
      <c r="R55" s="350"/>
      <c r="S55" s="350"/>
      <c r="T55" s="350"/>
      <c r="U55" s="350"/>
      <c r="V55" s="341"/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/>
      <c r="B56" s="350"/>
      <c r="C56" s="208"/>
      <c r="D56" s="208"/>
      <c r="E56" s="208"/>
      <c r="F56" s="341"/>
      <c r="G56" s="341"/>
      <c r="H56" s="341"/>
      <c r="I56" s="341"/>
      <c r="J56" s="341"/>
      <c r="K56" s="341"/>
      <c r="L56" s="341"/>
      <c r="M56" s="351"/>
      <c r="N56" s="207"/>
      <c r="O56" s="124"/>
      <c r="P56" s="358"/>
      <c r="Q56" s="359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/>
      <c r="B57" s="350"/>
      <c r="C57" s="208"/>
      <c r="D57" s="208"/>
      <c r="E57" s="208"/>
      <c r="F57" s="341"/>
      <c r="G57" s="341"/>
      <c r="H57" s="341"/>
      <c r="I57" s="341"/>
      <c r="J57" s="341"/>
      <c r="K57" s="341"/>
      <c r="L57" s="341"/>
      <c r="M57" s="351"/>
      <c r="N57" s="207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208"/>
      <c r="D58" s="208"/>
      <c r="E58" s="208"/>
      <c r="F58" s="341"/>
      <c r="G58" s="341"/>
      <c r="H58" s="341"/>
      <c r="I58" s="341"/>
      <c r="J58" s="341"/>
      <c r="K58" s="341"/>
      <c r="L58" s="341"/>
      <c r="M58" s="351"/>
      <c r="N58" s="207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208"/>
      <c r="D59" s="208"/>
      <c r="E59" s="208"/>
      <c r="F59" s="341"/>
      <c r="G59" s="341"/>
      <c r="H59" s="341"/>
      <c r="I59" s="341"/>
      <c r="J59" s="341"/>
      <c r="K59" s="341"/>
      <c r="L59" s="341"/>
      <c r="M59" s="351"/>
      <c r="N59" s="207"/>
      <c r="O59" s="124"/>
      <c r="P59" s="350"/>
      <c r="Q59" s="350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  <c r="AF59" s="93">
        <f>8*3000</f>
        <v>24000</v>
      </c>
    </row>
    <row r="60" spans="1:32" ht="27" customHeight="1" thickBot="1">
      <c r="A60" s="352"/>
      <c r="B60" s="353"/>
      <c r="C60" s="210"/>
      <c r="D60" s="210"/>
      <c r="E60" s="210"/>
      <c r="F60" s="354"/>
      <c r="G60" s="354"/>
      <c r="H60" s="354"/>
      <c r="I60" s="354"/>
      <c r="J60" s="354"/>
      <c r="K60" s="354"/>
      <c r="L60" s="354"/>
      <c r="M60" s="355"/>
      <c r="N60" s="209"/>
      <c r="O60" s="120"/>
      <c r="P60" s="353"/>
      <c r="Q60" s="353"/>
      <c r="R60" s="353"/>
      <c r="S60" s="353"/>
      <c r="T60" s="353"/>
      <c r="U60" s="353"/>
      <c r="V60" s="356"/>
      <c r="W60" s="356"/>
      <c r="X60" s="356"/>
      <c r="Y60" s="356"/>
      <c r="Z60" s="356"/>
      <c r="AA60" s="356"/>
      <c r="AB60" s="356"/>
      <c r="AC60" s="356"/>
      <c r="AD60" s="357"/>
      <c r="AF60" s="93">
        <f>16*3000</f>
        <v>48000</v>
      </c>
    </row>
    <row r="61" spans="1:32" ht="27.75" thickBot="1">
      <c r="A61" s="347" t="s">
        <v>325</v>
      </c>
      <c r="B61" s="347"/>
      <c r="C61" s="347"/>
      <c r="D61" s="347"/>
      <c r="E61" s="34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48" t="s">
        <v>113</v>
      </c>
      <c r="B62" s="345"/>
      <c r="C62" s="206" t="s">
        <v>2</v>
      </c>
      <c r="D62" s="206" t="s">
        <v>37</v>
      </c>
      <c r="E62" s="206" t="s">
        <v>3</v>
      </c>
      <c r="F62" s="345" t="s">
        <v>110</v>
      </c>
      <c r="G62" s="345"/>
      <c r="H62" s="345"/>
      <c r="I62" s="345"/>
      <c r="J62" s="345"/>
      <c r="K62" s="345" t="s">
        <v>39</v>
      </c>
      <c r="L62" s="345"/>
      <c r="M62" s="206" t="s">
        <v>40</v>
      </c>
      <c r="N62" s="345" t="s">
        <v>41</v>
      </c>
      <c r="O62" s="345"/>
      <c r="P62" s="342" t="s">
        <v>42</v>
      </c>
      <c r="Q62" s="344"/>
      <c r="R62" s="342" t="s">
        <v>43</v>
      </c>
      <c r="S62" s="343"/>
      <c r="T62" s="343"/>
      <c r="U62" s="343"/>
      <c r="V62" s="343"/>
      <c r="W62" s="343"/>
      <c r="X62" s="343"/>
      <c r="Y62" s="343"/>
      <c r="Z62" s="343"/>
      <c r="AA62" s="344"/>
      <c r="AB62" s="345" t="s">
        <v>44</v>
      </c>
      <c r="AC62" s="345"/>
      <c r="AD62" s="346"/>
      <c r="AF62" s="93">
        <f>SUM(AF59:AF61)</f>
        <v>96000</v>
      </c>
    </row>
    <row r="63" spans="1:32" ht="25.5" customHeight="1">
      <c r="A63" s="337">
        <v>1</v>
      </c>
      <c r="B63" s="338"/>
      <c r="C63" s="123"/>
      <c r="D63" s="202"/>
      <c r="E63" s="205"/>
      <c r="F63" s="339"/>
      <c r="G63" s="331"/>
      <c r="H63" s="331"/>
      <c r="I63" s="331"/>
      <c r="J63" s="331"/>
      <c r="K63" s="331"/>
      <c r="L63" s="331"/>
      <c r="M63" s="54"/>
      <c r="N63" s="331"/>
      <c r="O63" s="331"/>
      <c r="P63" s="340"/>
      <c r="Q63" s="340"/>
      <c r="R63" s="341"/>
      <c r="S63" s="341"/>
      <c r="T63" s="341"/>
      <c r="U63" s="341"/>
      <c r="V63" s="341"/>
      <c r="W63" s="341"/>
      <c r="X63" s="341"/>
      <c r="Y63" s="341"/>
      <c r="Z63" s="341"/>
      <c r="AA63" s="341"/>
      <c r="AB63" s="331"/>
      <c r="AC63" s="331"/>
      <c r="AD63" s="332"/>
      <c r="AF63" s="53"/>
    </row>
    <row r="64" spans="1:32" ht="25.5" customHeight="1">
      <c r="A64" s="337">
        <v>2</v>
      </c>
      <c r="B64" s="338"/>
      <c r="C64" s="123"/>
      <c r="D64" s="202"/>
      <c r="E64" s="205"/>
      <c r="F64" s="339"/>
      <c r="G64" s="331"/>
      <c r="H64" s="331"/>
      <c r="I64" s="331"/>
      <c r="J64" s="331"/>
      <c r="K64" s="331"/>
      <c r="L64" s="331"/>
      <c r="M64" s="54"/>
      <c r="N64" s="331"/>
      <c r="O64" s="331"/>
      <c r="P64" s="340"/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3</v>
      </c>
      <c r="B65" s="338"/>
      <c r="C65" s="123"/>
      <c r="D65" s="202"/>
      <c r="E65" s="205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4</v>
      </c>
      <c r="B66" s="338"/>
      <c r="C66" s="123"/>
      <c r="D66" s="202"/>
      <c r="E66" s="205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5</v>
      </c>
      <c r="B67" s="338"/>
      <c r="C67" s="123"/>
      <c r="D67" s="202"/>
      <c r="E67" s="205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6</v>
      </c>
      <c r="B68" s="338"/>
      <c r="C68" s="123"/>
      <c r="D68" s="202"/>
      <c r="E68" s="205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7</v>
      </c>
      <c r="B69" s="338"/>
      <c r="C69" s="123"/>
      <c r="D69" s="202"/>
      <c r="E69" s="205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8</v>
      </c>
      <c r="B70" s="338"/>
      <c r="C70" s="123"/>
      <c r="D70" s="202"/>
      <c r="E70" s="205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6.25" customHeight="1" thickBot="1">
      <c r="A71" s="311" t="s">
        <v>326</v>
      </c>
      <c r="B71" s="311"/>
      <c r="C71" s="311"/>
      <c r="D71" s="311"/>
      <c r="E71" s="311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12" t="s">
        <v>113</v>
      </c>
      <c r="B72" s="313"/>
      <c r="C72" s="204" t="s">
        <v>2</v>
      </c>
      <c r="D72" s="204" t="s">
        <v>37</v>
      </c>
      <c r="E72" s="204" t="s">
        <v>3</v>
      </c>
      <c r="F72" s="313" t="s">
        <v>38</v>
      </c>
      <c r="G72" s="313"/>
      <c r="H72" s="313"/>
      <c r="I72" s="313"/>
      <c r="J72" s="313"/>
      <c r="K72" s="333" t="s">
        <v>58</v>
      </c>
      <c r="L72" s="334"/>
      <c r="M72" s="334"/>
      <c r="N72" s="334"/>
      <c r="O72" s="334"/>
      <c r="P72" s="334"/>
      <c r="Q72" s="334"/>
      <c r="R72" s="334"/>
      <c r="S72" s="335"/>
      <c r="T72" s="313" t="s">
        <v>49</v>
      </c>
      <c r="U72" s="313"/>
      <c r="V72" s="333" t="s">
        <v>50</v>
      </c>
      <c r="W72" s="335"/>
      <c r="X72" s="334" t="s">
        <v>51</v>
      </c>
      <c r="Y72" s="334"/>
      <c r="Z72" s="334"/>
      <c r="AA72" s="334"/>
      <c r="AB72" s="334"/>
      <c r="AC72" s="334"/>
      <c r="AD72" s="336"/>
      <c r="AF72" s="53"/>
    </row>
    <row r="73" spans="1:32" ht="33.75" customHeight="1">
      <c r="A73" s="305">
        <v>1</v>
      </c>
      <c r="B73" s="306"/>
      <c r="C73" s="203" t="s">
        <v>114</v>
      </c>
      <c r="D73" s="203"/>
      <c r="E73" s="71" t="s">
        <v>246</v>
      </c>
      <c r="F73" s="320" t="s">
        <v>221</v>
      </c>
      <c r="G73" s="321"/>
      <c r="H73" s="321"/>
      <c r="I73" s="321"/>
      <c r="J73" s="322"/>
      <c r="K73" s="323" t="s">
        <v>301</v>
      </c>
      <c r="L73" s="324"/>
      <c r="M73" s="324"/>
      <c r="N73" s="324"/>
      <c r="O73" s="324"/>
      <c r="P73" s="324"/>
      <c r="Q73" s="324"/>
      <c r="R73" s="324"/>
      <c r="S73" s="325"/>
      <c r="T73" s="326">
        <v>43384</v>
      </c>
      <c r="U73" s="327"/>
      <c r="V73" s="328"/>
      <c r="W73" s="328"/>
      <c r="X73" s="329"/>
      <c r="Y73" s="329"/>
      <c r="Z73" s="329"/>
      <c r="AA73" s="329"/>
      <c r="AB73" s="329"/>
      <c r="AC73" s="329"/>
      <c r="AD73" s="330"/>
      <c r="AF73" s="53"/>
    </row>
    <row r="74" spans="1:32" ht="30" customHeight="1">
      <c r="A74" s="298">
        <f>A73+1</f>
        <v>2</v>
      </c>
      <c r="B74" s="299"/>
      <c r="C74" s="202"/>
      <c r="D74" s="202"/>
      <c r="E74" s="35"/>
      <c r="F74" s="299"/>
      <c r="G74" s="299"/>
      <c r="H74" s="299"/>
      <c r="I74" s="299"/>
      <c r="J74" s="299"/>
      <c r="K74" s="314"/>
      <c r="L74" s="315"/>
      <c r="M74" s="315"/>
      <c r="N74" s="315"/>
      <c r="O74" s="315"/>
      <c r="P74" s="315"/>
      <c r="Q74" s="315"/>
      <c r="R74" s="315"/>
      <c r="S74" s="316"/>
      <c r="T74" s="317"/>
      <c r="U74" s="317"/>
      <c r="V74" s="317"/>
      <c r="W74" s="317"/>
      <c r="X74" s="318"/>
      <c r="Y74" s="318"/>
      <c r="Z74" s="318"/>
      <c r="AA74" s="318"/>
      <c r="AB74" s="318"/>
      <c r="AC74" s="318"/>
      <c r="AD74" s="319"/>
      <c r="AF74" s="53"/>
    </row>
    <row r="75" spans="1:32" ht="30" customHeight="1">
      <c r="A75" s="298">
        <f t="shared" ref="A75:A81" si="11">A74+1</f>
        <v>3</v>
      </c>
      <c r="B75" s="299"/>
      <c r="C75" s="202"/>
      <c r="D75" s="202"/>
      <c r="E75" s="35"/>
      <c r="F75" s="299"/>
      <c r="G75" s="299"/>
      <c r="H75" s="299"/>
      <c r="I75" s="299"/>
      <c r="J75" s="299"/>
      <c r="K75" s="314"/>
      <c r="L75" s="315"/>
      <c r="M75" s="315"/>
      <c r="N75" s="315"/>
      <c r="O75" s="315"/>
      <c r="P75" s="315"/>
      <c r="Q75" s="315"/>
      <c r="R75" s="315"/>
      <c r="S75" s="316"/>
      <c r="T75" s="317"/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si="11"/>
        <v>4</v>
      </c>
      <c r="B76" s="299"/>
      <c r="C76" s="202"/>
      <c r="D76" s="202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1"/>
        <v>5</v>
      </c>
      <c r="B77" s="299"/>
      <c r="C77" s="202"/>
      <c r="D77" s="202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1"/>
        <v>6</v>
      </c>
      <c r="B78" s="299"/>
      <c r="C78" s="202"/>
      <c r="D78" s="202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1"/>
        <v>7</v>
      </c>
      <c r="B79" s="299"/>
      <c r="C79" s="202"/>
      <c r="D79" s="202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1"/>
        <v>8</v>
      </c>
      <c r="B80" s="299"/>
      <c r="C80" s="202"/>
      <c r="D80" s="202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1"/>
        <v>9</v>
      </c>
      <c r="B81" s="299"/>
      <c r="C81" s="202"/>
      <c r="D81" s="202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6" thickBot="1">
      <c r="A82" s="311" t="s">
        <v>327</v>
      </c>
      <c r="B82" s="311"/>
      <c r="C82" s="311"/>
      <c r="D82" s="311"/>
      <c r="E82" s="311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12" t="s">
        <v>113</v>
      </c>
      <c r="B83" s="313"/>
      <c r="C83" s="303" t="s">
        <v>52</v>
      </c>
      <c r="D83" s="303"/>
      <c r="E83" s="303" t="s">
        <v>53</v>
      </c>
      <c r="F83" s="303"/>
      <c r="G83" s="303"/>
      <c r="H83" s="303"/>
      <c r="I83" s="303"/>
      <c r="J83" s="303"/>
      <c r="K83" s="303" t="s">
        <v>54</v>
      </c>
      <c r="L83" s="303"/>
      <c r="M83" s="303"/>
      <c r="N83" s="303"/>
      <c r="O83" s="303"/>
      <c r="P83" s="303"/>
      <c r="Q83" s="303"/>
      <c r="R83" s="303"/>
      <c r="S83" s="303"/>
      <c r="T83" s="303" t="s">
        <v>55</v>
      </c>
      <c r="U83" s="303"/>
      <c r="V83" s="303" t="s">
        <v>56</v>
      </c>
      <c r="W83" s="303"/>
      <c r="X83" s="303"/>
      <c r="Y83" s="303" t="s">
        <v>51</v>
      </c>
      <c r="Z83" s="303"/>
      <c r="AA83" s="303"/>
      <c r="AB83" s="303"/>
      <c r="AC83" s="303"/>
      <c r="AD83" s="304"/>
      <c r="AF83" s="53"/>
    </row>
    <row r="84" spans="1:32" ht="30.75" customHeight="1">
      <c r="A84" s="305">
        <v>1</v>
      </c>
      <c r="B84" s="306"/>
      <c r="C84" s="307">
        <v>9</v>
      </c>
      <c r="D84" s="307"/>
      <c r="E84" s="307" t="s">
        <v>141</v>
      </c>
      <c r="F84" s="307"/>
      <c r="G84" s="307"/>
      <c r="H84" s="307"/>
      <c r="I84" s="307"/>
      <c r="J84" s="307"/>
      <c r="K84" s="307" t="s">
        <v>142</v>
      </c>
      <c r="L84" s="307"/>
      <c r="M84" s="307"/>
      <c r="N84" s="307"/>
      <c r="O84" s="307"/>
      <c r="P84" s="307"/>
      <c r="Q84" s="307"/>
      <c r="R84" s="307"/>
      <c r="S84" s="307"/>
      <c r="T84" s="307" t="s">
        <v>143</v>
      </c>
      <c r="U84" s="307"/>
      <c r="V84" s="308">
        <v>11307000</v>
      </c>
      <c r="W84" s="308"/>
      <c r="X84" s="308"/>
      <c r="Y84" s="309"/>
      <c r="Z84" s="309"/>
      <c r="AA84" s="309"/>
      <c r="AB84" s="309"/>
      <c r="AC84" s="309"/>
      <c r="AD84" s="310"/>
      <c r="AF84" s="53"/>
    </row>
    <row r="85" spans="1:32" ht="30.75" customHeight="1">
      <c r="A85" s="298">
        <v>2</v>
      </c>
      <c r="B85" s="299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1"/>
      <c r="U85" s="301"/>
      <c r="V85" s="302"/>
      <c r="W85" s="302"/>
      <c r="X85" s="302"/>
      <c r="Y85" s="291"/>
      <c r="Z85" s="291"/>
      <c r="AA85" s="291"/>
      <c r="AB85" s="291"/>
      <c r="AC85" s="291"/>
      <c r="AD85" s="292"/>
      <c r="AF85" s="53"/>
    </row>
    <row r="86" spans="1:32" ht="30.75" customHeight="1" thickBot="1">
      <c r="A86" s="293">
        <v>3</v>
      </c>
      <c r="B86" s="294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6"/>
      <c r="Z86" s="296"/>
      <c r="AA86" s="296"/>
      <c r="AB86" s="296"/>
      <c r="AC86" s="296"/>
      <c r="AD86" s="29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064E-53EB-4BFE-BA3A-93A7A18B4AB6}">
  <sheetPr>
    <pageSetUpPr fitToPage="1"/>
  </sheetPr>
  <dimension ref="A1:AF86"/>
  <sheetViews>
    <sheetView zoomScale="72" zoomScaleNormal="72" zoomScaleSheetLayoutView="70" workbookViewId="0">
      <selection activeCell="L11" sqref="L1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328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212" t="s">
        <v>17</v>
      </c>
      <c r="L5" s="212" t="s">
        <v>18</v>
      </c>
      <c r="M5" s="212" t="s">
        <v>19</v>
      </c>
      <c r="N5" s="21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0.15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0.15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320</v>
      </c>
      <c r="D8" s="55"/>
      <c r="E8" s="57" t="s">
        <v>329</v>
      </c>
      <c r="F8" s="33" t="s">
        <v>231</v>
      </c>
      <c r="G8" s="36" t="s">
        <v>167</v>
      </c>
      <c r="H8" s="38">
        <v>25</v>
      </c>
      <c r="I8" s="7">
        <v>2500</v>
      </c>
      <c r="J8" s="5">
        <v>1800</v>
      </c>
      <c r="K8" s="15">
        <f>L8</f>
        <v>1800</v>
      </c>
      <c r="L8" s="15">
        <v>1800</v>
      </c>
      <c r="M8" s="16">
        <f t="shared" si="0"/>
        <v>1800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/>
      <c r="T8" s="17">
        <v>1</v>
      </c>
      <c r="U8" s="17"/>
      <c r="V8" s="18">
        <v>13</v>
      </c>
      <c r="W8" s="19"/>
      <c r="X8" s="17"/>
      <c r="Y8" s="20"/>
      <c r="Z8" s="20"/>
      <c r="AA8" s="21"/>
      <c r="AB8" s="8">
        <f t="shared" si="4"/>
        <v>1</v>
      </c>
      <c r="AC8" s="9">
        <f t="shared" si="5"/>
        <v>0.41666666666666669</v>
      </c>
      <c r="AD8" s="10">
        <f t="shared" si="6"/>
        <v>0.41666666666666669</v>
      </c>
      <c r="AE8" s="39">
        <f t="shared" si="7"/>
        <v>0.15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114</v>
      </c>
      <c r="D9" s="55" t="s">
        <v>219</v>
      </c>
      <c r="E9" s="57" t="s">
        <v>217</v>
      </c>
      <c r="F9" s="33" t="s">
        <v>231</v>
      </c>
      <c r="G9" s="36">
        <v>1</v>
      </c>
      <c r="H9" s="38">
        <v>25</v>
      </c>
      <c r="I9" s="7">
        <v>13000</v>
      </c>
      <c r="J9" s="5">
        <v>2489</v>
      </c>
      <c r="K9" s="15">
        <f>L9+3665+2500+3483+2000+1207+3121+3281</f>
        <v>21746</v>
      </c>
      <c r="L9" s="15">
        <v>2489</v>
      </c>
      <c r="M9" s="16">
        <f t="shared" si="0"/>
        <v>2489</v>
      </c>
      <c r="N9" s="16">
        <v>0</v>
      </c>
      <c r="O9" s="62">
        <f t="shared" si="1"/>
        <v>0</v>
      </c>
      <c r="P9" s="42">
        <f t="shared" si="2"/>
        <v>11</v>
      </c>
      <c r="Q9" s="43">
        <f t="shared" si="3"/>
        <v>13</v>
      </c>
      <c r="R9" s="7"/>
      <c r="S9" s="6"/>
      <c r="T9" s="17"/>
      <c r="U9" s="17"/>
      <c r="V9" s="18">
        <v>13</v>
      </c>
      <c r="W9" s="19"/>
      <c r="X9" s="17"/>
      <c r="Y9" s="20"/>
      <c r="Z9" s="20"/>
      <c r="AA9" s="21"/>
      <c r="AB9" s="8">
        <f t="shared" si="4"/>
        <v>1</v>
      </c>
      <c r="AC9" s="9">
        <f t="shared" si="5"/>
        <v>0.45833333333333331</v>
      </c>
      <c r="AD9" s="10">
        <f t="shared" si="6"/>
        <v>0.45833333333333331</v>
      </c>
      <c r="AE9" s="39">
        <f t="shared" si="7"/>
        <v>0.15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136</v>
      </c>
      <c r="D10" s="55" t="s">
        <v>262</v>
      </c>
      <c r="E10" s="57" t="s">
        <v>263</v>
      </c>
      <c r="F10" s="12" t="s">
        <v>166</v>
      </c>
      <c r="G10" s="12">
        <v>1</v>
      </c>
      <c r="H10" s="13">
        <v>25</v>
      </c>
      <c r="I10" s="7">
        <v>3000</v>
      </c>
      <c r="J10" s="14">
        <v>1577</v>
      </c>
      <c r="K10" s="15">
        <f>L10+1577</f>
        <v>1577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>
        <v>24</v>
      </c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0.15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6500</v>
      </c>
      <c r="J11" s="5">
        <v>2357</v>
      </c>
      <c r="K11" s="15">
        <f>L11+5687+2357</f>
        <v>8044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0.15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246</v>
      </c>
      <c r="E12" s="57" t="s">
        <v>221</v>
      </c>
      <c r="F12" s="12" t="s">
        <v>146</v>
      </c>
      <c r="G12" s="12">
        <v>1</v>
      </c>
      <c r="H12" s="13">
        <v>25</v>
      </c>
      <c r="I12" s="7">
        <v>13000</v>
      </c>
      <c r="J12" s="14">
        <v>2290</v>
      </c>
      <c r="K12" s="15">
        <f>L12+397+1187+3410+1354+4087+2290</f>
        <v>12725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0.15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295</v>
      </c>
      <c r="F13" s="12" t="s">
        <v>146</v>
      </c>
      <c r="G13" s="12">
        <v>1</v>
      </c>
      <c r="H13" s="13">
        <v>25</v>
      </c>
      <c r="I13" s="7">
        <v>35000</v>
      </c>
      <c r="J13" s="14">
        <v>1386</v>
      </c>
      <c r="K13" s="15">
        <f>L13+761+4519</f>
        <v>6666</v>
      </c>
      <c r="L13" s="15">
        <v>1386</v>
      </c>
      <c r="M13" s="16">
        <f t="shared" si="0"/>
        <v>1386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/>
      <c r="T13" s="17"/>
      <c r="U13" s="17"/>
      <c r="V13" s="18">
        <v>14</v>
      </c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0.41666666666666669</v>
      </c>
      <c r="AD13" s="10">
        <f t="shared" si="6"/>
        <v>0.41666666666666669</v>
      </c>
      <c r="AE13" s="39">
        <f t="shared" si="7"/>
        <v>0.15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139</v>
      </c>
      <c r="F14" s="33" t="s">
        <v>138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0.15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136</v>
      </c>
      <c r="D15" s="55" t="s">
        <v>131</v>
      </c>
      <c r="E15" s="57" t="s">
        <v>195</v>
      </c>
      <c r="F15" s="12" t="s">
        <v>207</v>
      </c>
      <c r="G15" s="12">
        <v>3</v>
      </c>
      <c r="H15" s="13">
        <v>24</v>
      </c>
      <c r="I15" s="34">
        <v>6000</v>
      </c>
      <c r="J15" s="14">
        <v>7454</v>
      </c>
      <c r="K15" s="15">
        <f>L15+7545</f>
        <v>7545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0.15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125</v>
      </c>
      <c r="D16" s="55" t="s">
        <v>149</v>
      </c>
      <c r="E16" s="57" t="s">
        <v>330</v>
      </c>
      <c r="F16" s="33" t="s">
        <v>147</v>
      </c>
      <c r="G16" s="36" t="s">
        <v>331</v>
      </c>
      <c r="H16" s="38">
        <v>24</v>
      </c>
      <c r="I16" s="7">
        <v>5000</v>
      </c>
      <c r="J16" s="5">
        <v>4218</v>
      </c>
      <c r="K16" s="15">
        <f>L16</f>
        <v>4218</v>
      </c>
      <c r="L16" s="15">
        <f>2109*2</f>
        <v>4218</v>
      </c>
      <c r="M16" s="16">
        <f t="shared" si="0"/>
        <v>4218</v>
      </c>
      <c r="N16" s="16">
        <v>0</v>
      </c>
      <c r="O16" s="62">
        <f t="shared" si="1"/>
        <v>0</v>
      </c>
      <c r="P16" s="42">
        <f t="shared" si="2"/>
        <v>11</v>
      </c>
      <c r="Q16" s="43">
        <f t="shared" si="3"/>
        <v>13</v>
      </c>
      <c r="R16" s="7"/>
      <c r="S16" s="6"/>
      <c r="T16" s="17"/>
      <c r="U16" s="17"/>
      <c r="V16" s="18">
        <v>13</v>
      </c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0.45833333333333331</v>
      </c>
      <c r="AD16" s="10">
        <f t="shared" si="6"/>
        <v>0.45833333333333331</v>
      </c>
      <c r="AE16" s="39">
        <f t="shared" si="7"/>
        <v>0.15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125</v>
      </c>
      <c r="D17" s="55" t="s">
        <v>285</v>
      </c>
      <c r="E17" s="57" t="s">
        <v>310</v>
      </c>
      <c r="F17" s="12">
        <v>8301</v>
      </c>
      <c r="G17" s="12">
        <v>1</v>
      </c>
      <c r="H17" s="13">
        <v>24</v>
      </c>
      <c r="I17" s="34">
        <v>300</v>
      </c>
      <c r="J17" s="14">
        <v>300</v>
      </c>
      <c r="K17" s="15">
        <f>L17</f>
        <v>300</v>
      </c>
      <c r="L17" s="15">
        <v>300</v>
      </c>
      <c r="M17" s="16">
        <f t="shared" si="0"/>
        <v>300</v>
      </c>
      <c r="N17" s="16">
        <v>0</v>
      </c>
      <c r="O17" s="62">
        <f t="shared" si="1"/>
        <v>0</v>
      </c>
      <c r="P17" s="42">
        <f t="shared" si="2"/>
        <v>4</v>
      </c>
      <c r="Q17" s="43">
        <f t="shared" si="3"/>
        <v>20</v>
      </c>
      <c r="R17" s="7"/>
      <c r="S17" s="6"/>
      <c r="T17" s="17"/>
      <c r="U17" s="17"/>
      <c r="V17" s="18"/>
      <c r="W17" s="19">
        <v>20</v>
      </c>
      <c r="X17" s="17"/>
      <c r="Y17" s="20"/>
      <c r="Z17" s="20"/>
      <c r="AA17" s="21"/>
      <c r="AB17" s="8">
        <f t="shared" si="4"/>
        <v>1</v>
      </c>
      <c r="AC17" s="9">
        <f t="shared" si="5"/>
        <v>0.16666666666666666</v>
      </c>
      <c r="AD17" s="10">
        <f t="shared" si="6"/>
        <v>0.16666666666666666</v>
      </c>
      <c r="AE17" s="39">
        <f t="shared" si="7"/>
        <v>0.15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150</v>
      </c>
      <c r="E18" s="57" t="s">
        <v>316</v>
      </c>
      <c r="F18" s="12" t="s">
        <v>146</v>
      </c>
      <c r="G18" s="36">
        <v>1</v>
      </c>
      <c r="H18" s="38">
        <v>30</v>
      </c>
      <c r="I18" s="7">
        <v>2000</v>
      </c>
      <c r="J18" s="5">
        <v>3302</v>
      </c>
      <c r="K18" s="15">
        <f>L18+3302</f>
        <v>3302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0.15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11" t="s">
        <v>114</v>
      </c>
      <c r="D19" s="55" t="s">
        <v>323</v>
      </c>
      <c r="E19" s="57" t="s">
        <v>322</v>
      </c>
      <c r="F19" s="12" t="s">
        <v>332</v>
      </c>
      <c r="G19" s="12">
        <v>1</v>
      </c>
      <c r="H19" s="13">
        <v>25</v>
      </c>
      <c r="I19" s="7">
        <v>1000</v>
      </c>
      <c r="J19" s="14">
        <v>700</v>
      </c>
      <c r="K19" s="15">
        <f>L19</f>
        <v>700</v>
      </c>
      <c r="L19" s="15">
        <v>700</v>
      </c>
      <c r="M19" s="16">
        <f t="shared" si="0"/>
        <v>700</v>
      </c>
      <c r="N19" s="16">
        <v>0</v>
      </c>
      <c r="O19" s="62">
        <f t="shared" si="1"/>
        <v>0</v>
      </c>
      <c r="P19" s="42">
        <f t="shared" si="2"/>
        <v>8</v>
      </c>
      <c r="Q19" s="43">
        <f t="shared" si="3"/>
        <v>16</v>
      </c>
      <c r="R19" s="7"/>
      <c r="S19" s="6"/>
      <c r="T19" s="17">
        <v>3</v>
      </c>
      <c r="U19" s="17"/>
      <c r="V19" s="18">
        <v>13</v>
      </c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0.33333333333333331</v>
      </c>
      <c r="AD19" s="10">
        <f t="shared" si="6"/>
        <v>0.33333333333333331</v>
      </c>
      <c r="AE19" s="39">
        <f t="shared" si="7"/>
        <v>0.15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151</v>
      </c>
      <c r="F20" s="12" t="s">
        <v>122</v>
      </c>
      <c r="G20" s="12">
        <v>4</v>
      </c>
      <c r="H20" s="38">
        <v>20</v>
      </c>
      <c r="I20" s="7">
        <v>300000</v>
      </c>
      <c r="J20" s="14">
        <v>4524</v>
      </c>
      <c r="K20" s="15">
        <f>L20+20068+24564+48544+43996+30716+19196+21560+23324+19612+4524</f>
        <v>256104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0.15</v>
      </c>
      <c r="AF20" s="93">
        <f t="shared" si="8"/>
        <v>15</v>
      </c>
    </row>
    <row r="21" spans="1:32" ht="31.5" customHeight="1" thickBot="1">
      <c r="A21" s="362" t="s">
        <v>34</v>
      </c>
      <c r="B21" s="363"/>
      <c r="C21" s="363"/>
      <c r="D21" s="363"/>
      <c r="E21" s="363"/>
      <c r="F21" s="363"/>
      <c r="G21" s="363"/>
      <c r="H21" s="364"/>
      <c r="I21" s="25">
        <f t="shared" ref="I21:N21" si="9">SUM(I6:I20)</f>
        <v>388300</v>
      </c>
      <c r="J21" s="22">
        <f t="shared" si="9"/>
        <v>33465</v>
      </c>
      <c r="K21" s="23">
        <f t="shared" si="9"/>
        <v>325795</v>
      </c>
      <c r="L21" s="24">
        <f t="shared" si="9"/>
        <v>10893</v>
      </c>
      <c r="M21" s="23">
        <f t="shared" si="9"/>
        <v>10893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54</v>
      </c>
      <c r="Q21" s="46">
        <f t="shared" si="10"/>
        <v>306</v>
      </c>
      <c r="R21" s="26">
        <f t="shared" si="10"/>
        <v>48</v>
      </c>
      <c r="S21" s="27">
        <f t="shared" si="10"/>
        <v>24</v>
      </c>
      <c r="T21" s="27">
        <f t="shared" si="10"/>
        <v>4</v>
      </c>
      <c r="U21" s="27">
        <f t="shared" si="10"/>
        <v>0</v>
      </c>
      <c r="V21" s="28">
        <f t="shared" si="10"/>
        <v>90</v>
      </c>
      <c r="W21" s="29">
        <f t="shared" si="10"/>
        <v>140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</v>
      </c>
      <c r="AC21" s="4">
        <f>SUM(AC6:AC20)/15</f>
        <v>0.15</v>
      </c>
      <c r="AD21" s="4">
        <f>SUM(AD6:AD20)/15</f>
        <v>0.15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5" t="s">
        <v>45</v>
      </c>
      <c r="B48" s="365"/>
      <c r="C48" s="365"/>
      <c r="D48" s="365"/>
      <c r="E48" s="36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66" t="s">
        <v>333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8"/>
      <c r="N49" s="369" t="s">
        <v>334</v>
      </c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1"/>
    </row>
    <row r="50" spans="1:32" ht="27" customHeight="1">
      <c r="A50" s="372" t="s">
        <v>2</v>
      </c>
      <c r="B50" s="373"/>
      <c r="C50" s="211" t="s">
        <v>46</v>
      </c>
      <c r="D50" s="211" t="s">
        <v>47</v>
      </c>
      <c r="E50" s="211" t="s">
        <v>108</v>
      </c>
      <c r="F50" s="373" t="s">
        <v>107</v>
      </c>
      <c r="G50" s="373"/>
      <c r="H50" s="373"/>
      <c r="I50" s="373"/>
      <c r="J50" s="373"/>
      <c r="K50" s="373"/>
      <c r="L50" s="373"/>
      <c r="M50" s="374"/>
      <c r="N50" s="73" t="s">
        <v>112</v>
      </c>
      <c r="O50" s="211" t="s">
        <v>46</v>
      </c>
      <c r="P50" s="375" t="s">
        <v>47</v>
      </c>
      <c r="Q50" s="376"/>
      <c r="R50" s="375" t="s">
        <v>38</v>
      </c>
      <c r="S50" s="377"/>
      <c r="T50" s="377"/>
      <c r="U50" s="376"/>
      <c r="V50" s="375" t="s">
        <v>48</v>
      </c>
      <c r="W50" s="377"/>
      <c r="X50" s="377"/>
      <c r="Y50" s="377"/>
      <c r="Z50" s="377"/>
      <c r="AA50" s="377"/>
      <c r="AB50" s="377"/>
      <c r="AC50" s="377"/>
      <c r="AD50" s="378"/>
    </row>
    <row r="51" spans="1:32" ht="27" customHeight="1">
      <c r="A51" s="349" t="s">
        <v>114</v>
      </c>
      <c r="B51" s="350"/>
      <c r="C51" s="208" t="s">
        <v>183</v>
      </c>
      <c r="D51" s="208" t="s">
        <v>323</v>
      </c>
      <c r="E51" s="208" t="s">
        <v>322</v>
      </c>
      <c r="F51" s="341" t="s">
        <v>129</v>
      </c>
      <c r="G51" s="341"/>
      <c r="H51" s="341"/>
      <c r="I51" s="341"/>
      <c r="J51" s="341"/>
      <c r="K51" s="341"/>
      <c r="L51" s="341"/>
      <c r="M51" s="351"/>
      <c r="N51" s="207" t="s">
        <v>320</v>
      </c>
      <c r="O51" s="124" t="s">
        <v>218</v>
      </c>
      <c r="P51" s="358"/>
      <c r="Q51" s="359"/>
      <c r="R51" s="401" t="s">
        <v>335</v>
      </c>
      <c r="S51" s="350"/>
      <c r="T51" s="350"/>
      <c r="U51" s="350"/>
      <c r="V51" s="341" t="s">
        <v>129</v>
      </c>
      <c r="W51" s="341"/>
      <c r="X51" s="341"/>
      <c r="Y51" s="341"/>
      <c r="Z51" s="341"/>
      <c r="AA51" s="341"/>
      <c r="AB51" s="341"/>
      <c r="AC51" s="341"/>
      <c r="AD51" s="351"/>
    </row>
    <row r="52" spans="1:32" ht="27" customHeight="1">
      <c r="A52" s="349" t="s">
        <v>125</v>
      </c>
      <c r="B52" s="350"/>
      <c r="C52" s="208" t="s">
        <v>223</v>
      </c>
      <c r="D52" s="208" t="s">
        <v>149</v>
      </c>
      <c r="E52" s="208" t="s">
        <v>330</v>
      </c>
      <c r="F52" s="341" t="s">
        <v>129</v>
      </c>
      <c r="G52" s="341"/>
      <c r="H52" s="341"/>
      <c r="I52" s="341"/>
      <c r="J52" s="341"/>
      <c r="K52" s="341"/>
      <c r="L52" s="341"/>
      <c r="M52" s="351"/>
      <c r="N52" s="207" t="s">
        <v>114</v>
      </c>
      <c r="O52" s="124" t="s">
        <v>170</v>
      </c>
      <c r="P52" s="358" t="s">
        <v>224</v>
      </c>
      <c r="Q52" s="359"/>
      <c r="R52" s="350" t="s">
        <v>294</v>
      </c>
      <c r="S52" s="350"/>
      <c r="T52" s="350"/>
      <c r="U52" s="350"/>
      <c r="V52" s="341" t="s">
        <v>129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125</v>
      </c>
      <c r="B53" s="350"/>
      <c r="C53" s="208" t="s">
        <v>185</v>
      </c>
      <c r="D53" s="208" t="s">
        <v>285</v>
      </c>
      <c r="E53" s="208" t="s">
        <v>310</v>
      </c>
      <c r="F53" s="341" t="s">
        <v>129</v>
      </c>
      <c r="G53" s="341"/>
      <c r="H53" s="341"/>
      <c r="I53" s="341"/>
      <c r="J53" s="341"/>
      <c r="K53" s="341"/>
      <c r="L53" s="341"/>
      <c r="M53" s="351"/>
      <c r="N53" s="207"/>
      <c r="O53" s="124"/>
      <c r="P53" s="358"/>
      <c r="Q53" s="359"/>
      <c r="R53" s="350"/>
      <c r="S53" s="350"/>
      <c r="T53" s="350"/>
      <c r="U53" s="350"/>
      <c r="V53" s="341"/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320</v>
      </c>
      <c r="B54" s="350"/>
      <c r="C54" s="208" t="s">
        <v>218</v>
      </c>
      <c r="D54" s="208"/>
      <c r="E54" s="208" t="s">
        <v>321</v>
      </c>
      <c r="F54" s="341" t="s">
        <v>129</v>
      </c>
      <c r="G54" s="341"/>
      <c r="H54" s="341"/>
      <c r="I54" s="341"/>
      <c r="J54" s="341"/>
      <c r="K54" s="341"/>
      <c r="L54" s="341"/>
      <c r="M54" s="351"/>
      <c r="N54" s="207"/>
      <c r="O54" s="124"/>
      <c r="P54" s="350"/>
      <c r="Q54" s="350"/>
      <c r="R54" s="350"/>
      <c r="S54" s="350"/>
      <c r="T54" s="350"/>
      <c r="U54" s="350"/>
      <c r="V54" s="341"/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/>
      <c r="B55" s="350"/>
      <c r="C55" s="208"/>
      <c r="D55" s="208"/>
      <c r="E55" s="208"/>
      <c r="F55" s="341"/>
      <c r="G55" s="341"/>
      <c r="H55" s="341"/>
      <c r="I55" s="341"/>
      <c r="J55" s="341"/>
      <c r="K55" s="341"/>
      <c r="L55" s="341"/>
      <c r="M55" s="351"/>
      <c r="N55" s="207"/>
      <c r="O55" s="124"/>
      <c r="P55" s="350"/>
      <c r="Q55" s="350"/>
      <c r="R55" s="350"/>
      <c r="S55" s="350"/>
      <c r="T55" s="350"/>
      <c r="U55" s="350"/>
      <c r="V55" s="341"/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/>
      <c r="B56" s="350"/>
      <c r="C56" s="208"/>
      <c r="D56" s="208"/>
      <c r="E56" s="208"/>
      <c r="F56" s="341"/>
      <c r="G56" s="341"/>
      <c r="H56" s="341"/>
      <c r="I56" s="341"/>
      <c r="J56" s="341"/>
      <c r="K56" s="341"/>
      <c r="L56" s="341"/>
      <c r="M56" s="351"/>
      <c r="N56" s="207"/>
      <c r="O56" s="124"/>
      <c r="P56" s="358"/>
      <c r="Q56" s="359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/>
      <c r="B57" s="350"/>
      <c r="C57" s="208"/>
      <c r="D57" s="208"/>
      <c r="E57" s="208"/>
      <c r="F57" s="341"/>
      <c r="G57" s="341"/>
      <c r="H57" s="341"/>
      <c r="I57" s="341"/>
      <c r="J57" s="341"/>
      <c r="K57" s="341"/>
      <c r="L57" s="341"/>
      <c r="M57" s="351"/>
      <c r="N57" s="207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208"/>
      <c r="D58" s="208"/>
      <c r="E58" s="208"/>
      <c r="F58" s="341"/>
      <c r="G58" s="341"/>
      <c r="H58" s="341"/>
      <c r="I58" s="341"/>
      <c r="J58" s="341"/>
      <c r="K58" s="341"/>
      <c r="L58" s="341"/>
      <c r="M58" s="351"/>
      <c r="N58" s="207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208"/>
      <c r="D59" s="208"/>
      <c r="E59" s="208"/>
      <c r="F59" s="341"/>
      <c r="G59" s="341"/>
      <c r="H59" s="341"/>
      <c r="I59" s="341"/>
      <c r="J59" s="341"/>
      <c r="K59" s="341"/>
      <c r="L59" s="341"/>
      <c r="M59" s="351"/>
      <c r="N59" s="207"/>
      <c r="O59" s="124"/>
      <c r="P59" s="350"/>
      <c r="Q59" s="350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  <c r="AF59" s="93">
        <f>8*3000</f>
        <v>24000</v>
      </c>
    </row>
    <row r="60" spans="1:32" ht="27" customHeight="1" thickBot="1">
      <c r="A60" s="352"/>
      <c r="B60" s="353"/>
      <c r="C60" s="210"/>
      <c r="D60" s="210"/>
      <c r="E60" s="210"/>
      <c r="F60" s="354"/>
      <c r="G60" s="354"/>
      <c r="H60" s="354"/>
      <c r="I60" s="354"/>
      <c r="J60" s="354"/>
      <c r="K60" s="354"/>
      <c r="L60" s="354"/>
      <c r="M60" s="355"/>
      <c r="N60" s="209"/>
      <c r="O60" s="120"/>
      <c r="P60" s="353"/>
      <c r="Q60" s="353"/>
      <c r="R60" s="353"/>
      <c r="S60" s="353"/>
      <c r="T60" s="353"/>
      <c r="U60" s="353"/>
      <c r="V60" s="356"/>
      <c r="W60" s="356"/>
      <c r="X60" s="356"/>
      <c r="Y60" s="356"/>
      <c r="Z60" s="356"/>
      <c r="AA60" s="356"/>
      <c r="AB60" s="356"/>
      <c r="AC60" s="356"/>
      <c r="AD60" s="357"/>
      <c r="AF60" s="93">
        <f>16*3000</f>
        <v>48000</v>
      </c>
    </row>
    <row r="61" spans="1:32" ht="27.75" thickBot="1">
      <c r="A61" s="347" t="s">
        <v>336</v>
      </c>
      <c r="B61" s="347"/>
      <c r="C61" s="347"/>
      <c r="D61" s="347"/>
      <c r="E61" s="34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48" t="s">
        <v>113</v>
      </c>
      <c r="B62" s="345"/>
      <c r="C62" s="206" t="s">
        <v>2</v>
      </c>
      <c r="D62" s="206" t="s">
        <v>37</v>
      </c>
      <c r="E62" s="206" t="s">
        <v>3</v>
      </c>
      <c r="F62" s="345" t="s">
        <v>110</v>
      </c>
      <c r="G62" s="345"/>
      <c r="H62" s="345"/>
      <c r="I62" s="345"/>
      <c r="J62" s="345"/>
      <c r="K62" s="345" t="s">
        <v>39</v>
      </c>
      <c r="L62" s="345"/>
      <c r="M62" s="206" t="s">
        <v>40</v>
      </c>
      <c r="N62" s="345" t="s">
        <v>41</v>
      </c>
      <c r="O62" s="345"/>
      <c r="P62" s="342" t="s">
        <v>42</v>
      </c>
      <c r="Q62" s="344"/>
      <c r="R62" s="342" t="s">
        <v>43</v>
      </c>
      <c r="S62" s="343"/>
      <c r="T62" s="343"/>
      <c r="U62" s="343"/>
      <c r="V62" s="343"/>
      <c r="W62" s="343"/>
      <c r="X62" s="343"/>
      <c r="Y62" s="343"/>
      <c r="Z62" s="343"/>
      <c r="AA62" s="344"/>
      <c r="AB62" s="345" t="s">
        <v>44</v>
      </c>
      <c r="AC62" s="345"/>
      <c r="AD62" s="346"/>
      <c r="AF62" s="93">
        <f>SUM(AF59:AF61)</f>
        <v>96000</v>
      </c>
    </row>
    <row r="63" spans="1:32" ht="25.5" customHeight="1">
      <c r="A63" s="337">
        <v>1</v>
      </c>
      <c r="B63" s="338"/>
      <c r="C63" s="123" t="s">
        <v>125</v>
      </c>
      <c r="D63" s="202"/>
      <c r="E63" s="205" t="s">
        <v>285</v>
      </c>
      <c r="F63" s="339" t="s">
        <v>310</v>
      </c>
      <c r="G63" s="331"/>
      <c r="H63" s="331"/>
      <c r="I63" s="331"/>
      <c r="J63" s="331"/>
      <c r="K63" s="331">
        <v>8301</v>
      </c>
      <c r="L63" s="331"/>
      <c r="M63" s="54" t="s">
        <v>227</v>
      </c>
      <c r="N63" s="331">
        <v>12</v>
      </c>
      <c r="O63" s="331"/>
      <c r="P63" s="340">
        <v>50</v>
      </c>
      <c r="Q63" s="340"/>
      <c r="R63" s="341"/>
      <c r="S63" s="341"/>
      <c r="T63" s="341"/>
      <c r="U63" s="341"/>
      <c r="V63" s="341"/>
      <c r="W63" s="341"/>
      <c r="X63" s="341"/>
      <c r="Y63" s="341"/>
      <c r="Z63" s="341"/>
      <c r="AA63" s="341"/>
      <c r="AB63" s="331"/>
      <c r="AC63" s="331"/>
      <c r="AD63" s="332"/>
      <c r="AF63" s="53"/>
    </row>
    <row r="64" spans="1:32" ht="25.5" customHeight="1">
      <c r="A64" s="337">
        <v>2</v>
      </c>
      <c r="B64" s="338"/>
      <c r="C64" s="123"/>
      <c r="D64" s="202"/>
      <c r="E64" s="205"/>
      <c r="F64" s="339"/>
      <c r="G64" s="331"/>
      <c r="H64" s="331"/>
      <c r="I64" s="331"/>
      <c r="J64" s="331"/>
      <c r="K64" s="331"/>
      <c r="L64" s="331"/>
      <c r="M64" s="54"/>
      <c r="N64" s="331"/>
      <c r="O64" s="331"/>
      <c r="P64" s="340"/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3</v>
      </c>
      <c r="B65" s="338"/>
      <c r="C65" s="123"/>
      <c r="D65" s="202"/>
      <c r="E65" s="205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4</v>
      </c>
      <c r="B66" s="338"/>
      <c r="C66" s="123"/>
      <c r="D66" s="202"/>
      <c r="E66" s="205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5</v>
      </c>
      <c r="B67" s="338"/>
      <c r="C67" s="123"/>
      <c r="D67" s="202"/>
      <c r="E67" s="205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6</v>
      </c>
      <c r="B68" s="338"/>
      <c r="C68" s="123"/>
      <c r="D68" s="202"/>
      <c r="E68" s="205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7</v>
      </c>
      <c r="B69" s="338"/>
      <c r="C69" s="123"/>
      <c r="D69" s="202"/>
      <c r="E69" s="205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8</v>
      </c>
      <c r="B70" s="338"/>
      <c r="C70" s="123"/>
      <c r="D70" s="202"/>
      <c r="E70" s="205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6.25" customHeight="1" thickBot="1">
      <c r="A71" s="311" t="s">
        <v>337</v>
      </c>
      <c r="B71" s="311"/>
      <c r="C71" s="311"/>
      <c r="D71" s="311"/>
      <c r="E71" s="311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12" t="s">
        <v>113</v>
      </c>
      <c r="B72" s="313"/>
      <c r="C72" s="204" t="s">
        <v>2</v>
      </c>
      <c r="D72" s="204" t="s">
        <v>37</v>
      </c>
      <c r="E72" s="204" t="s">
        <v>3</v>
      </c>
      <c r="F72" s="313" t="s">
        <v>38</v>
      </c>
      <c r="G72" s="313"/>
      <c r="H72" s="313"/>
      <c r="I72" s="313"/>
      <c r="J72" s="313"/>
      <c r="K72" s="333" t="s">
        <v>58</v>
      </c>
      <c r="L72" s="334"/>
      <c r="M72" s="334"/>
      <c r="N72" s="334"/>
      <c r="O72" s="334"/>
      <c r="P72" s="334"/>
      <c r="Q72" s="334"/>
      <c r="R72" s="334"/>
      <c r="S72" s="335"/>
      <c r="T72" s="313" t="s">
        <v>49</v>
      </c>
      <c r="U72" s="313"/>
      <c r="V72" s="333" t="s">
        <v>50</v>
      </c>
      <c r="W72" s="335"/>
      <c r="X72" s="334" t="s">
        <v>51</v>
      </c>
      <c r="Y72" s="334"/>
      <c r="Z72" s="334"/>
      <c r="AA72" s="334"/>
      <c r="AB72" s="334"/>
      <c r="AC72" s="334"/>
      <c r="AD72" s="336"/>
      <c r="AF72" s="53"/>
    </row>
    <row r="73" spans="1:32" ht="33.75" customHeight="1">
      <c r="A73" s="305">
        <v>1</v>
      </c>
      <c r="B73" s="306"/>
      <c r="C73" s="203" t="s">
        <v>114</v>
      </c>
      <c r="D73" s="203"/>
      <c r="E73" s="71" t="s">
        <v>246</v>
      </c>
      <c r="F73" s="320" t="s">
        <v>221</v>
      </c>
      <c r="G73" s="321"/>
      <c r="H73" s="321"/>
      <c r="I73" s="321"/>
      <c r="J73" s="322"/>
      <c r="K73" s="323" t="s">
        <v>301</v>
      </c>
      <c r="L73" s="324"/>
      <c r="M73" s="324"/>
      <c r="N73" s="324"/>
      <c r="O73" s="324"/>
      <c r="P73" s="324"/>
      <c r="Q73" s="324"/>
      <c r="R73" s="324"/>
      <c r="S73" s="325"/>
      <c r="T73" s="326">
        <v>43384</v>
      </c>
      <c r="U73" s="327"/>
      <c r="V73" s="328"/>
      <c r="W73" s="328"/>
      <c r="X73" s="329"/>
      <c r="Y73" s="329"/>
      <c r="Z73" s="329"/>
      <c r="AA73" s="329"/>
      <c r="AB73" s="329"/>
      <c r="AC73" s="329"/>
      <c r="AD73" s="330"/>
      <c r="AF73" s="53"/>
    </row>
    <row r="74" spans="1:32" ht="30" customHeight="1">
      <c r="A74" s="298">
        <f>A73+1</f>
        <v>2</v>
      </c>
      <c r="B74" s="299"/>
      <c r="C74" s="202"/>
      <c r="D74" s="202"/>
      <c r="E74" s="35"/>
      <c r="F74" s="299"/>
      <c r="G74" s="299"/>
      <c r="H74" s="299"/>
      <c r="I74" s="299"/>
      <c r="J74" s="299"/>
      <c r="K74" s="314"/>
      <c r="L74" s="315"/>
      <c r="M74" s="315"/>
      <c r="N74" s="315"/>
      <c r="O74" s="315"/>
      <c r="P74" s="315"/>
      <c r="Q74" s="315"/>
      <c r="R74" s="315"/>
      <c r="S74" s="316"/>
      <c r="T74" s="317"/>
      <c r="U74" s="317"/>
      <c r="V74" s="317"/>
      <c r="W74" s="317"/>
      <c r="X74" s="318"/>
      <c r="Y74" s="318"/>
      <c r="Z74" s="318"/>
      <c r="AA74" s="318"/>
      <c r="AB74" s="318"/>
      <c r="AC74" s="318"/>
      <c r="AD74" s="319"/>
      <c r="AF74" s="53"/>
    </row>
    <row r="75" spans="1:32" ht="30" customHeight="1">
      <c r="A75" s="298">
        <f t="shared" ref="A75:A81" si="11">A74+1</f>
        <v>3</v>
      </c>
      <c r="B75" s="299"/>
      <c r="C75" s="202"/>
      <c r="D75" s="202"/>
      <c r="E75" s="35"/>
      <c r="F75" s="299"/>
      <c r="G75" s="299"/>
      <c r="H75" s="299"/>
      <c r="I75" s="299"/>
      <c r="J75" s="299"/>
      <c r="K75" s="314"/>
      <c r="L75" s="315"/>
      <c r="M75" s="315"/>
      <c r="N75" s="315"/>
      <c r="O75" s="315"/>
      <c r="P75" s="315"/>
      <c r="Q75" s="315"/>
      <c r="R75" s="315"/>
      <c r="S75" s="316"/>
      <c r="T75" s="317"/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si="11"/>
        <v>4</v>
      </c>
      <c r="B76" s="299"/>
      <c r="C76" s="202"/>
      <c r="D76" s="202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1"/>
        <v>5</v>
      </c>
      <c r="B77" s="299"/>
      <c r="C77" s="202"/>
      <c r="D77" s="202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1"/>
        <v>6</v>
      </c>
      <c r="B78" s="299"/>
      <c r="C78" s="202"/>
      <c r="D78" s="202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1"/>
        <v>7</v>
      </c>
      <c r="B79" s="299"/>
      <c r="C79" s="202"/>
      <c r="D79" s="202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1"/>
        <v>8</v>
      </c>
      <c r="B80" s="299"/>
      <c r="C80" s="202"/>
      <c r="D80" s="202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1"/>
        <v>9</v>
      </c>
      <c r="B81" s="299"/>
      <c r="C81" s="202"/>
      <c r="D81" s="202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6" thickBot="1">
      <c r="A82" s="311" t="s">
        <v>338</v>
      </c>
      <c r="B82" s="311"/>
      <c r="C82" s="311"/>
      <c r="D82" s="311"/>
      <c r="E82" s="311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12" t="s">
        <v>113</v>
      </c>
      <c r="B83" s="313"/>
      <c r="C83" s="303" t="s">
        <v>52</v>
      </c>
      <c r="D83" s="303"/>
      <c r="E83" s="303" t="s">
        <v>53</v>
      </c>
      <c r="F83" s="303"/>
      <c r="G83" s="303"/>
      <c r="H83" s="303"/>
      <c r="I83" s="303"/>
      <c r="J83" s="303"/>
      <c r="K83" s="303" t="s">
        <v>54</v>
      </c>
      <c r="L83" s="303"/>
      <c r="M83" s="303"/>
      <c r="N83" s="303"/>
      <c r="O83" s="303"/>
      <c r="P83" s="303"/>
      <c r="Q83" s="303"/>
      <c r="R83" s="303"/>
      <c r="S83" s="303"/>
      <c r="T83" s="303" t="s">
        <v>55</v>
      </c>
      <c r="U83" s="303"/>
      <c r="V83" s="303" t="s">
        <v>56</v>
      </c>
      <c r="W83" s="303"/>
      <c r="X83" s="303"/>
      <c r="Y83" s="303" t="s">
        <v>51</v>
      </c>
      <c r="Z83" s="303"/>
      <c r="AA83" s="303"/>
      <c r="AB83" s="303"/>
      <c r="AC83" s="303"/>
      <c r="AD83" s="304"/>
      <c r="AF83" s="53"/>
    </row>
    <row r="84" spans="1:32" ht="30.75" customHeight="1">
      <c r="A84" s="305">
        <v>1</v>
      </c>
      <c r="B84" s="306"/>
      <c r="C84" s="307">
        <v>9</v>
      </c>
      <c r="D84" s="307"/>
      <c r="E84" s="307" t="s">
        <v>141</v>
      </c>
      <c r="F84" s="307"/>
      <c r="G84" s="307"/>
      <c r="H84" s="307"/>
      <c r="I84" s="307"/>
      <c r="J84" s="307"/>
      <c r="K84" s="307" t="s">
        <v>142</v>
      </c>
      <c r="L84" s="307"/>
      <c r="M84" s="307"/>
      <c r="N84" s="307"/>
      <c r="O84" s="307"/>
      <c r="P84" s="307"/>
      <c r="Q84" s="307"/>
      <c r="R84" s="307"/>
      <c r="S84" s="307"/>
      <c r="T84" s="307" t="s">
        <v>143</v>
      </c>
      <c r="U84" s="307"/>
      <c r="V84" s="308">
        <v>11307000</v>
      </c>
      <c r="W84" s="308"/>
      <c r="X84" s="308"/>
      <c r="Y84" s="309"/>
      <c r="Z84" s="309"/>
      <c r="AA84" s="309"/>
      <c r="AB84" s="309"/>
      <c r="AC84" s="309"/>
      <c r="AD84" s="310"/>
      <c r="AF84" s="53"/>
    </row>
    <row r="85" spans="1:32" ht="30.75" customHeight="1">
      <c r="A85" s="298">
        <v>2</v>
      </c>
      <c r="B85" s="299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1"/>
      <c r="U85" s="301"/>
      <c r="V85" s="302"/>
      <c r="W85" s="302"/>
      <c r="X85" s="302"/>
      <c r="Y85" s="291"/>
      <c r="Z85" s="291"/>
      <c r="AA85" s="291"/>
      <c r="AB85" s="291"/>
      <c r="AC85" s="291"/>
      <c r="AD85" s="292"/>
      <c r="AF85" s="53"/>
    </row>
    <row r="86" spans="1:32" ht="30.75" customHeight="1" thickBot="1">
      <c r="A86" s="293">
        <v>3</v>
      </c>
      <c r="B86" s="294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6"/>
      <c r="Z86" s="296"/>
      <c r="AA86" s="296"/>
      <c r="AB86" s="296"/>
      <c r="AC86" s="296"/>
      <c r="AD86" s="29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640E-51E3-4A38-9340-A7C04A106D44}">
  <sheetPr>
    <pageSetUpPr fitToPage="1"/>
  </sheetPr>
  <dimension ref="A1:AF88"/>
  <sheetViews>
    <sheetView zoomScale="72" zoomScaleNormal="72" zoomScaleSheetLayoutView="70" workbookViewId="0">
      <selection activeCell="S14" sqref="S1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339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212" t="s">
        <v>17</v>
      </c>
      <c r="L5" s="212" t="s">
        <v>18</v>
      </c>
      <c r="M5" s="212" t="s">
        <v>19</v>
      </c>
      <c r="N5" s="21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>$AD$23</f>
        <v>0.11111111111111112</v>
      </c>
      <c r="AF6" s="93">
        <f t="shared" ref="AF6:AF22" si="7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>$AD$23</f>
        <v>0.11111111111111112</v>
      </c>
      <c r="AF7" s="93">
        <f t="shared" si="7"/>
        <v>2</v>
      </c>
    </row>
    <row r="8" spans="1:32" ht="27" customHeight="1">
      <c r="A8" s="108">
        <v>3</v>
      </c>
      <c r="B8" s="11" t="s">
        <v>57</v>
      </c>
      <c r="C8" s="37" t="s">
        <v>320</v>
      </c>
      <c r="D8" s="55"/>
      <c r="E8" s="57" t="s">
        <v>329</v>
      </c>
      <c r="F8" s="33" t="s">
        <v>231</v>
      </c>
      <c r="G8" s="36" t="s">
        <v>167</v>
      </c>
      <c r="H8" s="38">
        <v>25</v>
      </c>
      <c r="I8" s="7">
        <v>2500</v>
      </c>
      <c r="J8" s="5">
        <v>1016</v>
      </c>
      <c r="K8" s="15">
        <f>L8+1800</f>
        <v>2816</v>
      </c>
      <c r="L8" s="15">
        <v>1016</v>
      </c>
      <c r="M8" s="16">
        <f t="shared" si="0"/>
        <v>1016</v>
      </c>
      <c r="N8" s="16">
        <v>0</v>
      </c>
      <c r="O8" s="62">
        <f t="shared" si="1"/>
        <v>0</v>
      </c>
      <c r="P8" s="42">
        <f t="shared" si="2"/>
        <v>6</v>
      </c>
      <c r="Q8" s="43">
        <f t="shared" si="3"/>
        <v>18</v>
      </c>
      <c r="R8" s="7"/>
      <c r="S8" s="6"/>
      <c r="T8" s="17"/>
      <c r="U8" s="17"/>
      <c r="V8" s="18"/>
      <c r="W8" s="19">
        <v>18</v>
      </c>
      <c r="X8" s="17"/>
      <c r="Y8" s="20"/>
      <c r="Z8" s="20"/>
      <c r="AA8" s="21"/>
      <c r="AB8" s="8">
        <f t="shared" si="4"/>
        <v>1</v>
      </c>
      <c r="AC8" s="9">
        <f t="shared" si="5"/>
        <v>0.25</v>
      </c>
      <c r="AD8" s="10">
        <f t="shared" si="6"/>
        <v>0.25</v>
      </c>
      <c r="AE8" s="39">
        <f>$AD$23</f>
        <v>0.11111111111111112</v>
      </c>
      <c r="AF8" s="93">
        <f t="shared" si="7"/>
        <v>3</v>
      </c>
    </row>
    <row r="9" spans="1:32" ht="27" customHeight="1">
      <c r="A9" s="108">
        <v>3</v>
      </c>
      <c r="B9" s="11" t="s">
        <v>57</v>
      </c>
      <c r="C9" s="37" t="s">
        <v>320</v>
      </c>
      <c r="D9" s="55"/>
      <c r="E9" s="57" t="s">
        <v>340</v>
      </c>
      <c r="F9" s="33" t="s">
        <v>147</v>
      </c>
      <c r="G9" s="36">
        <v>1</v>
      </c>
      <c r="H9" s="38">
        <v>25</v>
      </c>
      <c r="I9" s="7">
        <v>2500</v>
      </c>
      <c r="J9" s="5">
        <v>540</v>
      </c>
      <c r="K9" s="15">
        <f>L9</f>
        <v>540</v>
      </c>
      <c r="L9" s="15">
        <v>540</v>
      </c>
      <c r="M9" s="16">
        <f t="shared" ref="M9" si="8">L9-N9</f>
        <v>540</v>
      </c>
      <c r="N9" s="16">
        <v>0</v>
      </c>
      <c r="O9" s="62">
        <f t="shared" ref="O9" si="9">IF(L9=0,"0",N9/L9)</f>
        <v>0</v>
      </c>
      <c r="P9" s="42">
        <f t="shared" ref="P9" si="10">IF(L9=0,"0",(24-Q9))</f>
        <v>4</v>
      </c>
      <c r="Q9" s="43">
        <f t="shared" ref="Q9" si="11">SUM(R9:AA9)</f>
        <v>20</v>
      </c>
      <c r="R9" s="7"/>
      <c r="S9" s="6"/>
      <c r="T9" s="17">
        <v>6</v>
      </c>
      <c r="U9" s="17"/>
      <c r="V9" s="18">
        <v>14</v>
      </c>
      <c r="W9" s="19"/>
      <c r="X9" s="17"/>
      <c r="Y9" s="20"/>
      <c r="Z9" s="20"/>
      <c r="AA9" s="21"/>
      <c r="AB9" s="8">
        <f t="shared" ref="AB9" si="12">IF(J9=0,"0",(L9/J9))</f>
        <v>1</v>
      </c>
      <c r="AC9" s="9">
        <f t="shared" ref="AC9" si="13">IF(P9=0,"0",(P9/24))</f>
        <v>0.16666666666666666</v>
      </c>
      <c r="AD9" s="10">
        <f t="shared" ref="AD9" si="14">AC9*AB9*(1-O9)</f>
        <v>0.16666666666666666</v>
      </c>
      <c r="AE9" s="39">
        <f>$AD$23</f>
        <v>0.11111111111111112</v>
      </c>
      <c r="AF9" s="93">
        <f t="shared" ref="AF9" si="15">A9</f>
        <v>3</v>
      </c>
    </row>
    <row r="10" spans="1:32" ht="27" customHeight="1">
      <c r="A10" s="109">
        <v>4</v>
      </c>
      <c r="B10" s="11" t="s">
        <v>57</v>
      </c>
      <c r="C10" s="37" t="s">
        <v>114</v>
      </c>
      <c r="D10" s="55" t="s">
        <v>219</v>
      </c>
      <c r="E10" s="57" t="s">
        <v>217</v>
      </c>
      <c r="F10" s="33" t="s">
        <v>231</v>
      </c>
      <c r="G10" s="36">
        <v>1</v>
      </c>
      <c r="H10" s="38">
        <v>25</v>
      </c>
      <c r="I10" s="7">
        <v>13000</v>
      </c>
      <c r="J10" s="5">
        <v>227</v>
      </c>
      <c r="K10" s="15">
        <f>L10+3665+2500+3483+2000+1207+3121+3281+2489</f>
        <v>21973</v>
      </c>
      <c r="L10" s="15">
        <v>227</v>
      </c>
      <c r="M10" s="16">
        <f t="shared" si="0"/>
        <v>227</v>
      </c>
      <c r="N10" s="16">
        <v>0</v>
      </c>
      <c r="O10" s="62">
        <f t="shared" si="1"/>
        <v>0</v>
      </c>
      <c r="P10" s="42">
        <f t="shared" si="2"/>
        <v>2</v>
      </c>
      <c r="Q10" s="43">
        <f t="shared" si="3"/>
        <v>22</v>
      </c>
      <c r="R10" s="7"/>
      <c r="S10" s="6"/>
      <c r="T10" s="17"/>
      <c r="U10" s="17"/>
      <c r="V10" s="18"/>
      <c r="W10" s="19">
        <v>22</v>
      </c>
      <c r="X10" s="17"/>
      <c r="Y10" s="20"/>
      <c r="Z10" s="20"/>
      <c r="AA10" s="21"/>
      <c r="AB10" s="8">
        <f t="shared" si="4"/>
        <v>1</v>
      </c>
      <c r="AC10" s="9">
        <f t="shared" si="5"/>
        <v>8.3333333333333329E-2</v>
      </c>
      <c r="AD10" s="10">
        <f t="shared" si="6"/>
        <v>8.3333333333333329E-2</v>
      </c>
      <c r="AE10" s="39">
        <f>$AD$23</f>
        <v>0.11111111111111112</v>
      </c>
      <c r="AF10" s="93">
        <f t="shared" si="7"/>
        <v>4</v>
      </c>
    </row>
    <row r="11" spans="1:32" ht="27" customHeight="1">
      <c r="A11" s="109">
        <v>4</v>
      </c>
      <c r="B11" s="11" t="s">
        <v>57</v>
      </c>
      <c r="C11" s="37" t="s">
        <v>114</v>
      </c>
      <c r="D11" s="55" t="s">
        <v>224</v>
      </c>
      <c r="E11" s="57" t="s">
        <v>294</v>
      </c>
      <c r="F11" s="12" t="s">
        <v>146</v>
      </c>
      <c r="G11" s="36">
        <v>1</v>
      </c>
      <c r="H11" s="38">
        <v>25</v>
      </c>
      <c r="I11" s="7">
        <v>1000</v>
      </c>
      <c r="J11" s="5">
        <v>485</v>
      </c>
      <c r="K11" s="15">
        <f>L11</f>
        <v>485</v>
      </c>
      <c r="L11" s="15">
        <v>485</v>
      </c>
      <c r="M11" s="16">
        <f t="shared" si="0"/>
        <v>485</v>
      </c>
      <c r="N11" s="16">
        <v>0</v>
      </c>
      <c r="O11" s="62">
        <f t="shared" si="1"/>
        <v>0</v>
      </c>
      <c r="P11" s="42">
        <f t="shared" si="2"/>
        <v>3</v>
      </c>
      <c r="Q11" s="43">
        <f t="shared" si="3"/>
        <v>21</v>
      </c>
      <c r="R11" s="7"/>
      <c r="S11" s="6"/>
      <c r="T11" s="17">
        <v>7</v>
      </c>
      <c r="U11" s="17"/>
      <c r="V11" s="18">
        <v>14</v>
      </c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0.125</v>
      </c>
      <c r="AD11" s="10">
        <f t="shared" si="6"/>
        <v>0.125</v>
      </c>
      <c r="AE11" s="39">
        <f t="shared" ref="AE11" si="16">$AD$21</f>
        <v>0.16666666666666666</v>
      </c>
      <c r="AF11" s="93">
        <f t="shared" si="7"/>
        <v>4</v>
      </c>
    </row>
    <row r="12" spans="1:32" ht="27" customHeight="1">
      <c r="A12" s="109">
        <v>5</v>
      </c>
      <c r="B12" s="11" t="s">
        <v>57</v>
      </c>
      <c r="C12" s="11" t="s">
        <v>136</v>
      </c>
      <c r="D12" s="55" t="s">
        <v>262</v>
      </c>
      <c r="E12" s="57" t="s">
        <v>263</v>
      </c>
      <c r="F12" s="12" t="s">
        <v>166</v>
      </c>
      <c r="G12" s="12">
        <v>1</v>
      </c>
      <c r="H12" s="13">
        <v>25</v>
      </c>
      <c r="I12" s="7">
        <v>3000</v>
      </c>
      <c r="J12" s="14">
        <v>1577</v>
      </c>
      <c r="K12" s="15">
        <f>L12+1577</f>
        <v>1577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>
        <v>24</v>
      </c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ref="AE12:AE22" si="17">$AD$23</f>
        <v>0.11111111111111112</v>
      </c>
      <c r="AF12" s="93">
        <f t="shared" si="7"/>
        <v>5</v>
      </c>
    </row>
    <row r="13" spans="1:32" ht="27" customHeight="1">
      <c r="A13" s="109">
        <v>6</v>
      </c>
      <c r="B13" s="11" t="s">
        <v>57</v>
      </c>
      <c r="C13" s="37" t="s">
        <v>136</v>
      </c>
      <c r="D13" s="55" t="s">
        <v>131</v>
      </c>
      <c r="E13" s="57" t="s">
        <v>154</v>
      </c>
      <c r="F13" s="12" t="s">
        <v>144</v>
      </c>
      <c r="G13" s="12">
        <v>1</v>
      </c>
      <c r="H13" s="13">
        <v>25</v>
      </c>
      <c r="I13" s="34">
        <v>6500</v>
      </c>
      <c r="J13" s="5">
        <v>2357</v>
      </c>
      <c r="K13" s="15">
        <f>L13+5687+2357</f>
        <v>8044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17"/>
        <v>0.11111111111111112</v>
      </c>
      <c r="AF13" s="93">
        <f t="shared" si="7"/>
        <v>6</v>
      </c>
    </row>
    <row r="14" spans="1:32" ht="27" customHeight="1">
      <c r="A14" s="109">
        <v>7</v>
      </c>
      <c r="B14" s="11" t="s">
        <v>57</v>
      </c>
      <c r="C14" s="11" t="s">
        <v>114</v>
      </c>
      <c r="D14" s="55" t="s">
        <v>246</v>
      </c>
      <c r="E14" s="57" t="s">
        <v>221</v>
      </c>
      <c r="F14" s="12" t="s">
        <v>146</v>
      </c>
      <c r="G14" s="12">
        <v>1</v>
      </c>
      <c r="H14" s="13">
        <v>25</v>
      </c>
      <c r="I14" s="7">
        <v>13000</v>
      </c>
      <c r="J14" s="14">
        <v>2290</v>
      </c>
      <c r="K14" s="15">
        <f>L14+397+1187+3410+1354+4087+2290</f>
        <v>12725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17"/>
        <v>0.11111111111111112</v>
      </c>
      <c r="AF14" s="93">
        <f t="shared" si="7"/>
        <v>7</v>
      </c>
    </row>
    <row r="15" spans="1:32" ht="27" customHeight="1">
      <c r="A15" s="109">
        <v>8</v>
      </c>
      <c r="B15" s="11" t="s">
        <v>57</v>
      </c>
      <c r="C15" s="11" t="s">
        <v>125</v>
      </c>
      <c r="D15" s="55" t="s">
        <v>123</v>
      </c>
      <c r="E15" s="57" t="s">
        <v>295</v>
      </c>
      <c r="F15" s="12" t="s">
        <v>146</v>
      </c>
      <c r="G15" s="12">
        <v>1</v>
      </c>
      <c r="H15" s="13">
        <v>25</v>
      </c>
      <c r="I15" s="7">
        <v>35000</v>
      </c>
      <c r="J15" s="14">
        <v>1615</v>
      </c>
      <c r="K15" s="15">
        <f>L15+761+4519+1386</f>
        <v>8281</v>
      </c>
      <c r="L15" s="15">
        <v>1615</v>
      </c>
      <c r="M15" s="16">
        <f t="shared" si="0"/>
        <v>1615</v>
      </c>
      <c r="N15" s="16">
        <v>0</v>
      </c>
      <c r="O15" s="62">
        <f t="shared" si="1"/>
        <v>0</v>
      </c>
      <c r="P15" s="42">
        <f t="shared" si="2"/>
        <v>10</v>
      </c>
      <c r="Q15" s="43">
        <f t="shared" si="3"/>
        <v>14</v>
      </c>
      <c r="R15" s="7"/>
      <c r="S15" s="6"/>
      <c r="T15" s="17"/>
      <c r="U15" s="17"/>
      <c r="V15" s="18">
        <v>14</v>
      </c>
      <c r="W15" s="19"/>
      <c r="X15" s="17"/>
      <c r="Y15" s="20"/>
      <c r="Z15" s="20"/>
      <c r="AA15" s="21"/>
      <c r="AB15" s="8">
        <f t="shared" si="4"/>
        <v>1</v>
      </c>
      <c r="AC15" s="9">
        <f t="shared" si="5"/>
        <v>0.41666666666666669</v>
      </c>
      <c r="AD15" s="10">
        <f t="shared" si="6"/>
        <v>0.41666666666666669</v>
      </c>
      <c r="AE15" s="39">
        <f t="shared" si="17"/>
        <v>0.11111111111111112</v>
      </c>
      <c r="AF15" s="93">
        <f t="shared" si="7"/>
        <v>8</v>
      </c>
    </row>
    <row r="16" spans="1:32" ht="27" customHeight="1">
      <c r="A16" s="108">
        <v>9</v>
      </c>
      <c r="B16" s="11" t="s">
        <v>57</v>
      </c>
      <c r="C16" s="37" t="s">
        <v>114</v>
      </c>
      <c r="D16" s="55" t="s">
        <v>123</v>
      </c>
      <c r="E16" s="57" t="s">
        <v>139</v>
      </c>
      <c r="F16" s="33" t="s">
        <v>138</v>
      </c>
      <c r="G16" s="36">
        <v>1</v>
      </c>
      <c r="H16" s="38">
        <v>25</v>
      </c>
      <c r="I16" s="7">
        <v>1000</v>
      </c>
      <c r="J16" s="5">
        <v>1068</v>
      </c>
      <c r="K16" s="15">
        <f>L16+1068</f>
        <v>1068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>
        <v>24</v>
      </c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17"/>
        <v>0.11111111111111112</v>
      </c>
      <c r="AF16" s="93">
        <f t="shared" si="7"/>
        <v>9</v>
      </c>
    </row>
    <row r="17" spans="1:32" ht="27" customHeight="1">
      <c r="A17" s="108">
        <v>10</v>
      </c>
      <c r="B17" s="11" t="s">
        <v>57</v>
      </c>
      <c r="C17" s="11" t="s">
        <v>136</v>
      </c>
      <c r="D17" s="55" t="s">
        <v>131</v>
      </c>
      <c r="E17" s="57" t="s">
        <v>195</v>
      </c>
      <c r="F17" s="12" t="s">
        <v>207</v>
      </c>
      <c r="G17" s="12">
        <v>3</v>
      </c>
      <c r="H17" s="13">
        <v>24</v>
      </c>
      <c r="I17" s="34">
        <v>6000</v>
      </c>
      <c r="J17" s="14">
        <v>7454</v>
      </c>
      <c r="K17" s="15">
        <f>L17+7545</f>
        <v>7545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17"/>
        <v>0.11111111111111112</v>
      </c>
      <c r="AF17" s="93">
        <f t="shared" si="7"/>
        <v>10</v>
      </c>
    </row>
    <row r="18" spans="1:32" ht="27" customHeight="1">
      <c r="A18" s="108">
        <v>11</v>
      </c>
      <c r="B18" s="11" t="s">
        <v>57</v>
      </c>
      <c r="C18" s="37" t="s">
        <v>125</v>
      </c>
      <c r="D18" s="55" t="s">
        <v>149</v>
      </c>
      <c r="E18" s="57" t="s">
        <v>330</v>
      </c>
      <c r="F18" s="33" t="s">
        <v>147</v>
      </c>
      <c r="G18" s="36" t="s">
        <v>331</v>
      </c>
      <c r="H18" s="38">
        <v>24</v>
      </c>
      <c r="I18" s="7">
        <v>5000</v>
      </c>
      <c r="J18" s="5">
        <v>4140</v>
      </c>
      <c r="K18" s="15">
        <f>L18+4218</f>
        <v>8358</v>
      </c>
      <c r="L18" s="15">
        <f>2070*2</f>
        <v>4140</v>
      </c>
      <c r="M18" s="16">
        <f t="shared" si="0"/>
        <v>4140</v>
      </c>
      <c r="N18" s="16">
        <v>0</v>
      </c>
      <c r="O18" s="62">
        <f t="shared" si="1"/>
        <v>0</v>
      </c>
      <c r="P18" s="42">
        <f t="shared" si="2"/>
        <v>11</v>
      </c>
      <c r="Q18" s="43">
        <f t="shared" si="3"/>
        <v>13</v>
      </c>
      <c r="R18" s="7"/>
      <c r="S18" s="6"/>
      <c r="T18" s="17"/>
      <c r="U18" s="17"/>
      <c r="V18" s="18">
        <v>13</v>
      </c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0.45833333333333331</v>
      </c>
      <c r="AD18" s="10">
        <f t="shared" si="6"/>
        <v>0.45833333333333331</v>
      </c>
      <c r="AE18" s="39">
        <f t="shared" si="17"/>
        <v>0.11111111111111112</v>
      </c>
      <c r="AF18" s="93">
        <f t="shared" si="7"/>
        <v>11</v>
      </c>
    </row>
    <row r="19" spans="1:32" ht="27" customHeight="1">
      <c r="A19" s="108">
        <v>12</v>
      </c>
      <c r="B19" s="11" t="s">
        <v>57</v>
      </c>
      <c r="C19" s="37" t="s">
        <v>125</v>
      </c>
      <c r="D19" s="55" t="s">
        <v>285</v>
      </c>
      <c r="E19" s="57" t="s">
        <v>310</v>
      </c>
      <c r="F19" s="12">
        <v>8301</v>
      </c>
      <c r="G19" s="12">
        <v>1</v>
      </c>
      <c r="H19" s="13">
        <v>24</v>
      </c>
      <c r="I19" s="34">
        <v>300</v>
      </c>
      <c r="J19" s="14">
        <v>300</v>
      </c>
      <c r="K19" s="15">
        <f>L19+300</f>
        <v>300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17"/>
        <v>0.11111111111111112</v>
      </c>
      <c r="AF19" s="93">
        <f t="shared" si="7"/>
        <v>12</v>
      </c>
    </row>
    <row r="20" spans="1:32" ht="27" customHeight="1">
      <c r="A20" s="109">
        <v>13</v>
      </c>
      <c r="B20" s="11" t="s">
        <v>57</v>
      </c>
      <c r="C20" s="37" t="s">
        <v>114</v>
      </c>
      <c r="D20" s="55" t="s">
        <v>150</v>
      </c>
      <c r="E20" s="57" t="s">
        <v>316</v>
      </c>
      <c r="F20" s="12" t="s">
        <v>146</v>
      </c>
      <c r="G20" s="36">
        <v>1</v>
      </c>
      <c r="H20" s="38">
        <v>30</v>
      </c>
      <c r="I20" s="7">
        <v>2000</v>
      </c>
      <c r="J20" s="5">
        <v>3302</v>
      </c>
      <c r="K20" s="15">
        <f>L20+3302</f>
        <v>3302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17"/>
        <v>0.11111111111111112</v>
      </c>
      <c r="AF20" s="93">
        <f t="shared" si="7"/>
        <v>13</v>
      </c>
    </row>
    <row r="21" spans="1:32" ht="27" customHeight="1">
      <c r="A21" s="109">
        <v>14</v>
      </c>
      <c r="B21" s="11" t="s">
        <v>57</v>
      </c>
      <c r="C21" s="11" t="s">
        <v>114</v>
      </c>
      <c r="D21" s="55" t="s">
        <v>323</v>
      </c>
      <c r="E21" s="57" t="s">
        <v>322</v>
      </c>
      <c r="F21" s="12" t="s">
        <v>332</v>
      </c>
      <c r="G21" s="12">
        <v>1</v>
      </c>
      <c r="H21" s="13">
        <v>25</v>
      </c>
      <c r="I21" s="7">
        <v>1000</v>
      </c>
      <c r="J21" s="14">
        <v>410</v>
      </c>
      <c r="K21" s="15">
        <f>L21+700</f>
        <v>1110</v>
      </c>
      <c r="L21" s="15">
        <v>410</v>
      </c>
      <c r="M21" s="16">
        <f t="shared" si="0"/>
        <v>410</v>
      </c>
      <c r="N21" s="16">
        <v>0</v>
      </c>
      <c r="O21" s="62">
        <f t="shared" si="1"/>
        <v>0</v>
      </c>
      <c r="P21" s="42">
        <f t="shared" si="2"/>
        <v>4</v>
      </c>
      <c r="Q21" s="43">
        <f t="shared" si="3"/>
        <v>20</v>
      </c>
      <c r="R21" s="7"/>
      <c r="S21" s="6"/>
      <c r="T21" s="17"/>
      <c r="U21" s="17"/>
      <c r="V21" s="18"/>
      <c r="W21" s="19">
        <v>20</v>
      </c>
      <c r="X21" s="17"/>
      <c r="Y21" s="20"/>
      <c r="Z21" s="20"/>
      <c r="AA21" s="21"/>
      <c r="AB21" s="8">
        <f t="shared" si="4"/>
        <v>1</v>
      </c>
      <c r="AC21" s="9">
        <f t="shared" si="5"/>
        <v>0.16666666666666666</v>
      </c>
      <c r="AD21" s="10">
        <f t="shared" si="6"/>
        <v>0.16666666666666666</v>
      </c>
      <c r="AE21" s="39">
        <f t="shared" si="17"/>
        <v>0.11111111111111112</v>
      </c>
      <c r="AF21" s="93">
        <f t="shared" si="7"/>
        <v>14</v>
      </c>
    </row>
    <row r="22" spans="1:32" ht="27" customHeight="1" thickBot="1">
      <c r="A22" s="109">
        <v>15</v>
      </c>
      <c r="B22" s="11" t="s">
        <v>57</v>
      </c>
      <c r="C22" s="11" t="s">
        <v>121</v>
      </c>
      <c r="D22" s="55"/>
      <c r="E22" s="56" t="s">
        <v>151</v>
      </c>
      <c r="F22" s="12" t="s">
        <v>122</v>
      </c>
      <c r="G22" s="12">
        <v>4</v>
      </c>
      <c r="H22" s="38">
        <v>20</v>
      </c>
      <c r="I22" s="7">
        <v>300000</v>
      </c>
      <c r="J22" s="14">
        <v>4524</v>
      </c>
      <c r="K22" s="15">
        <f>L22+20068+24564+48544+43996+30716+19196+21560+23324+19612+4524</f>
        <v>256104</v>
      </c>
      <c r="L22" s="15"/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/>
      <c r="T22" s="17"/>
      <c r="U22" s="17"/>
      <c r="V22" s="18"/>
      <c r="W22" s="19">
        <v>24</v>
      </c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 t="shared" si="17"/>
        <v>0.11111111111111112</v>
      </c>
      <c r="AF22" s="93">
        <f t="shared" si="7"/>
        <v>15</v>
      </c>
    </row>
    <row r="23" spans="1:32" ht="31.5" customHeight="1" thickBot="1">
      <c r="A23" s="362" t="s">
        <v>34</v>
      </c>
      <c r="B23" s="363"/>
      <c r="C23" s="363"/>
      <c r="D23" s="363"/>
      <c r="E23" s="363"/>
      <c r="F23" s="363"/>
      <c r="G23" s="363"/>
      <c r="H23" s="364"/>
      <c r="I23" s="25">
        <f t="shared" ref="I23:N23" si="18">SUM(I6:I22)</f>
        <v>391800</v>
      </c>
      <c r="J23" s="22">
        <f t="shared" si="18"/>
        <v>31305</v>
      </c>
      <c r="K23" s="23">
        <f t="shared" si="18"/>
        <v>334228</v>
      </c>
      <c r="L23" s="24">
        <f t="shared" si="18"/>
        <v>8433</v>
      </c>
      <c r="M23" s="23">
        <f t="shared" si="18"/>
        <v>8433</v>
      </c>
      <c r="N23" s="24">
        <f t="shared" si="18"/>
        <v>0</v>
      </c>
      <c r="O23" s="44">
        <f t="shared" si="1"/>
        <v>0</v>
      </c>
      <c r="P23" s="45">
        <f t="shared" ref="P23:AA23" si="19">SUM(P6:P22)</f>
        <v>40</v>
      </c>
      <c r="Q23" s="46">
        <f t="shared" si="19"/>
        <v>368</v>
      </c>
      <c r="R23" s="26">
        <f t="shared" si="19"/>
        <v>48</v>
      </c>
      <c r="S23" s="27">
        <f t="shared" si="19"/>
        <v>24</v>
      </c>
      <c r="T23" s="27">
        <f t="shared" si="19"/>
        <v>13</v>
      </c>
      <c r="U23" s="27">
        <f t="shared" si="19"/>
        <v>0</v>
      </c>
      <c r="V23" s="28">
        <f t="shared" si="19"/>
        <v>79</v>
      </c>
      <c r="W23" s="29">
        <f t="shared" si="19"/>
        <v>204</v>
      </c>
      <c r="X23" s="30">
        <f t="shared" si="19"/>
        <v>0</v>
      </c>
      <c r="Y23" s="30">
        <f t="shared" si="19"/>
        <v>0</v>
      </c>
      <c r="Z23" s="30">
        <f t="shared" si="19"/>
        <v>0</v>
      </c>
      <c r="AA23" s="30">
        <f t="shared" si="19"/>
        <v>0</v>
      </c>
      <c r="AB23" s="31">
        <f>SUM(AB6:AB22)/15</f>
        <v>0.46666666666666667</v>
      </c>
      <c r="AC23" s="4">
        <f>SUM(AC6:AC22)/15</f>
        <v>0.11111111111111112</v>
      </c>
      <c r="AD23" s="4">
        <f>SUM(AD6:AD22)/15</f>
        <v>0.11111111111111112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4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365" t="s">
        <v>45</v>
      </c>
      <c r="B50" s="365"/>
      <c r="C50" s="365"/>
      <c r="D50" s="365"/>
      <c r="E50" s="365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366" t="s">
        <v>341</v>
      </c>
      <c r="B51" s="367"/>
      <c r="C51" s="367"/>
      <c r="D51" s="367"/>
      <c r="E51" s="367"/>
      <c r="F51" s="367"/>
      <c r="G51" s="367"/>
      <c r="H51" s="367"/>
      <c r="I51" s="367"/>
      <c r="J51" s="367"/>
      <c r="K51" s="367"/>
      <c r="L51" s="367"/>
      <c r="M51" s="368"/>
      <c r="N51" s="369" t="s">
        <v>342</v>
      </c>
      <c r="O51" s="370"/>
      <c r="P51" s="370"/>
      <c r="Q51" s="370"/>
      <c r="R51" s="370"/>
      <c r="S51" s="370"/>
      <c r="T51" s="370"/>
      <c r="U51" s="370"/>
      <c r="V51" s="370"/>
      <c r="W51" s="370"/>
      <c r="X51" s="370"/>
      <c r="Y51" s="370"/>
      <c r="Z51" s="370"/>
      <c r="AA51" s="370"/>
      <c r="AB51" s="370"/>
      <c r="AC51" s="370"/>
      <c r="AD51" s="371"/>
    </row>
    <row r="52" spans="1:32" ht="27" customHeight="1">
      <c r="A52" s="372" t="s">
        <v>2</v>
      </c>
      <c r="B52" s="373"/>
      <c r="C52" s="211" t="s">
        <v>46</v>
      </c>
      <c r="D52" s="211" t="s">
        <v>47</v>
      </c>
      <c r="E52" s="211" t="s">
        <v>108</v>
      </c>
      <c r="F52" s="373" t="s">
        <v>107</v>
      </c>
      <c r="G52" s="373"/>
      <c r="H52" s="373"/>
      <c r="I52" s="373"/>
      <c r="J52" s="373"/>
      <c r="K52" s="373"/>
      <c r="L52" s="373"/>
      <c r="M52" s="374"/>
      <c r="N52" s="73" t="s">
        <v>112</v>
      </c>
      <c r="O52" s="211" t="s">
        <v>46</v>
      </c>
      <c r="P52" s="375" t="s">
        <v>47</v>
      </c>
      <c r="Q52" s="376"/>
      <c r="R52" s="375" t="s">
        <v>38</v>
      </c>
      <c r="S52" s="377"/>
      <c r="T52" s="377"/>
      <c r="U52" s="376"/>
      <c r="V52" s="375" t="s">
        <v>48</v>
      </c>
      <c r="W52" s="377"/>
      <c r="X52" s="377"/>
      <c r="Y52" s="377"/>
      <c r="Z52" s="377"/>
      <c r="AA52" s="377"/>
      <c r="AB52" s="377"/>
      <c r="AC52" s="377"/>
      <c r="AD52" s="378"/>
    </row>
    <row r="53" spans="1:32" ht="27" customHeight="1">
      <c r="A53" s="349" t="s">
        <v>114</v>
      </c>
      <c r="B53" s="350"/>
      <c r="C53" s="208" t="s">
        <v>170</v>
      </c>
      <c r="D53" s="208" t="s">
        <v>224</v>
      </c>
      <c r="E53" s="208" t="s">
        <v>294</v>
      </c>
      <c r="F53" s="341" t="s">
        <v>129</v>
      </c>
      <c r="G53" s="341"/>
      <c r="H53" s="341"/>
      <c r="I53" s="341"/>
      <c r="J53" s="341"/>
      <c r="K53" s="341"/>
      <c r="L53" s="341"/>
      <c r="M53" s="351"/>
      <c r="N53" s="207" t="s">
        <v>125</v>
      </c>
      <c r="O53" s="124" t="s">
        <v>170</v>
      </c>
      <c r="P53" s="358" t="s">
        <v>131</v>
      </c>
      <c r="Q53" s="359"/>
      <c r="R53" s="401" t="s">
        <v>343</v>
      </c>
      <c r="S53" s="350"/>
      <c r="T53" s="350"/>
      <c r="U53" s="350"/>
      <c r="V53" s="341" t="s">
        <v>129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320</v>
      </c>
      <c r="B54" s="350"/>
      <c r="C54" s="208" t="s">
        <v>218</v>
      </c>
      <c r="D54" s="208"/>
      <c r="E54" s="208" t="s">
        <v>335</v>
      </c>
      <c r="F54" s="341" t="s">
        <v>129</v>
      </c>
      <c r="G54" s="341"/>
      <c r="H54" s="341"/>
      <c r="I54" s="341"/>
      <c r="J54" s="341"/>
      <c r="K54" s="341"/>
      <c r="L54" s="341"/>
      <c r="M54" s="351"/>
      <c r="N54" s="207" t="s">
        <v>125</v>
      </c>
      <c r="O54" s="124" t="s">
        <v>349</v>
      </c>
      <c r="P54" s="358" t="s">
        <v>285</v>
      </c>
      <c r="Q54" s="359"/>
      <c r="R54" s="350" t="s">
        <v>344</v>
      </c>
      <c r="S54" s="350"/>
      <c r="T54" s="350"/>
      <c r="U54" s="350"/>
      <c r="V54" s="341" t="s">
        <v>129</v>
      </c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/>
      <c r="B55" s="350"/>
      <c r="C55" s="208"/>
      <c r="D55" s="208"/>
      <c r="E55" s="208"/>
      <c r="F55" s="341"/>
      <c r="G55" s="341"/>
      <c r="H55" s="341"/>
      <c r="I55" s="341"/>
      <c r="J55" s="341"/>
      <c r="K55" s="341"/>
      <c r="L55" s="341"/>
      <c r="M55" s="351"/>
      <c r="N55" s="207" t="s">
        <v>348</v>
      </c>
      <c r="O55" s="124" t="s">
        <v>145</v>
      </c>
      <c r="P55" s="358"/>
      <c r="Q55" s="359"/>
      <c r="R55" s="350" t="s">
        <v>345</v>
      </c>
      <c r="S55" s="350"/>
      <c r="T55" s="350"/>
      <c r="U55" s="350"/>
      <c r="V55" s="341" t="s">
        <v>129</v>
      </c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/>
      <c r="B56" s="350"/>
      <c r="C56" s="208"/>
      <c r="D56" s="208"/>
      <c r="E56" s="208"/>
      <c r="F56" s="341"/>
      <c r="G56" s="341"/>
      <c r="H56" s="341"/>
      <c r="I56" s="341"/>
      <c r="J56" s="341"/>
      <c r="K56" s="341"/>
      <c r="L56" s="341"/>
      <c r="M56" s="351"/>
      <c r="N56" s="207" t="s">
        <v>136</v>
      </c>
      <c r="O56" s="124" t="s">
        <v>214</v>
      </c>
      <c r="P56" s="350" t="s">
        <v>130</v>
      </c>
      <c r="Q56" s="350"/>
      <c r="R56" s="350" t="s">
        <v>346</v>
      </c>
      <c r="S56" s="350"/>
      <c r="T56" s="350"/>
      <c r="U56" s="350"/>
      <c r="V56" s="341" t="s">
        <v>129</v>
      </c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/>
      <c r="B57" s="350"/>
      <c r="C57" s="208"/>
      <c r="D57" s="208"/>
      <c r="E57" s="208"/>
      <c r="F57" s="341"/>
      <c r="G57" s="341"/>
      <c r="H57" s="341"/>
      <c r="I57" s="341"/>
      <c r="J57" s="341"/>
      <c r="K57" s="341"/>
      <c r="L57" s="341"/>
      <c r="M57" s="351"/>
      <c r="N57" s="207" t="s">
        <v>136</v>
      </c>
      <c r="O57" s="124" t="s">
        <v>183</v>
      </c>
      <c r="P57" s="350" t="s">
        <v>123</v>
      </c>
      <c r="Q57" s="350"/>
      <c r="R57" s="350" t="s">
        <v>347</v>
      </c>
      <c r="S57" s="350"/>
      <c r="T57" s="350"/>
      <c r="U57" s="350"/>
      <c r="V57" s="341" t="s">
        <v>129</v>
      </c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208"/>
      <c r="D58" s="208"/>
      <c r="E58" s="208"/>
      <c r="F58" s="341"/>
      <c r="G58" s="341"/>
      <c r="H58" s="341"/>
      <c r="I58" s="341"/>
      <c r="J58" s="341"/>
      <c r="K58" s="341"/>
      <c r="L58" s="341"/>
      <c r="M58" s="351"/>
      <c r="N58" s="207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208"/>
      <c r="D59" s="208"/>
      <c r="E59" s="208"/>
      <c r="F59" s="341"/>
      <c r="G59" s="341"/>
      <c r="H59" s="341"/>
      <c r="I59" s="341"/>
      <c r="J59" s="341"/>
      <c r="K59" s="341"/>
      <c r="L59" s="341"/>
      <c r="M59" s="351"/>
      <c r="N59" s="207"/>
      <c r="O59" s="124"/>
      <c r="P59" s="358"/>
      <c r="Q59" s="359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</row>
    <row r="60" spans="1:32" ht="27" customHeight="1">
      <c r="A60" s="349"/>
      <c r="B60" s="350"/>
      <c r="C60" s="208"/>
      <c r="D60" s="208"/>
      <c r="E60" s="208"/>
      <c r="F60" s="341"/>
      <c r="G60" s="341"/>
      <c r="H60" s="341"/>
      <c r="I60" s="341"/>
      <c r="J60" s="341"/>
      <c r="K60" s="341"/>
      <c r="L60" s="341"/>
      <c r="M60" s="351"/>
      <c r="N60" s="207"/>
      <c r="O60" s="124"/>
      <c r="P60" s="358"/>
      <c r="Q60" s="359"/>
      <c r="R60" s="350"/>
      <c r="S60" s="350"/>
      <c r="T60" s="350"/>
      <c r="U60" s="350"/>
      <c r="V60" s="341"/>
      <c r="W60" s="341"/>
      <c r="X60" s="341"/>
      <c r="Y60" s="341"/>
      <c r="Z60" s="341"/>
      <c r="AA60" s="341"/>
      <c r="AB60" s="341"/>
      <c r="AC60" s="341"/>
      <c r="AD60" s="351"/>
    </row>
    <row r="61" spans="1:32" ht="27" customHeight="1">
      <c r="A61" s="349"/>
      <c r="B61" s="350"/>
      <c r="C61" s="208"/>
      <c r="D61" s="208"/>
      <c r="E61" s="208"/>
      <c r="F61" s="341"/>
      <c r="G61" s="341"/>
      <c r="H61" s="341"/>
      <c r="I61" s="341"/>
      <c r="J61" s="341"/>
      <c r="K61" s="341"/>
      <c r="L61" s="341"/>
      <c r="M61" s="351"/>
      <c r="N61" s="207"/>
      <c r="O61" s="124"/>
      <c r="P61" s="350"/>
      <c r="Q61" s="350"/>
      <c r="R61" s="350"/>
      <c r="S61" s="350"/>
      <c r="T61" s="350"/>
      <c r="U61" s="350"/>
      <c r="V61" s="341"/>
      <c r="W61" s="341"/>
      <c r="X61" s="341"/>
      <c r="Y61" s="341"/>
      <c r="Z61" s="341"/>
      <c r="AA61" s="341"/>
      <c r="AB61" s="341"/>
      <c r="AC61" s="341"/>
      <c r="AD61" s="351"/>
      <c r="AF61" s="93">
        <f>8*3000</f>
        <v>24000</v>
      </c>
    </row>
    <row r="62" spans="1:32" ht="27" customHeight="1" thickBot="1">
      <c r="A62" s="352"/>
      <c r="B62" s="353"/>
      <c r="C62" s="210"/>
      <c r="D62" s="210"/>
      <c r="E62" s="210"/>
      <c r="F62" s="354"/>
      <c r="G62" s="354"/>
      <c r="H62" s="354"/>
      <c r="I62" s="354"/>
      <c r="J62" s="354"/>
      <c r="K62" s="354"/>
      <c r="L62" s="354"/>
      <c r="M62" s="355"/>
      <c r="N62" s="209"/>
      <c r="O62" s="120"/>
      <c r="P62" s="353"/>
      <c r="Q62" s="353"/>
      <c r="R62" s="353"/>
      <c r="S62" s="353"/>
      <c r="T62" s="353"/>
      <c r="U62" s="353"/>
      <c r="V62" s="356"/>
      <c r="W62" s="356"/>
      <c r="X62" s="356"/>
      <c r="Y62" s="356"/>
      <c r="Z62" s="356"/>
      <c r="AA62" s="356"/>
      <c r="AB62" s="356"/>
      <c r="AC62" s="356"/>
      <c r="AD62" s="357"/>
      <c r="AF62" s="93">
        <f>16*3000</f>
        <v>48000</v>
      </c>
    </row>
    <row r="63" spans="1:32" ht="27.75" thickBot="1">
      <c r="A63" s="347" t="s">
        <v>350</v>
      </c>
      <c r="B63" s="347"/>
      <c r="C63" s="347"/>
      <c r="D63" s="347"/>
      <c r="E63" s="347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3">
        <v>24000</v>
      </c>
    </row>
    <row r="64" spans="1:32" ht="29.25" customHeight="1" thickBot="1">
      <c r="A64" s="348" t="s">
        <v>113</v>
      </c>
      <c r="B64" s="345"/>
      <c r="C64" s="206" t="s">
        <v>2</v>
      </c>
      <c r="D64" s="206" t="s">
        <v>37</v>
      </c>
      <c r="E64" s="206" t="s">
        <v>3</v>
      </c>
      <c r="F64" s="345" t="s">
        <v>110</v>
      </c>
      <c r="G64" s="345"/>
      <c r="H64" s="345"/>
      <c r="I64" s="345"/>
      <c r="J64" s="345"/>
      <c r="K64" s="345" t="s">
        <v>39</v>
      </c>
      <c r="L64" s="345"/>
      <c r="M64" s="206" t="s">
        <v>40</v>
      </c>
      <c r="N64" s="345" t="s">
        <v>41</v>
      </c>
      <c r="O64" s="345"/>
      <c r="P64" s="342" t="s">
        <v>42</v>
      </c>
      <c r="Q64" s="344"/>
      <c r="R64" s="342" t="s">
        <v>43</v>
      </c>
      <c r="S64" s="343"/>
      <c r="T64" s="343"/>
      <c r="U64" s="343"/>
      <c r="V64" s="343"/>
      <c r="W64" s="343"/>
      <c r="X64" s="343"/>
      <c r="Y64" s="343"/>
      <c r="Z64" s="343"/>
      <c r="AA64" s="344"/>
      <c r="AB64" s="345" t="s">
        <v>44</v>
      </c>
      <c r="AC64" s="345"/>
      <c r="AD64" s="346"/>
      <c r="AF64" s="93">
        <f>SUM(AF61:AF63)</f>
        <v>96000</v>
      </c>
    </row>
    <row r="65" spans="1:32" ht="25.5" customHeight="1">
      <c r="A65" s="337">
        <v>1</v>
      </c>
      <c r="B65" s="338"/>
      <c r="C65" s="123"/>
      <c r="D65" s="202"/>
      <c r="E65" s="205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2</v>
      </c>
      <c r="B66" s="338"/>
      <c r="C66" s="123"/>
      <c r="D66" s="202"/>
      <c r="E66" s="205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3</v>
      </c>
      <c r="B67" s="338"/>
      <c r="C67" s="123"/>
      <c r="D67" s="202"/>
      <c r="E67" s="205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4</v>
      </c>
      <c r="B68" s="338"/>
      <c r="C68" s="123"/>
      <c r="D68" s="202"/>
      <c r="E68" s="205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5</v>
      </c>
      <c r="B69" s="338"/>
      <c r="C69" s="123"/>
      <c r="D69" s="202"/>
      <c r="E69" s="205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6</v>
      </c>
      <c r="B70" s="338"/>
      <c r="C70" s="123"/>
      <c r="D70" s="202"/>
      <c r="E70" s="205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5.5" customHeight="1">
      <c r="A71" s="337">
        <v>7</v>
      </c>
      <c r="B71" s="338"/>
      <c r="C71" s="123"/>
      <c r="D71" s="202"/>
      <c r="E71" s="205"/>
      <c r="F71" s="339"/>
      <c r="G71" s="331"/>
      <c r="H71" s="331"/>
      <c r="I71" s="331"/>
      <c r="J71" s="331"/>
      <c r="K71" s="331"/>
      <c r="L71" s="331"/>
      <c r="M71" s="54"/>
      <c r="N71" s="331"/>
      <c r="O71" s="331"/>
      <c r="P71" s="340"/>
      <c r="Q71" s="340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31"/>
      <c r="AC71" s="331"/>
      <c r="AD71" s="332"/>
      <c r="AF71" s="53"/>
    </row>
    <row r="72" spans="1:32" ht="25.5" customHeight="1">
      <c r="A72" s="337">
        <v>8</v>
      </c>
      <c r="B72" s="338"/>
      <c r="C72" s="123"/>
      <c r="D72" s="202"/>
      <c r="E72" s="205"/>
      <c r="F72" s="339"/>
      <c r="G72" s="331"/>
      <c r="H72" s="331"/>
      <c r="I72" s="331"/>
      <c r="J72" s="331"/>
      <c r="K72" s="331"/>
      <c r="L72" s="331"/>
      <c r="M72" s="54"/>
      <c r="N72" s="331"/>
      <c r="O72" s="331"/>
      <c r="P72" s="340"/>
      <c r="Q72" s="340"/>
      <c r="R72" s="341"/>
      <c r="S72" s="341"/>
      <c r="T72" s="341"/>
      <c r="U72" s="341"/>
      <c r="V72" s="341"/>
      <c r="W72" s="341"/>
      <c r="X72" s="341"/>
      <c r="Y72" s="341"/>
      <c r="Z72" s="341"/>
      <c r="AA72" s="341"/>
      <c r="AB72" s="331"/>
      <c r="AC72" s="331"/>
      <c r="AD72" s="332"/>
      <c r="AF72" s="53"/>
    </row>
    <row r="73" spans="1:32" ht="26.25" customHeight="1" thickBot="1">
      <c r="A73" s="311" t="s">
        <v>351</v>
      </c>
      <c r="B73" s="311"/>
      <c r="C73" s="311"/>
      <c r="D73" s="311"/>
      <c r="E73" s="311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12" t="s">
        <v>113</v>
      </c>
      <c r="B74" s="313"/>
      <c r="C74" s="204" t="s">
        <v>2</v>
      </c>
      <c r="D74" s="204" t="s">
        <v>37</v>
      </c>
      <c r="E74" s="204" t="s">
        <v>3</v>
      </c>
      <c r="F74" s="313" t="s">
        <v>38</v>
      </c>
      <c r="G74" s="313"/>
      <c r="H74" s="313"/>
      <c r="I74" s="313"/>
      <c r="J74" s="313"/>
      <c r="K74" s="333" t="s">
        <v>58</v>
      </c>
      <c r="L74" s="334"/>
      <c r="M74" s="334"/>
      <c r="N74" s="334"/>
      <c r="O74" s="334"/>
      <c r="P74" s="334"/>
      <c r="Q74" s="334"/>
      <c r="R74" s="334"/>
      <c r="S74" s="335"/>
      <c r="T74" s="313" t="s">
        <v>49</v>
      </c>
      <c r="U74" s="313"/>
      <c r="V74" s="333" t="s">
        <v>50</v>
      </c>
      <c r="W74" s="335"/>
      <c r="X74" s="334" t="s">
        <v>51</v>
      </c>
      <c r="Y74" s="334"/>
      <c r="Z74" s="334"/>
      <c r="AA74" s="334"/>
      <c r="AB74" s="334"/>
      <c r="AC74" s="334"/>
      <c r="AD74" s="336"/>
      <c r="AF74" s="53"/>
    </row>
    <row r="75" spans="1:32" ht="33.75" customHeight="1">
      <c r="A75" s="305">
        <v>1</v>
      </c>
      <c r="B75" s="306"/>
      <c r="C75" s="203" t="s">
        <v>114</v>
      </c>
      <c r="D75" s="203"/>
      <c r="E75" s="71" t="s">
        <v>246</v>
      </c>
      <c r="F75" s="320" t="s">
        <v>221</v>
      </c>
      <c r="G75" s="321"/>
      <c r="H75" s="321"/>
      <c r="I75" s="321"/>
      <c r="J75" s="322"/>
      <c r="K75" s="323" t="s">
        <v>301</v>
      </c>
      <c r="L75" s="324"/>
      <c r="M75" s="324"/>
      <c r="N75" s="324"/>
      <c r="O75" s="324"/>
      <c r="P75" s="324"/>
      <c r="Q75" s="324"/>
      <c r="R75" s="324"/>
      <c r="S75" s="325"/>
      <c r="T75" s="326">
        <v>43384</v>
      </c>
      <c r="U75" s="327"/>
      <c r="V75" s="328"/>
      <c r="W75" s="328"/>
      <c r="X75" s="329"/>
      <c r="Y75" s="329"/>
      <c r="Z75" s="329"/>
      <c r="AA75" s="329"/>
      <c r="AB75" s="329"/>
      <c r="AC75" s="329"/>
      <c r="AD75" s="330"/>
      <c r="AF75" s="53"/>
    </row>
    <row r="76" spans="1:32" ht="30" customHeight="1">
      <c r="A76" s="298">
        <f>A75+1</f>
        <v>2</v>
      </c>
      <c r="B76" s="299"/>
      <c r="C76" s="202"/>
      <c r="D76" s="202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ref="A77:A83" si="20">A76+1</f>
        <v>3</v>
      </c>
      <c r="B77" s="299"/>
      <c r="C77" s="202"/>
      <c r="D77" s="202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20"/>
        <v>4</v>
      </c>
      <c r="B78" s="299"/>
      <c r="C78" s="202"/>
      <c r="D78" s="202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20"/>
        <v>5</v>
      </c>
      <c r="B79" s="299"/>
      <c r="C79" s="202"/>
      <c r="D79" s="202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20"/>
        <v>6</v>
      </c>
      <c r="B80" s="299"/>
      <c r="C80" s="202"/>
      <c r="D80" s="202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20"/>
        <v>7</v>
      </c>
      <c r="B81" s="299"/>
      <c r="C81" s="202"/>
      <c r="D81" s="202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0" customHeight="1">
      <c r="A82" s="298">
        <f t="shared" si="20"/>
        <v>8</v>
      </c>
      <c r="B82" s="299"/>
      <c r="C82" s="202"/>
      <c r="D82" s="202"/>
      <c r="E82" s="35"/>
      <c r="F82" s="299"/>
      <c r="G82" s="299"/>
      <c r="H82" s="299"/>
      <c r="I82" s="299"/>
      <c r="J82" s="299"/>
      <c r="K82" s="314"/>
      <c r="L82" s="315"/>
      <c r="M82" s="315"/>
      <c r="N82" s="315"/>
      <c r="O82" s="315"/>
      <c r="P82" s="315"/>
      <c r="Q82" s="315"/>
      <c r="R82" s="315"/>
      <c r="S82" s="316"/>
      <c r="T82" s="317"/>
      <c r="U82" s="317"/>
      <c r="V82" s="317"/>
      <c r="W82" s="317"/>
      <c r="X82" s="318"/>
      <c r="Y82" s="318"/>
      <c r="Z82" s="318"/>
      <c r="AA82" s="318"/>
      <c r="AB82" s="318"/>
      <c r="AC82" s="318"/>
      <c r="AD82" s="319"/>
      <c r="AF82" s="53"/>
    </row>
    <row r="83" spans="1:32" ht="30" customHeight="1">
      <c r="A83" s="298">
        <f t="shared" si="20"/>
        <v>9</v>
      </c>
      <c r="B83" s="299"/>
      <c r="C83" s="202"/>
      <c r="D83" s="202"/>
      <c r="E83" s="35"/>
      <c r="F83" s="299"/>
      <c r="G83" s="299"/>
      <c r="H83" s="299"/>
      <c r="I83" s="299"/>
      <c r="J83" s="299"/>
      <c r="K83" s="314"/>
      <c r="L83" s="315"/>
      <c r="M83" s="315"/>
      <c r="N83" s="315"/>
      <c r="O83" s="315"/>
      <c r="P83" s="315"/>
      <c r="Q83" s="315"/>
      <c r="R83" s="315"/>
      <c r="S83" s="316"/>
      <c r="T83" s="317"/>
      <c r="U83" s="317"/>
      <c r="V83" s="317"/>
      <c r="W83" s="317"/>
      <c r="X83" s="318"/>
      <c r="Y83" s="318"/>
      <c r="Z83" s="318"/>
      <c r="AA83" s="318"/>
      <c r="AB83" s="318"/>
      <c r="AC83" s="318"/>
      <c r="AD83" s="319"/>
      <c r="AF83" s="53"/>
    </row>
    <row r="84" spans="1:32" ht="36" thickBot="1">
      <c r="A84" s="311" t="s">
        <v>352</v>
      </c>
      <c r="B84" s="311"/>
      <c r="C84" s="311"/>
      <c r="D84" s="311"/>
      <c r="E84" s="311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12" t="s">
        <v>113</v>
      </c>
      <c r="B85" s="313"/>
      <c r="C85" s="303" t="s">
        <v>52</v>
      </c>
      <c r="D85" s="303"/>
      <c r="E85" s="303" t="s">
        <v>53</v>
      </c>
      <c r="F85" s="303"/>
      <c r="G85" s="303"/>
      <c r="H85" s="303"/>
      <c r="I85" s="303"/>
      <c r="J85" s="303"/>
      <c r="K85" s="303" t="s">
        <v>54</v>
      </c>
      <c r="L85" s="303"/>
      <c r="M85" s="303"/>
      <c r="N85" s="303"/>
      <c r="O85" s="303"/>
      <c r="P85" s="303"/>
      <c r="Q85" s="303"/>
      <c r="R85" s="303"/>
      <c r="S85" s="303"/>
      <c r="T85" s="303" t="s">
        <v>55</v>
      </c>
      <c r="U85" s="303"/>
      <c r="V85" s="303" t="s">
        <v>56</v>
      </c>
      <c r="W85" s="303"/>
      <c r="X85" s="303"/>
      <c r="Y85" s="303" t="s">
        <v>51</v>
      </c>
      <c r="Z85" s="303"/>
      <c r="AA85" s="303"/>
      <c r="AB85" s="303"/>
      <c r="AC85" s="303"/>
      <c r="AD85" s="304"/>
      <c r="AF85" s="53"/>
    </row>
    <row r="86" spans="1:32" ht="30.75" customHeight="1">
      <c r="A86" s="305">
        <v>1</v>
      </c>
      <c r="B86" s="306"/>
      <c r="C86" s="307">
        <v>9</v>
      </c>
      <c r="D86" s="307"/>
      <c r="E86" s="307" t="s">
        <v>141</v>
      </c>
      <c r="F86" s="307"/>
      <c r="G86" s="307"/>
      <c r="H86" s="307"/>
      <c r="I86" s="307"/>
      <c r="J86" s="307"/>
      <c r="K86" s="307" t="s">
        <v>142</v>
      </c>
      <c r="L86" s="307"/>
      <c r="M86" s="307"/>
      <c r="N86" s="307"/>
      <c r="O86" s="307"/>
      <c r="P86" s="307"/>
      <c r="Q86" s="307"/>
      <c r="R86" s="307"/>
      <c r="S86" s="307"/>
      <c r="T86" s="307" t="s">
        <v>143</v>
      </c>
      <c r="U86" s="307"/>
      <c r="V86" s="308">
        <v>11307000</v>
      </c>
      <c r="W86" s="308"/>
      <c r="X86" s="308"/>
      <c r="Y86" s="309"/>
      <c r="Z86" s="309"/>
      <c r="AA86" s="309"/>
      <c r="AB86" s="309"/>
      <c r="AC86" s="309"/>
      <c r="AD86" s="310"/>
      <c r="AF86" s="53"/>
    </row>
    <row r="87" spans="1:32" ht="30.75" customHeight="1">
      <c r="A87" s="298">
        <v>2</v>
      </c>
      <c r="B87" s="299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1"/>
      <c r="U87" s="301"/>
      <c r="V87" s="302"/>
      <c r="W87" s="302"/>
      <c r="X87" s="302"/>
      <c r="Y87" s="291"/>
      <c r="Z87" s="291"/>
      <c r="AA87" s="291"/>
      <c r="AB87" s="291"/>
      <c r="AC87" s="291"/>
      <c r="AD87" s="292"/>
      <c r="AF87" s="53"/>
    </row>
    <row r="88" spans="1:32" ht="30.75" customHeight="1" thickBot="1">
      <c r="A88" s="293">
        <v>3</v>
      </c>
      <c r="B88" s="294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6"/>
      <c r="Z88" s="296"/>
      <c r="AA88" s="296"/>
      <c r="AB88" s="296"/>
      <c r="AC88" s="296"/>
      <c r="AD88" s="297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9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91E4-4B7E-4CCE-A7D7-5B1B849E1DAA}">
  <sheetPr>
    <pageSetUpPr fitToPage="1"/>
  </sheetPr>
  <dimension ref="A1:AF86"/>
  <sheetViews>
    <sheetView zoomScale="72" zoomScaleNormal="72" zoomScaleSheetLayoutView="70" workbookViewId="0">
      <selection activeCell="A3" sqref="A3:G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380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213" t="s">
        <v>17</v>
      </c>
      <c r="L5" s="213" t="s">
        <v>18</v>
      </c>
      <c r="M5" s="213" t="s">
        <v>19</v>
      </c>
      <c r="N5" s="21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>$AD$21</f>
        <v>0.38055555555555559</v>
      </c>
      <c r="AF6" s="93">
        <f t="shared" ref="AF6:AF20" si="7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>$AD$21</f>
        <v>0.38055555555555559</v>
      </c>
      <c r="AF7" s="93">
        <f t="shared" si="7"/>
        <v>2</v>
      </c>
    </row>
    <row r="8" spans="1:32" ht="27" customHeight="1">
      <c r="A8" s="108">
        <v>3</v>
      </c>
      <c r="B8" s="11" t="s">
        <v>57</v>
      </c>
      <c r="C8" s="37" t="s">
        <v>320</v>
      </c>
      <c r="D8" s="55"/>
      <c r="E8" s="57" t="s">
        <v>340</v>
      </c>
      <c r="F8" s="33" t="s">
        <v>147</v>
      </c>
      <c r="G8" s="36">
        <v>1</v>
      </c>
      <c r="H8" s="38">
        <v>25</v>
      </c>
      <c r="I8" s="7">
        <v>2500</v>
      </c>
      <c r="J8" s="5">
        <v>4583</v>
      </c>
      <c r="K8" s="15">
        <f>L8+540</f>
        <v>5123</v>
      </c>
      <c r="L8" s="15">
        <f>1941+2642</f>
        <v>4583</v>
      </c>
      <c r="M8" s="16">
        <f t="shared" si="0"/>
        <v>4583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>$AD$21</f>
        <v>0.38055555555555559</v>
      </c>
      <c r="AF8" s="93">
        <f t="shared" si="7"/>
        <v>3</v>
      </c>
    </row>
    <row r="9" spans="1:32" ht="27" customHeight="1">
      <c r="A9" s="109">
        <v>4</v>
      </c>
      <c r="B9" s="11" t="s">
        <v>57</v>
      </c>
      <c r="C9" s="37" t="s">
        <v>125</v>
      </c>
      <c r="D9" s="55" t="s">
        <v>131</v>
      </c>
      <c r="E9" s="57" t="s">
        <v>343</v>
      </c>
      <c r="F9" s="33" t="s">
        <v>233</v>
      </c>
      <c r="G9" s="36">
        <v>1</v>
      </c>
      <c r="H9" s="38">
        <v>25</v>
      </c>
      <c r="I9" s="7">
        <v>1000</v>
      </c>
      <c r="J9" s="5">
        <v>2320</v>
      </c>
      <c r="K9" s="15">
        <f>L9</f>
        <v>2320</v>
      </c>
      <c r="L9" s="15">
        <f>2320</f>
        <v>2320</v>
      </c>
      <c r="M9" s="16">
        <f t="shared" si="0"/>
        <v>2320</v>
      </c>
      <c r="N9" s="16">
        <v>0</v>
      </c>
      <c r="O9" s="62">
        <f t="shared" si="1"/>
        <v>0</v>
      </c>
      <c r="P9" s="42">
        <f t="shared" si="2"/>
        <v>14</v>
      </c>
      <c r="Q9" s="43">
        <f t="shared" si="3"/>
        <v>10</v>
      </c>
      <c r="R9" s="7"/>
      <c r="S9" s="6">
        <v>10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0.58333333333333337</v>
      </c>
      <c r="AD9" s="10">
        <f t="shared" si="6"/>
        <v>0.58333333333333337</v>
      </c>
      <c r="AE9" s="39">
        <f>$AD$21</f>
        <v>0.38055555555555559</v>
      </c>
      <c r="AF9" s="93">
        <f t="shared" si="7"/>
        <v>4</v>
      </c>
    </row>
    <row r="10" spans="1:32" ht="27" customHeight="1">
      <c r="A10" s="109">
        <v>5</v>
      </c>
      <c r="B10" s="11" t="s">
        <v>57</v>
      </c>
      <c r="C10" s="11" t="s">
        <v>136</v>
      </c>
      <c r="D10" s="55" t="s">
        <v>262</v>
      </c>
      <c r="E10" s="57" t="s">
        <v>263</v>
      </c>
      <c r="F10" s="12" t="s">
        <v>166</v>
      </c>
      <c r="G10" s="12">
        <v>1</v>
      </c>
      <c r="H10" s="13">
        <v>25</v>
      </c>
      <c r="I10" s="7">
        <v>3000</v>
      </c>
      <c r="J10" s="14">
        <v>1577</v>
      </c>
      <c r="K10" s="15">
        <f>L10+1577</f>
        <v>1577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>
        <v>24</v>
      </c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ref="AE10:AE20" si="8">$AD$21</f>
        <v>0.38055555555555559</v>
      </c>
      <c r="AF10" s="93">
        <f t="shared" si="7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6500</v>
      </c>
      <c r="J11" s="5">
        <v>2357</v>
      </c>
      <c r="K11" s="15">
        <f>L11+5687+2357</f>
        <v>8044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8"/>
        <v>0.38055555555555559</v>
      </c>
      <c r="AF11" s="93">
        <f t="shared" si="7"/>
        <v>6</v>
      </c>
    </row>
    <row r="12" spans="1:32" ht="27" customHeight="1">
      <c r="A12" s="109">
        <v>7</v>
      </c>
      <c r="B12" s="11" t="s">
        <v>57</v>
      </c>
      <c r="C12" s="11" t="s">
        <v>348</v>
      </c>
      <c r="D12" s="55"/>
      <c r="E12" s="57" t="s">
        <v>345</v>
      </c>
      <c r="F12" s="12">
        <v>7301</v>
      </c>
      <c r="G12" s="12">
        <v>1</v>
      </c>
      <c r="H12" s="13">
        <v>25</v>
      </c>
      <c r="I12" s="7">
        <v>1000</v>
      </c>
      <c r="J12" s="14">
        <v>1081</v>
      </c>
      <c r="K12" s="15">
        <f>L12</f>
        <v>1081</v>
      </c>
      <c r="L12" s="15">
        <v>1081</v>
      </c>
      <c r="M12" s="16">
        <f t="shared" si="0"/>
        <v>1081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/>
      <c r="W12" s="19">
        <v>14</v>
      </c>
      <c r="X12" s="17"/>
      <c r="Y12" s="20"/>
      <c r="Z12" s="20"/>
      <c r="AA12" s="21"/>
      <c r="AB12" s="8">
        <f t="shared" si="4"/>
        <v>1</v>
      </c>
      <c r="AC12" s="9">
        <f t="shared" si="5"/>
        <v>0.41666666666666669</v>
      </c>
      <c r="AD12" s="10">
        <f t="shared" si="6"/>
        <v>0.41666666666666669</v>
      </c>
      <c r="AE12" s="39">
        <f t="shared" si="8"/>
        <v>0.38055555555555559</v>
      </c>
      <c r="AF12" s="93">
        <f t="shared" si="7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295</v>
      </c>
      <c r="F13" s="12" t="s">
        <v>146</v>
      </c>
      <c r="G13" s="12">
        <v>1</v>
      </c>
      <c r="H13" s="13">
        <v>25</v>
      </c>
      <c r="I13" s="7">
        <v>35000</v>
      </c>
      <c r="J13" s="14">
        <v>5006</v>
      </c>
      <c r="K13" s="15">
        <f>L13+761+4519+1386+1615</f>
        <v>13287</v>
      </c>
      <c r="L13" s="15">
        <f>2245+2761</f>
        <v>5006</v>
      </c>
      <c r="M13" s="16">
        <f t="shared" si="0"/>
        <v>5006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1</v>
      </c>
      <c r="AD13" s="10">
        <f t="shared" si="6"/>
        <v>1</v>
      </c>
      <c r="AE13" s="39">
        <f t="shared" si="8"/>
        <v>0.38055555555555559</v>
      </c>
      <c r="AF13" s="93">
        <f t="shared" si="7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139</v>
      </c>
      <c r="F14" s="33" t="s">
        <v>138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8"/>
        <v>0.38055555555555559</v>
      </c>
      <c r="AF14" s="93">
        <f t="shared" si="7"/>
        <v>9</v>
      </c>
    </row>
    <row r="15" spans="1:32" ht="27" customHeight="1">
      <c r="A15" s="108">
        <v>10</v>
      </c>
      <c r="B15" s="11" t="s">
        <v>57</v>
      </c>
      <c r="C15" s="11" t="s">
        <v>136</v>
      </c>
      <c r="D15" s="55" t="s">
        <v>131</v>
      </c>
      <c r="E15" s="57" t="s">
        <v>195</v>
      </c>
      <c r="F15" s="12" t="s">
        <v>207</v>
      </c>
      <c r="G15" s="12">
        <v>3</v>
      </c>
      <c r="H15" s="13">
        <v>24</v>
      </c>
      <c r="I15" s="34">
        <v>6000</v>
      </c>
      <c r="J15" s="14">
        <v>7454</v>
      </c>
      <c r="K15" s="15">
        <f>L15+7545</f>
        <v>7545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8"/>
        <v>0.38055555555555559</v>
      </c>
      <c r="AF15" s="93">
        <f t="shared" si="7"/>
        <v>10</v>
      </c>
    </row>
    <row r="16" spans="1:32" ht="27" customHeight="1">
      <c r="A16" s="108">
        <v>11</v>
      </c>
      <c r="B16" s="11" t="s">
        <v>57</v>
      </c>
      <c r="C16" s="37" t="s">
        <v>125</v>
      </c>
      <c r="D16" s="55" t="s">
        <v>149</v>
      </c>
      <c r="E16" s="57" t="s">
        <v>353</v>
      </c>
      <c r="F16" s="33" t="s">
        <v>147</v>
      </c>
      <c r="G16" s="36">
        <v>2</v>
      </c>
      <c r="H16" s="38">
        <v>24</v>
      </c>
      <c r="I16" s="7">
        <v>2000</v>
      </c>
      <c r="J16" s="5">
        <v>6912</v>
      </c>
      <c r="K16" s="15">
        <f>L16</f>
        <v>6912</v>
      </c>
      <c r="L16" s="15">
        <f>3456*2</f>
        <v>6912</v>
      </c>
      <c r="M16" s="16">
        <f t="shared" si="0"/>
        <v>6912</v>
      </c>
      <c r="N16" s="16">
        <v>0</v>
      </c>
      <c r="O16" s="62">
        <f t="shared" si="1"/>
        <v>0</v>
      </c>
      <c r="P16" s="42">
        <f t="shared" si="2"/>
        <v>17</v>
      </c>
      <c r="Q16" s="43">
        <f t="shared" si="3"/>
        <v>7</v>
      </c>
      <c r="R16" s="7"/>
      <c r="S16" s="6"/>
      <c r="T16" s="17"/>
      <c r="U16" s="17"/>
      <c r="V16" s="18"/>
      <c r="W16" s="19"/>
      <c r="X16" s="17"/>
      <c r="Y16" s="20"/>
      <c r="Z16" s="20"/>
      <c r="AA16" s="21">
        <v>7</v>
      </c>
      <c r="AB16" s="8">
        <f t="shared" si="4"/>
        <v>1</v>
      </c>
      <c r="AC16" s="9">
        <f t="shared" si="5"/>
        <v>0.70833333333333337</v>
      </c>
      <c r="AD16" s="10">
        <f t="shared" si="6"/>
        <v>0.70833333333333337</v>
      </c>
      <c r="AE16" s="39">
        <f t="shared" si="8"/>
        <v>0.38055555555555559</v>
      </c>
      <c r="AF16" s="93">
        <f t="shared" si="7"/>
        <v>11</v>
      </c>
    </row>
    <row r="17" spans="1:32" ht="27" customHeight="1">
      <c r="A17" s="108">
        <v>12</v>
      </c>
      <c r="B17" s="11" t="s">
        <v>57</v>
      </c>
      <c r="C17" s="37" t="s">
        <v>125</v>
      </c>
      <c r="D17" s="55" t="s">
        <v>285</v>
      </c>
      <c r="E17" s="57" t="s">
        <v>344</v>
      </c>
      <c r="F17" s="12" t="s">
        <v>354</v>
      </c>
      <c r="G17" s="12">
        <v>1</v>
      </c>
      <c r="H17" s="13">
        <v>24</v>
      </c>
      <c r="I17" s="34">
        <v>300</v>
      </c>
      <c r="J17" s="14">
        <v>406</v>
      </c>
      <c r="K17" s="15">
        <f>L17</f>
        <v>406</v>
      </c>
      <c r="L17" s="15">
        <f>406</f>
        <v>406</v>
      </c>
      <c r="M17" s="16">
        <f t="shared" si="0"/>
        <v>406</v>
      </c>
      <c r="N17" s="16">
        <v>0</v>
      </c>
      <c r="O17" s="62">
        <f t="shared" si="1"/>
        <v>0</v>
      </c>
      <c r="P17" s="42">
        <f t="shared" si="2"/>
        <v>4</v>
      </c>
      <c r="Q17" s="43">
        <f t="shared" si="3"/>
        <v>20</v>
      </c>
      <c r="R17" s="7"/>
      <c r="S17" s="6"/>
      <c r="T17" s="17"/>
      <c r="U17" s="17"/>
      <c r="V17" s="18"/>
      <c r="W17" s="19">
        <v>20</v>
      </c>
      <c r="X17" s="17"/>
      <c r="Y17" s="20"/>
      <c r="Z17" s="20"/>
      <c r="AA17" s="21"/>
      <c r="AB17" s="8">
        <f t="shared" si="4"/>
        <v>1</v>
      </c>
      <c r="AC17" s="9">
        <f t="shared" si="5"/>
        <v>0.16666666666666666</v>
      </c>
      <c r="AD17" s="10">
        <f t="shared" si="6"/>
        <v>0.16666666666666666</v>
      </c>
      <c r="AE17" s="39">
        <f t="shared" si="8"/>
        <v>0.38055555555555559</v>
      </c>
      <c r="AF17" s="93">
        <f t="shared" si="7"/>
        <v>12</v>
      </c>
    </row>
    <row r="18" spans="1:32" ht="27" customHeight="1">
      <c r="A18" s="109">
        <v>13</v>
      </c>
      <c r="B18" s="11" t="s">
        <v>57</v>
      </c>
      <c r="C18" s="37" t="s">
        <v>136</v>
      </c>
      <c r="D18" s="55" t="s">
        <v>130</v>
      </c>
      <c r="E18" s="57" t="s">
        <v>346</v>
      </c>
      <c r="F18" s="12" t="s">
        <v>210</v>
      </c>
      <c r="G18" s="36">
        <v>2</v>
      </c>
      <c r="H18" s="38">
        <v>24</v>
      </c>
      <c r="I18" s="7">
        <v>10000</v>
      </c>
      <c r="J18" s="5">
        <v>10176</v>
      </c>
      <c r="K18" s="15">
        <f>L18</f>
        <v>10176</v>
      </c>
      <c r="L18" s="15">
        <f>1899*2+3189*2</f>
        <v>10176</v>
      </c>
      <c r="M18" s="16">
        <f t="shared" si="0"/>
        <v>10176</v>
      </c>
      <c r="N18" s="16">
        <v>0</v>
      </c>
      <c r="O18" s="62">
        <f t="shared" si="1"/>
        <v>0</v>
      </c>
      <c r="P18" s="42">
        <f t="shared" si="2"/>
        <v>22</v>
      </c>
      <c r="Q18" s="43">
        <f t="shared" si="3"/>
        <v>2</v>
      </c>
      <c r="R18" s="7"/>
      <c r="S18" s="6"/>
      <c r="T18" s="17">
        <v>2</v>
      </c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0.91666666666666663</v>
      </c>
      <c r="AD18" s="10">
        <f t="shared" si="6"/>
        <v>0.91666666666666663</v>
      </c>
      <c r="AE18" s="39">
        <f t="shared" si="8"/>
        <v>0.38055555555555559</v>
      </c>
      <c r="AF18" s="93">
        <f t="shared" si="7"/>
        <v>13</v>
      </c>
    </row>
    <row r="19" spans="1:32" ht="27" customHeight="1">
      <c r="A19" s="109">
        <v>14</v>
      </c>
      <c r="B19" s="11" t="s">
        <v>57</v>
      </c>
      <c r="C19" s="11" t="s">
        <v>136</v>
      </c>
      <c r="D19" s="55" t="s">
        <v>123</v>
      </c>
      <c r="E19" s="57" t="s">
        <v>347</v>
      </c>
      <c r="F19" s="12" t="s">
        <v>210</v>
      </c>
      <c r="G19" s="36">
        <v>2</v>
      </c>
      <c r="H19" s="13">
        <v>24</v>
      </c>
      <c r="I19" s="7">
        <v>10000</v>
      </c>
      <c r="J19" s="14">
        <v>8312</v>
      </c>
      <c r="K19" s="15">
        <f>L19</f>
        <v>8312</v>
      </c>
      <c r="L19" s="15">
        <f>1646*2+2510*2</f>
        <v>8312</v>
      </c>
      <c r="M19" s="16">
        <f t="shared" si="0"/>
        <v>8312</v>
      </c>
      <c r="N19" s="16">
        <v>0</v>
      </c>
      <c r="O19" s="62">
        <f t="shared" si="1"/>
        <v>0</v>
      </c>
      <c r="P19" s="42">
        <f t="shared" si="2"/>
        <v>22</v>
      </c>
      <c r="Q19" s="43">
        <f t="shared" si="3"/>
        <v>2</v>
      </c>
      <c r="R19" s="7"/>
      <c r="S19" s="6"/>
      <c r="T19" s="17">
        <v>2</v>
      </c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0.91666666666666663</v>
      </c>
      <c r="AD19" s="10">
        <f t="shared" si="6"/>
        <v>0.91666666666666663</v>
      </c>
      <c r="AE19" s="39">
        <f t="shared" si="8"/>
        <v>0.38055555555555559</v>
      </c>
      <c r="AF19" s="93">
        <f t="shared" si="7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151</v>
      </c>
      <c r="F20" s="12" t="s">
        <v>122</v>
      </c>
      <c r="G20" s="12">
        <v>4</v>
      </c>
      <c r="H20" s="38">
        <v>20</v>
      </c>
      <c r="I20" s="7">
        <v>300000</v>
      </c>
      <c r="J20" s="14">
        <v>4524</v>
      </c>
      <c r="K20" s="15">
        <f>L20+20068+24564+48544+43996+30716+19196+21560+23324+19612+4524</f>
        <v>256104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8"/>
        <v>0.38055555555555559</v>
      </c>
      <c r="AF20" s="93">
        <f t="shared" si="7"/>
        <v>15</v>
      </c>
    </row>
    <row r="21" spans="1:32" ht="31.5" customHeight="1" thickBot="1">
      <c r="A21" s="362" t="s">
        <v>34</v>
      </c>
      <c r="B21" s="363"/>
      <c r="C21" s="363"/>
      <c r="D21" s="363"/>
      <c r="E21" s="363"/>
      <c r="F21" s="363"/>
      <c r="G21" s="363"/>
      <c r="H21" s="364"/>
      <c r="I21" s="25">
        <f t="shared" ref="I21:N21" si="9">SUM(I6:I20)</f>
        <v>378300</v>
      </c>
      <c r="J21" s="22">
        <f t="shared" si="9"/>
        <v>55776</v>
      </c>
      <c r="K21" s="23">
        <f t="shared" si="9"/>
        <v>321955</v>
      </c>
      <c r="L21" s="24">
        <f t="shared" si="9"/>
        <v>38796</v>
      </c>
      <c r="M21" s="23">
        <f t="shared" si="9"/>
        <v>38796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137</v>
      </c>
      <c r="Q21" s="46">
        <f t="shared" si="10"/>
        <v>223</v>
      </c>
      <c r="R21" s="26">
        <f t="shared" si="10"/>
        <v>48</v>
      </c>
      <c r="S21" s="27">
        <f t="shared" si="10"/>
        <v>34</v>
      </c>
      <c r="T21" s="27">
        <f t="shared" si="10"/>
        <v>4</v>
      </c>
      <c r="U21" s="27">
        <f t="shared" si="10"/>
        <v>0</v>
      </c>
      <c r="V21" s="28">
        <f t="shared" si="10"/>
        <v>24</v>
      </c>
      <c r="W21" s="29">
        <f t="shared" si="10"/>
        <v>106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7</v>
      </c>
      <c r="AB21" s="31">
        <f>SUM(AB6:AB20)/15</f>
        <v>0.53333333333333333</v>
      </c>
      <c r="AC21" s="4">
        <f>SUM(AC6:AC20)/15</f>
        <v>0.38055555555555559</v>
      </c>
      <c r="AD21" s="4">
        <f>SUM(AD6:AD20)/15</f>
        <v>0.38055555555555559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5" t="s">
        <v>45</v>
      </c>
      <c r="B48" s="365"/>
      <c r="C48" s="365"/>
      <c r="D48" s="365"/>
      <c r="E48" s="36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66" t="s">
        <v>355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8"/>
      <c r="N49" s="369" t="s">
        <v>357</v>
      </c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1"/>
    </row>
    <row r="50" spans="1:32" ht="27" customHeight="1">
      <c r="A50" s="372" t="s">
        <v>2</v>
      </c>
      <c r="B50" s="373"/>
      <c r="C50" s="214" t="s">
        <v>46</v>
      </c>
      <c r="D50" s="214" t="s">
        <v>47</v>
      </c>
      <c r="E50" s="214" t="s">
        <v>108</v>
      </c>
      <c r="F50" s="373" t="s">
        <v>107</v>
      </c>
      <c r="G50" s="373"/>
      <c r="H50" s="373"/>
      <c r="I50" s="373"/>
      <c r="J50" s="373"/>
      <c r="K50" s="373"/>
      <c r="L50" s="373"/>
      <c r="M50" s="374"/>
      <c r="N50" s="73" t="s">
        <v>112</v>
      </c>
      <c r="O50" s="214" t="s">
        <v>46</v>
      </c>
      <c r="P50" s="375" t="s">
        <v>47</v>
      </c>
      <c r="Q50" s="376"/>
      <c r="R50" s="375" t="s">
        <v>38</v>
      </c>
      <c r="S50" s="377"/>
      <c r="T50" s="377"/>
      <c r="U50" s="376"/>
      <c r="V50" s="375" t="s">
        <v>48</v>
      </c>
      <c r="W50" s="377"/>
      <c r="X50" s="377"/>
      <c r="Y50" s="377"/>
      <c r="Z50" s="377"/>
      <c r="AA50" s="377"/>
      <c r="AB50" s="377"/>
      <c r="AC50" s="377"/>
      <c r="AD50" s="378"/>
    </row>
    <row r="51" spans="1:32" ht="27" customHeight="1">
      <c r="A51" s="349" t="s">
        <v>125</v>
      </c>
      <c r="B51" s="350"/>
      <c r="C51" s="216" t="s">
        <v>170</v>
      </c>
      <c r="D51" s="216" t="s">
        <v>131</v>
      </c>
      <c r="E51" s="216" t="s">
        <v>343</v>
      </c>
      <c r="F51" s="341" t="s">
        <v>215</v>
      </c>
      <c r="G51" s="341"/>
      <c r="H51" s="341"/>
      <c r="I51" s="341"/>
      <c r="J51" s="341"/>
      <c r="K51" s="341"/>
      <c r="L51" s="341"/>
      <c r="M51" s="351"/>
      <c r="N51" s="215" t="s">
        <v>136</v>
      </c>
      <c r="O51" s="124" t="s">
        <v>218</v>
      </c>
      <c r="P51" s="358" t="s">
        <v>358</v>
      </c>
      <c r="Q51" s="359"/>
      <c r="R51" s="401" t="s">
        <v>356</v>
      </c>
      <c r="S51" s="350"/>
      <c r="T51" s="350"/>
      <c r="U51" s="350"/>
      <c r="V51" s="341" t="s">
        <v>129</v>
      </c>
      <c r="W51" s="341"/>
      <c r="X51" s="341"/>
      <c r="Y51" s="341"/>
      <c r="Z51" s="341"/>
      <c r="AA51" s="341"/>
      <c r="AB51" s="341"/>
      <c r="AC51" s="341"/>
      <c r="AD51" s="351"/>
    </row>
    <row r="52" spans="1:32" ht="27" customHeight="1">
      <c r="A52" s="349" t="s">
        <v>125</v>
      </c>
      <c r="B52" s="350"/>
      <c r="C52" s="216" t="s">
        <v>185</v>
      </c>
      <c r="D52" s="216" t="s">
        <v>285</v>
      </c>
      <c r="E52" s="216" t="s">
        <v>344</v>
      </c>
      <c r="F52" s="341" t="s">
        <v>129</v>
      </c>
      <c r="G52" s="341"/>
      <c r="H52" s="341"/>
      <c r="I52" s="341"/>
      <c r="J52" s="341"/>
      <c r="K52" s="341"/>
      <c r="L52" s="341"/>
      <c r="M52" s="351"/>
      <c r="N52" s="215" t="s">
        <v>125</v>
      </c>
      <c r="O52" s="124" t="s">
        <v>170</v>
      </c>
      <c r="P52" s="358" t="s">
        <v>131</v>
      </c>
      <c r="Q52" s="359"/>
      <c r="R52" s="350" t="s">
        <v>359</v>
      </c>
      <c r="S52" s="350"/>
      <c r="T52" s="350"/>
      <c r="U52" s="350"/>
      <c r="V52" s="341" t="s">
        <v>129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348</v>
      </c>
      <c r="B53" s="350"/>
      <c r="C53" s="216" t="s">
        <v>145</v>
      </c>
      <c r="D53" s="216"/>
      <c r="E53" s="216" t="s">
        <v>345</v>
      </c>
      <c r="F53" s="341" t="s">
        <v>129</v>
      </c>
      <c r="G53" s="341"/>
      <c r="H53" s="341"/>
      <c r="I53" s="341"/>
      <c r="J53" s="341"/>
      <c r="K53" s="341"/>
      <c r="L53" s="341"/>
      <c r="M53" s="351"/>
      <c r="N53" s="215" t="s">
        <v>125</v>
      </c>
      <c r="O53" s="124" t="s">
        <v>133</v>
      </c>
      <c r="P53" s="358" t="s">
        <v>200</v>
      </c>
      <c r="Q53" s="359"/>
      <c r="R53" s="350" t="s">
        <v>360</v>
      </c>
      <c r="S53" s="350"/>
      <c r="T53" s="350"/>
      <c r="U53" s="350"/>
      <c r="V53" s="341" t="s">
        <v>129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125</v>
      </c>
      <c r="B54" s="350"/>
      <c r="C54" s="216" t="s">
        <v>223</v>
      </c>
      <c r="D54" s="216" t="s">
        <v>149</v>
      </c>
      <c r="E54" s="216" t="s">
        <v>353</v>
      </c>
      <c r="F54" s="341" t="s">
        <v>129</v>
      </c>
      <c r="G54" s="341"/>
      <c r="H54" s="341"/>
      <c r="I54" s="341"/>
      <c r="J54" s="341"/>
      <c r="K54" s="341"/>
      <c r="L54" s="341"/>
      <c r="M54" s="351"/>
      <c r="N54" s="215" t="s">
        <v>136</v>
      </c>
      <c r="O54" s="124" t="s">
        <v>145</v>
      </c>
      <c r="P54" s="350" t="s">
        <v>362</v>
      </c>
      <c r="Q54" s="350"/>
      <c r="R54" s="350" t="s">
        <v>361</v>
      </c>
      <c r="S54" s="350"/>
      <c r="T54" s="350"/>
      <c r="U54" s="350"/>
      <c r="V54" s="341" t="s">
        <v>129</v>
      </c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136</v>
      </c>
      <c r="B55" s="350"/>
      <c r="C55" s="216" t="s">
        <v>214</v>
      </c>
      <c r="D55" s="216" t="s">
        <v>130</v>
      </c>
      <c r="E55" s="216" t="s">
        <v>346</v>
      </c>
      <c r="F55" s="341" t="s">
        <v>129</v>
      </c>
      <c r="G55" s="341"/>
      <c r="H55" s="341"/>
      <c r="I55" s="341"/>
      <c r="J55" s="341"/>
      <c r="K55" s="341"/>
      <c r="L55" s="341"/>
      <c r="M55" s="351"/>
      <c r="N55" s="215" t="s">
        <v>136</v>
      </c>
      <c r="O55" s="124" t="s">
        <v>145</v>
      </c>
      <c r="P55" s="350" t="s">
        <v>364</v>
      </c>
      <c r="Q55" s="350"/>
      <c r="R55" s="350" t="s">
        <v>363</v>
      </c>
      <c r="S55" s="350"/>
      <c r="T55" s="350"/>
      <c r="U55" s="350"/>
      <c r="V55" s="341" t="s">
        <v>129</v>
      </c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 t="s">
        <v>136</v>
      </c>
      <c r="B56" s="350"/>
      <c r="C56" s="216" t="s">
        <v>183</v>
      </c>
      <c r="D56" s="216" t="s">
        <v>123</v>
      </c>
      <c r="E56" s="216" t="s">
        <v>347</v>
      </c>
      <c r="F56" s="341" t="s">
        <v>129</v>
      </c>
      <c r="G56" s="341"/>
      <c r="H56" s="341"/>
      <c r="I56" s="341"/>
      <c r="J56" s="341"/>
      <c r="K56" s="341"/>
      <c r="L56" s="341"/>
      <c r="M56" s="351"/>
      <c r="N56" s="215"/>
      <c r="O56" s="124"/>
      <c r="P56" s="358"/>
      <c r="Q56" s="359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/>
      <c r="B57" s="350"/>
      <c r="C57" s="216"/>
      <c r="D57" s="216"/>
      <c r="E57" s="216"/>
      <c r="F57" s="341"/>
      <c r="G57" s="341"/>
      <c r="H57" s="341"/>
      <c r="I57" s="341"/>
      <c r="J57" s="341"/>
      <c r="K57" s="341"/>
      <c r="L57" s="341"/>
      <c r="M57" s="351"/>
      <c r="N57" s="215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216"/>
      <c r="D58" s="216"/>
      <c r="E58" s="216"/>
      <c r="F58" s="341"/>
      <c r="G58" s="341"/>
      <c r="H58" s="341"/>
      <c r="I58" s="341"/>
      <c r="J58" s="341"/>
      <c r="K58" s="341"/>
      <c r="L58" s="341"/>
      <c r="M58" s="351"/>
      <c r="N58" s="215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216"/>
      <c r="D59" s="216"/>
      <c r="E59" s="216"/>
      <c r="F59" s="341"/>
      <c r="G59" s="341"/>
      <c r="H59" s="341"/>
      <c r="I59" s="341"/>
      <c r="J59" s="341"/>
      <c r="K59" s="341"/>
      <c r="L59" s="341"/>
      <c r="M59" s="351"/>
      <c r="N59" s="215"/>
      <c r="O59" s="124"/>
      <c r="P59" s="350"/>
      <c r="Q59" s="350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  <c r="AF59" s="93">
        <f>8*3000</f>
        <v>24000</v>
      </c>
    </row>
    <row r="60" spans="1:32" ht="27" customHeight="1" thickBot="1">
      <c r="A60" s="352"/>
      <c r="B60" s="353"/>
      <c r="C60" s="218"/>
      <c r="D60" s="218"/>
      <c r="E60" s="218"/>
      <c r="F60" s="354"/>
      <c r="G60" s="354"/>
      <c r="H60" s="354"/>
      <c r="I60" s="354"/>
      <c r="J60" s="354"/>
      <c r="K60" s="354"/>
      <c r="L60" s="354"/>
      <c r="M60" s="355"/>
      <c r="N60" s="217"/>
      <c r="O60" s="120"/>
      <c r="P60" s="353"/>
      <c r="Q60" s="353"/>
      <c r="R60" s="353"/>
      <c r="S60" s="353"/>
      <c r="T60" s="353"/>
      <c r="U60" s="353"/>
      <c r="V60" s="356"/>
      <c r="W60" s="356"/>
      <c r="X60" s="356"/>
      <c r="Y60" s="356"/>
      <c r="Z60" s="356"/>
      <c r="AA60" s="356"/>
      <c r="AB60" s="356"/>
      <c r="AC60" s="356"/>
      <c r="AD60" s="357"/>
      <c r="AF60" s="93">
        <f>16*3000</f>
        <v>48000</v>
      </c>
    </row>
    <row r="61" spans="1:32" ht="27.75" thickBot="1">
      <c r="A61" s="347" t="s">
        <v>367</v>
      </c>
      <c r="B61" s="347"/>
      <c r="C61" s="347"/>
      <c r="D61" s="347"/>
      <c r="E61" s="34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48" t="s">
        <v>113</v>
      </c>
      <c r="B62" s="345"/>
      <c r="C62" s="219" t="s">
        <v>2</v>
      </c>
      <c r="D62" s="219" t="s">
        <v>37</v>
      </c>
      <c r="E62" s="219" t="s">
        <v>3</v>
      </c>
      <c r="F62" s="345" t="s">
        <v>110</v>
      </c>
      <c r="G62" s="345"/>
      <c r="H62" s="345"/>
      <c r="I62" s="345"/>
      <c r="J62" s="345"/>
      <c r="K62" s="345" t="s">
        <v>39</v>
      </c>
      <c r="L62" s="345"/>
      <c r="M62" s="219" t="s">
        <v>40</v>
      </c>
      <c r="N62" s="345" t="s">
        <v>41</v>
      </c>
      <c r="O62" s="345"/>
      <c r="P62" s="342" t="s">
        <v>42</v>
      </c>
      <c r="Q62" s="344"/>
      <c r="R62" s="342" t="s">
        <v>43</v>
      </c>
      <c r="S62" s="343"/>
      <c r="T62" s="343"/>
      <c r="U62" s="343"/>
      <c r="V62" s="343"/>
      <c r="W62" s="343"/>
      <c r="X62" s="343"/>
      <c r="Y62" s="343"/>
      <c r="Z62" s="343"/>
      <c r="AA62" s="344"/>
      <c r="AB62" s="345" t="s">
        <v>44</v>
      </c>
      <c r="AC62" s="345"/>
      <c r="AD62" s="346"/>
      <c r="AF62" s="93">
        <f>SUM(AF59:AF61)</f>
        <v>96000</v>
      </c>
    </row>
    <row r="63" spans="1:32" ht="25.5" customHeight="1">
      <c r="A63" s="337">
        <v>1</v>
      </c>
      <c r="B63" s="338"/>
      <c r="C63" s="123" t="s">
        <v>366</v>
      </c>
      <c r="D63" s="222"/>
      <c r="E63" s="220"/>
      <c r="F63" s="339" t="s">
        <v>365</v>
      </c>
      <c r="G63" s="331"/>
      <c r="H63" s="331"/>
      <c r="I63" s="331"/>
      <c r="J63" s="331"/>
      <c r="K63" s="331">
        <v>7301</v>
      </c>
      <c r="L63" s="331"/>
      <c r="M63" s="54" t="s">
        <v>281</v>
      </c>
      <c r="N63" s="331">
        <v>11</v>
      </c>
      <c r="O63" s="331"/>
      <c r="P63" s="340">
        <v>50</v>
      </c>
      <c r="Q63" s="340"/>
      <c r="R63" s="341"/>
      <c r="S63" s="341"/>
      <c r="T63" s="341"/>
      <c r="U63" s="341"/>
      <c r="V63" s="341"/>
      <c r="W63" s="341"/>
      <c r="X63" s="341"/>
      <c r="Y63" s="341"/>
      <c r="Z63" s="341"/>
      <c r="AA63" s="341"/>
      <c r="AB63" s="331"/>
      <c r="AC63" s="331"/>
      <c r="AD63" s="332"/>
      <c r="AF63" s="53"/>
    </row>
    <row r="64" spans="1:32" ht="25.5" customHeight="1">
      <c r="A64" s="337">
        <v>2</v>
      </c>
      <c r="B64" s="338"/>
      <c r="C64" s="123"/>
      <c r="D64" s="222"/>
      <c r="E64" s="220"/>
      <c r="F64" s="339"/>
      <c r="G64" s="331"/>
      <c r="H64" s="331"/>
      <c r="I64" s="331"/>
      <c r="J64" s="331"/>
      <c r="K64" s="331"/>
      <c r="L64" s="331"/>
      <c r="M64" s="54"/>
      <c r="N64" s="331"/>
      <c r="O64" s="331"/>
      <c r="P64" s="340"/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3</v>
      </c>
      <c r="B65" s="338"/>
      <c r="C65" s="123"/>
      <c r="D65" s="222"/>
      <c r="E65" s="220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4</v>
      </c>
      <c r="B66" s="338"/>
      <c r="C66" s="123"/>
      <c r="D66" s="222"/>
      <c r="E66" s="220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5</v>
      </c>
      <c r="B67" s="338"/>
      <c r="C67" s="123"/>
      <c r="D67" s="222"/>
      <c r="E67" s="220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6</v>
      </c>
      <c r="B68" s="338"/>
      <c r="C68" s="123"/>
      <c r="D68" s="222"/>
      <c r="E68" s="220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7</v>
      </c>
      <c r="B69" s="338"/>
      <c r="C69" s="123"/>
      <c r="D69" s="222"/>
      <c r="E69" s="220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8</v>
      </c>
      <c r="B70" s="338"/>
      <c r="C70" s="123"/>
      <c r="D70" s="222"/>
      <c r="E70" s="220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6.25" customHeight="1" thickBot="1">
      <c r="A71" s="311" t="s">
        <v>368</v>
      </c>
      <c r="B71" s="311"/>
      <c r="C71" s="311"/>
      <c r="D71" s="311"/>
      <c r="E71" s="311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12" t="s">
        <v>113</v>
      </c>
      <c r="B72" s="313"/>
      <c r="C72" s="221" t="s">
        <v>2</v>
      </c>
      <c r="D72" s="221" t="s">
        <v>37</v>
      </c>
      <c r="E72" s="221" t="s">
        <v>3</v>
      </c>
      <c r="F72" s="313" t="s">
        <v>38</v>
      </c>
      <c r="G72" s="313"/>
      <c r="H72" s="313"/>
      <c r="I72" s="313"/>
      <c r="J72" s="313"/>
      <c r="K72" s="333" t="s">
        <v>58</v>
      </c>
      <c r="L72" s="334"/>
      <c r="M72" s="334"/>
      <c r="N72" s="334"/>
      <c r="O72" s="334"/>
      <c r="P72" s="334"/>
      <c r="Q72" s="334"/>
      <c r="R72" s="334"/>
      <c r="S72" s="335"/>
      <c r="T72" s="313" t="s">
        <v>49</v>
      </c>
      <c r="U72" s="313"/>
      <c r="V72" s="333" t="s">
        <v>50</v>
      </c>
      <c r="W72" s="335"/>
      <c r="X72" s="334" t="s">
        <v>51</v>
      </c>
      <c r="Y72" s="334"/>
      <c r="Z72" s="334"/>
      <c r="AA72" s="334"/>
      <c r="AB72" s="334"/>
      <c r="AC72" s="334"/>
      <c r="AD72" s="336"/>
      <c r="AF72" s="53"/>
    </row>
    <row r="73" spans="1:32" ht="33.75" customHeight="1">
      <c r="A73" s="305">
        <v>1</v>
      </c>
      <c r="B73" s="306"/>
      <c r="C73" s="223" t="s">
        <v>114</v>
      </c>
      <c r="D73" s="223"/>
      <c r="E73" s="71" t="s">
        <v>246</v>
      </c>
      <c r="F73" s="320" t="s">
        <v>221</v>
      </c>
      <c r="G73" s="321"/>
      <c r="H73" s="321"/>
      <c r="I73" s="321"/>
      <c r="J73" s="322"/>
      <c r="K73" s="323" t="s">
        <v>301</v>
      </c>
      <c r="L73" s="324"/>
      <c r="M73" s="324"/>
      <c r="N73" s="324"/>
      <c r="O73" s="324"/>
      <c r="P73" s="324"/>
      <c r="Q73" s="324"/>
      <c r="R73" s="324"/>
      <c r="S73" s="325"/>
      <c r="T73" s="326">
        <v>43384</v>
      </c>
      <c r="U73" s="327"/>
      <c r="V73" s="328"/>
      <c r="W73" s="328"/>
      <c r="X73" s="329"/>
      <c r="Y73" s="329"/>
      <c r="Z73" s="329"/>
      <c r="AA73" s="329"/>
      <c r="AB73" s="329"/>
      <c r="AC73" s="329"/>
      <c r="AD73" s="330"/>
      <c r="AF73" s="53"/>
    </row>
    <row r="74" spans="1:32" ht="30" customHeight="1">
      <c r="A74" s="298">
        <f>A73+1</f>
        <v>2</v>
      </c>
      <c r="B74" s="299"/>
      <c r="C74" s="222"/>
      <c r="D74" s="222"/>
      <c r="E74" s="35"/>
      <c r="F74" s="299"/>
      <c r="G74" s="299"/>
      <c r="H74" s="299"/>
      <c r="I74" s="299"/>
      <c r="J74" s="299"/>
      <c r="K74" s="314"/>
      <c r="L74" s="315"/>
      <c r="M74" s="315"/>
      <c r="N74" s="315"/>
      <c r="O74" s="315"/>
      <c r="P74" s="315"/>
      <c r="Q74" s="315"/>
      <c r="R74" s="315"/>
      <c r="S74" s="316"/>
      <c r="T74" s="317"/>
      <c r="U74" s="317"/>
      <c r="V74" s="317"/>
      <c r="W74" s="317"/>
      <c r="X74" s="318"/>
      <c r="Y74" s="318"/>
      <c r="Z74" s="318"/>
      <c r="AA74" s="318"/>
      <c r="AB74" s="318"/>
      <c r="AC74" s="318"/>
      <c r="AD74" s="319"/>
      <c r="AF74" s="53"/>
    </row>
    <row r="75" spans="1:32" ht="30" customHeight="1">
      <c r="A75" s="298">
        <f t="shared" ref="A75:A81" si="11">A74+1</f>
        <v>3</v>
      </c>
      <c r="B75" s="299"/>
      <c r="C75" s="222"/>
      <c r="D75" s="222"/>
      <c r="E75" s="35"/>
      <c r="F75" s="299"/>
      <c r="G75" s="299"/>
      <c r="H75" s="299"/>
      <c r="I75" s="299"/>
      <c r="J75" s="299"/>
      <c r="K75" s="314"/>
      <c r="L75" s="315"/>
      <c r="M75" s="315"/>
      <c r="N75" s="315"/>
      <c r="O75" s="315"/>
      <c r="P75" s="315"/>
      <c r="Q75" s="315"/>
      <c r="R75" s="315"/>
      <c r="S75" s="316"/>
      <c r="T75" s="317"/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si="11"/>
        <v>4</v>
      </c>
      <c r="B76" s="299"/>
      <c r="C76" s="222"/>
      <c r="D76" s="222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1"/>
        <v>5</v>
      </c>
      <c r="B77" s="299"/>
      <c r="C77" s="222"/>
      <c r="D77" s="222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1"/>
        <v>6</v>
      </c>
      <c r="B78" s="299"/>
      <c r="C78" s="222"/>
      <c r="D78" s="222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1"/>
        <v>7</v>
      </c>
      <c r="B79" s="299"/>
      <c r="C79" s="222"/>
      <c r="D79" s="222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1"/>
        <v>8</v>
      </c>
      <c r="B80" s="299"/>
      <c r="C80" s="222"/>
      <c r="D80" s="222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1"/>
        <v>9</v>
      </c>
      <c r="B81" s="299"/>
      <c r="C81" s="222"/>
      <c r="D81" s="222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6" thickBot="1">
      <c r="A82" s="311" t="s">
        <v>369</v>
      </c>
      <c r="B82" s="311"/>
      <c r="C82" s="311"/>
      <c r="D82" s="311"/>
      <c r="E82" s="311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12" t="s">
        <v>113</v>
      </c>
      <c r="B83" s="313"/>
      <c r="C83" s="303" t="s">
        <v>52</v>
      </c>
      <c r="D83" s="303"/>
      <c r="E83" s="303" t="s">
        <v>53</v>
      </c>
      <c r="F83" s="303"/>
      <c r="G83" s="303"/>
      <c r="H83" s="303"/>
      <c r="I83" s="303"/>
      <c r="J83" s="303"/>
      <c r="K83" s="303" t="s">
        <v>54</v>
      </c>
      <c r="L83" s="303"/>
      <c r="M83" s="303"/>
      <c r="N83" s="303"/>
      <c r="O83" s="303"/>
      <c r="P83" s="303"/>
      <c r="Q83" s="303"/>
      <c r="R83" s="303"/>
      <c r="S83" s="303"/>
      <c r="T83" s="303" t="s">
        <v>55</v>
      </c>
      <c r="U83" s="303"/>
      <c r="V83" s="303" t="s">
        <v>56</v>
      </c>
      <c r="W83" s="303"/>
      <c r="X83" s="303"/>
      <c r="Y83" s="303" t="s">
        <v>51</v>
      </c>
      <c r="Z83" s="303"/>
      <c r="AA83" s="303"/>
      <c r="AB83" s="303"/>
      <c r="AC83" s="303"/>
      <c r="AD83" s="304"/>
      <c r="AF83" s="53"/>
    </row>
    <row r="84" spans="1:32" ht="30.75" customHeight="1">
      <c r="A84" s="305">
        <v>1</v>
      </c>
      <c r="B84" s="306"/>
      <c r="C84" s="307">
        <v>9</v>
      </c>
      <c r="D84" s="307"/>
      <c r="E84" s="307" t="s">
        <v>141</v>
      </c>
      <c r="F84" s="307"/>
      <c r="G84" s="307"/>
      <c r="H84" s="307"/>
      <c r="I84" s="307"/>
      <c r="J84" s="307"/>
      <c r="K84" s="307" t="s">
        <v>142</v>
      </c>
      <c r="L84" s="307"/>
      <c r="M84" s="307"/>
      <c r="N84" s="307"/>
      <c r="O84" s="307"/>
      <c r="P84" s="307"/>
      <c r="Q84" s="307"/>
      <c r="R84" s="307"/>
      <c r="S84" s="307"/>
      <c r="T84" s="307" t="s">
        <v>143</v>
      </c>
      <c r="U84" s="307"/>
      <c r="V84" s="308">
        <v>11307000</v>
      </c>
      <c r="W84" s="308"/>
      <c r="X84" s="308"/>
      <c r="Y84" s="309"/>
      <c r="Z84" s="309"/>
      <c r="AA84" s="309"/>
      <c r="AB84" s="309"/>
      <c r="AC84" s="309"/>
      <c r="AD84" s="310"/>
      <c r="AF84" s="53"/>
    </row>
    <row r="85" spans="1:32" ht="30.75" customHeight="1">
      <c r="A85" s="298">
        <v>2</v>
      </c>
      <c r="B85" s="299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1"/>
      <c r="U85" s="301"/>
      <c r="V85" s="302"/>
      <c r="W85" s="302"/>
      <c r="X85" s="302"/>
      <c r="Y85" s="291"/>
      <c r="Z85" s="291"/>
      <c r="AA85" s="291"/>
      <c r="AB85" s="291"/>
      <c r="AC85" s="291"/>
      <c r="AD85" s="292"/>
      <c r="AF85" s="53"/>
    </row>
    <row r="86" spans="1:32" ht="30.75" customHeight="1" thickBot="1">
      <c r="A86" s="293">
        <v>3</v>
      </c>
      <c r="B86" s="294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6"/>
      <c r="Z86" s="296"/>
      <c r="AA86" s="296"/>
      <c r="AB86" s="296"/>
      <c r="AC86" s="296"/>
      <c r="AD86" s="29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3DC-36AD-46DF-A79B-A278E6F0ED89}">
  <sheetPr>
    <pageSetUpPr fitToPage="1"/>
  </sheetPr>
  <dimension ref="A1:AF88"/>
  <sheetViews>
    <sheetView zoomScale="72" zoomScaleNormal="72" zoomScaleSheetLayoutView="70" workbookViewId="0">
      <selection activeCell="A3" sqref="A3:G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379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234" t="s">
        <v>17</v>
      </c>
      <c r="L5" s="234" t="s">
        <v>18</v>
      </c>
      <c r="M5" s="234" t="s">
        <v>19</v>
      </c>
      <c r="N5" s="23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 t="shared" ref="AE6:AE22" si="7">$AD$23</f>
        <v>0.4</v>
      </c>
      <c r="AF6" s="93">
        <f t="shared" ref="AF6:AF22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136</v>
      </c>
      <c r="D8" s="55" t="s">
        <v>370</v>
      </c>
      <c r="E8" s="57" t="s">
        <v>356</v>
      </c>
      <c r="F8" s="33" t="s">
        <v>210</v>
      </c>
      <c r="G8" s="36">
        <v>1</v>
      </c>
      <c r="H8" s="38">
        <v>25</v>
      </c>
      <c r="I8" s="7">
        <v>1500</v>
      </c>
      <c r="J8" s="5">
        <v>1687</v>
      </c>
      <c r="K8" s="15">
        <f>L8</f>
        <v>1687</v>
      </c>
      <c r="L8" s="15">
        <f>1163+524</f>
        <v>1687</v>
      </c>
      <c r="M8" s="16">
        <f t="shared" si="0"/>
        <v>1687</v>
      </c>
      <c r="N8" s="16">
        <v>0</v>
      </c>
      <c r="O8" s="62">
        <f t="shared" si="1"/>
        <v>0</v>
      </c>
      <c r="P8" s="42">
        <f t="shared" si="2"/>
        <v>11</v>
      </c>
      <c r="Q8" s="43">
        <f t="shared" si="3"/>
        <v>13</v>
      </c>
      <c r="R8" s="7"/>
      <c r="S8" s="6"/>
      <c r="T8" s="17"/>
      <c r="U8" s="17"/>
      <c r="V8" s="18"/>
      <c r="W8" s="19">
        <v>13</v>
      </c>
      <c r="X8" s="17"/>
      <c r="Y8" s="20"/>
      <c r="Z8" s="20"/>
      <c r="AA8" s="21"/>
      <c r="AB8" s="8">
        <f t="shared" si="4"/>
        <v>1</v>
      </c>
      <c r="AC8" s="9">
        <f t="shared" si="5"/>
        <v>0.45833333333333331</v>
      </c>
      <c r="AD8" s="10">
        <f t="shared" si="6"/>
        <v>0.45833333333333331</v>
      </c>
      <c r="AE8" s="39">
        <f t="shared" si="7"/>
        <v>0.4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125</v>
      </c>
      <c r="D9" s="55" t="s">
        <v>131</v>
      </c>
      <c r="E9" s="57" t="s">
        <v>359</v>
      </c>
      <c r="F9" s="33" t="s">
        <v>233</v>
      </c>
      <c r="G9" s="36">
        <v>1</v>
      </c>
      <c r="H9" s="38">
        <v>25</v>
      </c>
      <c r="I9" s="7">
        <v>3000</v>
      </c>
      <c r="J9" s="5">
        <v>4225</v>
      </c>
      <c r="K9" s="15">
        <f>L9</f>
        <v>4225</v>
      </c>
      <c r="L9" s="15">
        <f>1325+2900</f>
        <v>4225</v>
      </c>
      <c r="M9" s="16">
        <f t="shared" si="0"/>
        <v>4225</v>
      </c>
      <c r="N9" s="16">
        <v>0</v>
      </c>
      <c r="O9" s="62">
        <f t="shared" si="1"/>
        <v>0</v>
      </c>
      <c r="P9" s="42">
        <f t="shared" si="2"/>
        <v>21</v>
      </c>
      <c r="Q9" s="43">
        <f t="shared" si="3"/>
        <v>3</v>
      </c>
      <c r="R9" s="7"/>
      <c r="S9" s="6">
        <v>3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0.875</v>
      </c>
      <c r="AD9" s="10">
        <f t="shared" si="6"/>
        <v>0.875</v>
      </c>
      <c r="AE9" s="39">
        <f t="shared" si="7"/>
        <v>0.4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125</v>
      </c>
      <c r="D10" s="55" t="s">
        <v>200</v>
      </c>
      <c r="E10" s="57" t="s">
        <v>360</v>
      </c>
      <c r="F10" s="12" t="s">
        <v>166</v>
      </c>
      <c r="G10" s="12">
        <v>32</v>
      </c>
      <c r="H10" s="13">
        <v>25</v>
      </c>
      <c r="I10" s="7">
        <v>50000</v>
      </c>
      <c r="J10" s="14">
        <v>174432</v>
      </c>
      <c r="K10" s="15">
        <f>L10</f>
        <v>174432</v>
      </c>
      <c r="L10" s="15">
        <f>1868*32+3583*32</f>
        <v>174432</v>
      </c>
      <c r="M10" s="16">
        <f t="shared" si="0"/>
        <v>174432</v>
      </c>
      <c r="N10" s="16">
        <v>0</v>
      </c>
      <c r="O10" s="62">
        <f t="shared" si="1"/>
        <v>0</v>
      </c>
      <c r="P10" s="42">
        <f t="shared" si="2"/>
        <v>22</v>
      </c>
      <c r="Q10" s="43">
        <f t="shared" si="3"/>
        <v>2</v>
      </c>
      <c r="R10" s="7"/>
      <c r="S10" s="6"/>
      <c r="T10" s="17">
        <v>2</v>
      </c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0.91666666666666663</v>
      </c>
      <c r="AD10" s="10">
        <f t="shared" si="6"/>
        <v>0.91666666666666663</v>
      </c>
      <c r="AE10" s="39">
        <f t="shared" si="7"/>
        <v>0.4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6500</v>
      </c>
      <c r="J11" s="5">
        <v>2357</v>
      </c>
      <c r="K11" s="15">
        <f>L11+5687+2357</f>
        <v>8044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136</v>
      </c>
      <c r="D12" s="55" t="s">
        <v>123</v>
      </c>
      <c r="E12" s="57" t="s">
        <v>361</v>
      </c>
      <c r="F12" s="12" t="s">
        <v>210</v>
      </c>
      <c r="G12" s="12">
        <v>1</v>
      </c>
      <c r="H12" s="13">
        <v>25</v>
      </c>
      <c r="I12" s="7">
        <v>1500</v>
      </c>
      <c r="J12" s="14">
        <v>1805</v>
      </c>
      <c r="K12" s="15">
        <f>L12</f>
        <v>1805</v>
      </c>
      <c r="L12" s="15">
        <v>1805</v>
      </c>
      <c r="M12" s="16">
        <f t="shared" si="0"/>
        <v>1805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>
        <v>1</v>
      </c>
      <c r="U12" s="17"/>
      <c r="V12" s="18"/>
      <c r="W12" s="19">
        <v>13</v>
      </c>
      <c r="X12" s="17"/>
      <c r="Y12" s="20"/>
      <c r="Z12" s="20"/>
      <c r="AA12" s="21"/>
      <c r="AB12" s="8">
        <f t="shared" si="4"/>
        <v>1</v>
      </c>
      <c r="AC12" s="9">
        <f t="shared" si="5"/>
        <v>0.41666666666666669</v>
      </c>
      <c r="AD12" s="10">
        <f t="shared" si="6"/>
        <v>0.41666666666666669</v>
      </c>
      <c r="AE12" s="39">
        <f t="shared" si="7"/>
        <v>0.4</v>
      </c>
      <c r="AF12" s="93">
        <f t="shared" si="8"/>
        <v>7</v>
      </c>
    </row>
    <row r="13" spans="1:32" ht="27" customHeight="1">
      <c r="A13" s="109">
        <v>7</v>
      </c>
      <c r="B13" s="11" t="s">
        <v>57</v>
      </c>
      <c r="C13" s="11" t="s">
        <v>136</v>
      </c>
      <c r="D13" s="55" t="s">
        <v>364</v>
      </c>
      <c r="E13" s="57" t="s">
        <v>363</v>
      </c>
      <c r="F13" s="12" t="s">
        <v>210</v>
      </c>
      <c r="G13" s="12" t="s">
        <v>167</v>
      </c>
      <c r="H13" s="13">
        <v>25</v>
      </c>
      <c r="I13" s="7">
        <v>1500</v>
      </c>
      <c r="J13" s="14">
        <v>1560</v>
      </c>
      <c r="K13" s="15">
        <f>L13</f>
        <v>1560</v>
      </c>
      <c r="L13" s="15">
        <f>1313+247</f>
        <v>1560</v>
      </c>
      <c r="M13" s="16">
        <f t="shared" ref="M13" si="9">L13-N13</f>
        <v>1560</v>
      </c>
      <c r="N13" s="16">
        <v>0</v>
      </c>
      <c r="O13" s="62">
        <f t="shared" ref="O13" si="10">IF(L13=0,"0",N13/L13)</f>
        <v>0</v>
      </c>
      <c r="P13" s="42">
        <f t="shared" ref="P13" si="11">IF(L13=0,"0",(24-Q13))</f>
        <v>9</v>
      </c>
      <c r="Q13" s="43">
        <f t="shared" ref="Q13" si="12">SUM(R13:AA13)</f>
        <v>15</v>
      </c>
      <c r="R13" s="7"/>
      <c r="S13" s="6"/>
      <c r="T13" s="17">
        <v>2</v>
      </c>
      <c r="U13" s="17"/>
      <c r="V13" s="18"/>
      <c r="W13" s="19">
        <v>13</v>
      </c>
      <c r="X13" s="17"/>
      <c r="Y13" s="20"/>
      <c r="Z13" s="20"/>
      <c r="AA13" s="21"/>
      <c r="AB13" s="8">
        <f t="shared" ref="AB13" si="13">IF(J13=0,"0",(L13/J13))</f>
        <v>1</v>
      </c>
      <c r="AC13" s="9">
        <f t="shared" ref="AC13" si="14">IF(P13=0,"0",(P13/24))</f>
        <v>0.375</v>
      </c>
      <c r="AD13" s="10">
        <f t="shared" ref="AD13" si="15">AC13*AB13*(1-O13)</f>
        <v>0.375</v>
      </c>
      <c r="AE13" s="39">
        <f t="shared" si="7"/>
        <v>0.4</v>
      </c>
      <c r="AF13" s="93">
        <f t="shared" ref="AF13" si="16">A13</f>
        <v>7</v>
      </c>
    </row>
    <row r="14" spans="1:32" ht="27" customHeight="1">
      <c r="A14" s="109">
        <v>8</v>
      </c>
      <c r="B14" s="11" t="s">
        <v>57</v>
      </c>
      <c r="C14" s="11" t="s">
        <v>125</v>
      </c>
      <c r="D14" s="55" t="s">
        <v>123</v>
      </c>
      <c r="E14" s="57" t="s">
        <v>295</v>
      </c>
      <c r="F14" s="12" t="s">
        <v>146</v>
      </c>
      <c r="G14" s="12">
        <v>1</v>
      </c>
      <c r="H14" s="13">
        <v>25</v>
      </c>
      <c r="I14" s="7">
        <v>35000</v>
      </c>
      <c r="J14" s="14">
        <v>5081</v>
      </c>
      <c r="K14" s="15">
        <f>L14+761+4519+1386+1615+5006</f>
        <v>18368</v>
      </c>
      <c r="L14" s="15">
        <f>2561+2520</f>
        <v>5081</v>
      </c>
      <c r="M14" s="16">
        <f t="shared" si="0"/>
        <v>5081</v>
      </c>
      <c r="N14" s="16">
        <v>0</v>
      </c>
      <c r="O14" s="62">
        <f t="shared" si="1"/>
        <v>0</v>
      </c>
      <c r="P14" s="42">
        <f t="shared" si="2"/>
        <v>24</v>
      </c>
      <c r="Q14" s="43">
        <f t="shared" si="3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1</v>
      </c>
      <c r="AD14" s="10">
        <f t="shared" si="6"/>
        <v>1</v>
      </c>
      <c r="AE14" s="39">
        <f t="shared" si="7"/>
        <v>0.4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139</v>
      </c>
      <c r="F15" s="33" t="s">
        <v>138</v>
      </c>
      <c r="G15" s="36">
        <v>1</v>
      </c>
      <c r="H15" s="38">
        <v>25</v>
      </c>
      <c r="I15" s="7">
        <v>1000</v>
      </c>
      <c r="J15" s="5">
        <v>1068</v>
      </c>
      <c r="K15" s="15">
        <f>L15+1068</f>
        <v>1068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>
        <v>24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136</v>
      </c>
      <c r="D16" s="55" t="s">
        <v>131</v>
      </c>
      <c r="E16" s="57" t="s">
        <v>195</v>
      </c>
      <c r="F16" s="12" t="s">
        <v>207</v>
      </c>
      <c r="G16" s="12">
        <v>3</v>
      </c>
      <c r="H16" s="13">
        <v>24</v>
      </c>
      <c r="I16" s="34">
        <v>6000</v>
      </c>
      <c r="J16" s="14">
        <v>7454</v>
      </c>
      <c r="K16" s="15">
        <f>L16+7545</f>
        <v>7545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125</v>
      </c>
      <c r="D17" s="55" t="s">
        <v>149</v>
      </c>
      <c r="E17" s="57" t="s">
        <v>353</v>
      </c>
      <c r="F17" s="33" t="s">
        <v>147</v>
      </c>
      <c r="G17" s="36">
        <v>2</v>
      </c>
      <c r="H17" s="38">
        <v>24</v>
      </c>
      <c r="I17" s="7">
        <v>2000</v>
      </c>
      <c r="J17" s="5">
        <v>6912</v>
      </c>
      <c r="K17" s="15">
        <f>L17+6912</f>
        <v>6912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7</v>
      </c>
      <c r="R17" s="7"/>
      <c r="S17" s="6"/>
      <c r="T17" s="17"/>
      <c r="U17" s="17"/>
      <c r="V17" s="18"/>
      <c r="W17" s="19"/>
      <c r="X17" s="17"/>
      <c r="Y17" s="20"/>
      <c r="Z17" s="20"/>
      <c r="AA17" s="21">
        <v>7</v>
      </c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37" t="s">
        <v>125</v>
      </c>
      <c r="D18" s="55" t="s">
        <v>285</v>
      </c>
      <c r="E18" s="57" t="s">
        <v>344</v>
      </c>
      <c r="F18" s="12" t="s">
        <v>354</v>
      </c>
      <c r="G18" s="12">
        <v>1</v>
      </c>
      <c r="H18" s="13">
        <v>24</v>
      </c>
      <c r="I18" s="34">
        <v>300</v>
      </c>
      <c r="J18" s="14">
        <v>406</v>
      </c>
      <c r="K18" s="15">
        <f>L18+406</f>
        <v>406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20</v>
      </c>
      <c r="R18" s="7"/>
      <c r="S18" s="6"/>
      <c r="T18" s="17"/>
      <c r="U18" s="17"/>
      <c r="V18" s="18"/>
      <c r="W18" s="19">
        <v>20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136</v>
      </c>
      <c r="D19" s="55" t="s">
        <v>130</v>
      </c>
      <c r="E19" s="57" t="s">
        <v>346</v>
      </c>
      <c r="F19" s="12" t="s">
        <v>210</v>
      </c>
      <c r="G19" s="36">
        <v>2</v>
      </c>
      <c r="H19" s="38">
        <v>24</v>
      </c>
      <c r="I19" s="7">
        <v>10000</v>
      </c>
      <c r="J19" s="5">
        <v>4414</v>
      </c>
      <c r="K19" s="15">
        <f>L19+10176</f>
        <v>14590</v>
      </c>
      <c r="L19" s="15">
        <f>2207*2</f>
        <v>4414</v>
      </c>
      <c r="M19" s="16">
        <f t="shared" ref="M19" si="17">L19-N19</f>
        <v>4414</v>
      </c>
      <c r="N19" s="16">
        <v>0</v>
      </c>
      <c r="O19" s="62">
        <f t="shared" ref="O19" si="18">IF(L19=0,"0",N19/L19)</f>
        <v>0</v>
      </c>
      <c r="P19" s="42">
        <f t="shared" ref="P19" si="19">IF(L19=0,"0",(24-Q19))</f>
        <v>10</v>
      </c>
      <c r="Q19" s="43">
        <f t="shared" ref="Q19" si="20">SUM(R19:AA19)</f>
        <v>14</v>
      </c>
      <c r="R19" s="7"/>
      <c r="S19" s="6"/>
      <c r="T19" s="17"/>
      <c r="U19" s="17"/>
      <c r="V19" s="18"/>
      <c r="W19" s="19">
        <v>14</v>
      </c>
      <c r="X19" s="17"/>
      <c r="Y19" s="20"/>
      <c r="Z19" s="20"/>
      <c r="AA19" s="21"/>
      <c r="AB19" s="8">
        <f t="shared" ref="AB19" si="21">IF(J19=0,"0",(L19/J19))</f>
        <v>1</v>
      </c>
      <c r="AC19" s="9">
        <f t="shared" ref="AC19" si="22">IF(P19=0,"0",(P19/24))</f>
        <v>0.41666666666666669</v>
      </c>
      <c r="AD19" s="10">
        <f t="shared" ref="AD19" si="23">AC19*AB19*(1-O19)</f>
        <v>0.41666666666666669</v>
      </c>
      <c r="AE19" s="39">
        <f t="shared" si="7"/>
        <v>0.4</v>
      </c>
      <c r="AF19" s="93">
        <f t="shared" ref="AF19" si="24">A19</f>
        <v>13</v>
      </c>
    </row>
    <row r="20" spans="1:32" ht="27" customHeight="1">
      <c r="A20" s="109">
        <v>13</v>
      </c>
      <c r="B20" s="11" t="s">
        <v>57</v>
      </c>
      <c r="C20" s="37" t="s">
        <v>125</v>
      </c>
      <c r="D20" s="55" t="s">
        <v>219</v>
      </c>
      <c r="E20" s="57" t="s">
        <v>371</v>
      </c>
      <c r="F20" s="12" t="s">
        <v>146</v>
      </c>
      <c r="G20" s="36">
        <v>1</v>
      </c>
      <c r="H20" s="38">
        <v>24</v>
      </c>
      <c r="I20" s="7">
        <v>1500</v>
      </c>
      <c r="J20" s="5">
        <v>3098</v>
      </c>
      <c r="K20" s="15">
        <f>L20</f>
        <v>3098</v>
      </c>
      <c r="L20" s="15">
        <f>3098</f>
        <v>3098</v>
      </c>
      <c r="M20" s="16">
        <f t="shared" si="0"/>
        <v>3098</v>
      </c>
      <c r="N20" s="16">
        <v>0</v>
      </c>
      <c r="O20" s="62">
        <f t="shared" si="1"/>
        <v>0</v>
      </c>
      <c r="P20" s="42">
        <f t="shared" si="2"/>
        <v>13</v>
      </c>
      <c r="Q20" s="43">
        <f t="shared" si="3"/>
        <v>11</v>
      </c>
      <c r="R20" s="7"/>
      <c r="S20" s="6"/>
      <c r="T20" s="17">
        <v>11</v>
      </c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0.54166666666666663</v>
      </c>
      <c r="AD20" s="10">
        <f t="shared" si="6"/>
        <v>0.54166666666666663</v>
      </c>
      <c r="AE20" s="39">
        <f t="shared" si="7"/>
        <v>0.4</v>
      </c>
      <c r="AF20" s="93">
        <f t="shared" si="8"/>
        <v>13</v>
      </c>
    </row>
    <row r="21" spans="1:32" ht="27" customHeight="1">
      <c r="A21" s="109">
        <v>14</v>
      </c>
      <c r="B21" s="11" t="s">
        <v>57</v>
      </c>
      <c r="C21" s="11" t="s">
        <v>136</v>
      </c>
      <c r="D21" s="55" t="s">
        <v>123</v>
      </c>
      <c r="E21" s="57" t="s">
        <v>347</v>
      </c>
      <c r="F21" s="12" t="s">
        <v>210</v>
      </c>
      <c r="G21" s="36">
        <v>2</v>
      </c>
      <c r="H21" s="13">
        <v>24</v>
      </c>
      <c r="I21" s="7">
        <v>10000</v>
      </c>
      <c r="J21" s="14">
        <v>9100</v>
      </c>
      <c r="K21" s="15">
        <f>L21+8312</f>
        <v>17412</v>
      </c>
      <c r="L21" s="15">
        <f>2240*2+2310*2</f>
        <v>9100</v>
      </c>
      <c r="M21" s="16">
        <f t="shared" si="0"/>
        <v>9100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1</v>
      </c>
      <c r="AD21" s="10">
        <f t="shared" si="6"/>
        <v>1</v>
      </c>
      <c r="AE21" s="39">
        <f t="shared" si="7"/>
        <v>0.4</v>
      </c>
      <c r="AF21" s="93">
        <f t="shared" si="8"/>
        <v>14</v>
      </c>
    </row>
    <row r="22" spans="1:32" ht="27" customHeight="1" thickBot="1">
      <c r="A22" s="109">
        <v>15</v>
      </c>
      <c r="B22" s="11" t="s">
        <v>57</v>
      </c>
      <c r="C22" s="11" t="s">
        <v>121</v>
      </c>
      <c r="D22" s="55"/>
      <c r="E22" s="56" t="s">
        <v>151</v>
      </c>
      <c r="F22" s="12" t="s">
        <v>122</v>
      </c>
      <c r="G22" s="12">
        <v>4</v>
      </c>
      <c r="H22" s="38">
        <v>20</v>
      </c>
      <c r="I22" s="7">
        <v>300000</v>
      </c>
      <c r="J22" s="14">
        <v>4524</v>
      </c>
      <c r="K22" s="15">
        <f>L22+20068+24564+48544+43996+30716+19196+21560+23324+19612+4524</f>
        <v>256104</v>
      </c>
      <c r="L22" s="15"/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/>
      <c r="T22" s="17"/>
      <c r="U22" s="17"/>
      <c r="V22" s="18"/>
      <c r="W22" s="19">
        <v>24</v>
      </c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 t="shared" si="7"/>
        <v>0.4</v>
      </c>
      <c r="AF22" s="93">
        <f t="shared" si="8"/>
        <v>15</v>
      </c>
    </row>
    <row r="23" spans="1:32" ht="31.5" customHeight="1" thickBot="1">
      <c r="A23" s="362" t="s">
        <v>34</v>
      </c>
      <c r="B23" s="363"/>
      <c r="C23" s="363"/>
      <c r="D23" s="363"/>
      <c r="E23" s="363"/>
      <c r="F23" s="363"/>
      <c r="G23" s="363"/>
      <c r="H23" s="364"/>
      <c r="I23" s="25">
        <f t="shared" ref="I23:N23" si="25">SUM(I6:I22)</f>
        <v>429800</v>
      </c>
      <c r="J23" s="22">
        <f t="shared" si="25"/>
        <v>228123</v>
      </c>
      <c r="K23" s="23">
        <f t="shared" si="25"/>
        <v>517256</v>
      </c>
      <c r="L23" s="24">
        <f t="shared" si="25"/>
        <v>205402</v>
      </c>
      <c r="M23" s="23">
        <f t="shared" si="25"/>
        <v>205402</v>
      </c>
      <c r="N23" s="24">
        <f t="shared" si="25"/>
        <v>0</v>
      </c>
      <c r="O23" s="44">
        <f t="shared" si="1"/>
        <v>0</v>
      </c>
      <c r="P23" s="45">
        <f t="shared" ref="P23:AA23" si="26">SUM(P6:P22)</f>
        <v>144</v>
      </c>
      <c r="Q23" s="46">
        <f t="shared" si="26"/>
        <v>243</v>
      </c>
      <c r="R23" s="26">
        <f t="shared" si="26"/>
        <v>48</v>
      </c>
      <c r="S23" s="27">
        <f t="shared" si="26"/>
        <v>27</v>
      </c>
      <c r="T23" s="27">
        <f t="shared" si="26"/>
        <v>16</v>
      </c>
      <c r="U23" s="27">
        <f t="shared" si="26"/>
        <v>0</v>
      </c>
      <c r="V23" s="28">
        <f t="shared" si="26"/>
        <v>0</v>
      </c>
      <c r="W23" s="29">
        <f t="shared" si="26"/>
        <v>145</v>
      </c>
      <c r="X23" s="30">
        <f t="shared" si="26"/>
        <v>0</v>
      </c>
      <c r="Y23" s="30">
        <f t="shared" si="26"/>
        <v>0</v>
      </c>
      <c r="Z23" s="30">
        <f t="shared" si="26"/>
        <v>0</v>
      </c>
      <c r="AA23" s="30">
        <f t="shared" si="26"/>
        <v>7</v>
      </c>
      <c r="AB23" s="31">
        <f>SUM(AB6:AB22)/15</f>
        <v>0.6</v>
      </c>
      <c r="AC23" s="4">
        <f>SUM(AC6:AC22)/15</f>
        <v>0.4</v>
      </c>
      <c r="AD23" s="4">
        <f>SUM(AD6:AD22)/15</f>
        <v>0.4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4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365" t="s">
        <v>45</v>
      </c>
      <c r="B50" s="365"/>
      <c r="C50" s="365"/>
      <c r="D50" s="365"/>
      <c r="E50" s="365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366" t="s">
        <v>372</v>
      </c>
      <c r="B51" s="367"/>
      <c r="C51" s="367"/>
      <c r="D51" s="367"/>
      <c r="E51" s="367"/>
      <c r="F51" s="367"/>
      <c r="G51" s="367"/>
      <c r="H51" s="367"/>
      <c r="I51" s="367"/>
      <c r="J51" s="367"/>
      <c r="K51" s="367"/>
      <c r="L51" s="367"/>
      <c r="M51" s="368"/>
      <c r="N51" s="369" t="s">
        <v>374</v>
      </c>
      <c r="O51" s="370"/>
      <c r="P51" s="370"/>
      <c r="Q51" s="370"/>
      <c r="R51" s="370"/>
      <c r="S51" s="370"/>
      <c r="T51" s="370"/>
      <c r="U51" s="370"/>
      <c r="V51" s="370"/>
      <c r="W51" s="370"/>
      <c r="X51" s="370"/>
      <c r="Y51" s="370"/>
      <c r="Z51" s="370"/>
      <c r="AA51" s="370"/>
      <c r="AB51" s="370"/>
      <c r="AC51" s="370"/>
      <c r="AD51" s="371"/>
    </row>
    <row r="52" spans="1:32" ht="27" customHeight="1">
      <c r="A52" s="372" t="s">
        <v>2</v>
      </c>
      <c r="B52" s="373"/>
      <c r="C52" s="233" t="s">
        <v>46</v>
      </c>
      <c r="D52" s="233" t="s">
        <v>47</v>
      </c>
      <c r="E52" s="233" t="s">
        <v>108</v>
      </c>
      <c r="F52" s="373" t="s">
        <v>107</v>
      </c>
      <c r="G52" s="373"/>
      <c r="H52" s="373"/>
      <c r="I52" s="373"/>
      <c r="J52" s="373"/>
      <c r="K52" s="373"/>
      <c r="L52" s="373"/>
      <c r="M52" s="374"/>
      <c r="N52" s="73" t="s">
        <v>112</v>
      </c>
      <c r="O52" s="233" t="s">
        <v>46</v>
      </c>
      <c r="P52" s="375" t="s">
        <v>47</v>
      </c>
      <c r="Q52" s="376"/>
      <c r="R52" s="375" t="s">
        <v>38</v>
      </c>
      <c r="S52" s="377"/>
      <c r="T52" s="377"/>
      <c r="U52" s="376"/>
      <c r="V52" s="375" t="s">
        <v>48</v>
      </c>
      <c r="W52" s="377"/>
      <c r="X52" s="377"/>
      <c r="Y52" s="377"/>
      <c r="Z52" s="377"/>
      <c r="AA52" s="377"/>
      <c r="AB52" s="377"/>
      <c r="AC52" s="377"/>
      <c r="AD52" s="378"/>
    </row>
    <row r="53" spans="1:32" ht="27" customHeight="1">
      <c r="A53" s="349" t="s">
        <v>125</v>
      </c>
      <c r="B53" s="350"/>
      <c r="C53" s="230" t="s">
        <v>170</v>
      </c>
      <c r="D53" s="230" t="s">
        <v>131</v>
      </c>
      <c r="E53" s="230" t="s">
        <v>359</v>
      </c>
      <c r="F53" s="341" t="s">
        <v>373</v>
      </c>
      <c r="G53" s="341"/>
      <c r="H53" s="341"/>
      <c r="I53" s="341"/>
      <c r="J53" s="341"/>
      <c r="K53" s="341"/>
      <c r="L53" s="341"/>
      <c r="M53" s="351"/>
      <c r="N53" s="229" t="s">
        <v>114</v>
      </c>
      <c r="O53" s="124" t="s">
        <v>170</v>
      </c>
      <c r="P53" s="358" t="s">
        <v>224</v>
      </c>
      <c r="Q53" s="359"/>
      <c r="R53" s="401" t="s">
        <v>294</v>
      </c>
      <c r="S53" s="350"/>
      <c r="T53" s="350"/>
      <c r="U53" s="350"/>
      <c r="V53" s="341" t="s">
        <v>129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136</v>
      </c>
      <c r="B54" s="350"/>
      <c r="C54" s="230" t="s">
        <v>218</v>
      </c>
      <c r="D54" s="230" t="s">
        <v>358</v>
      </c>
      <c r="E54" s="230" t="s">
        <v>356</v>
      </c>
      <c r="F54" s="341" t="s">
        <v>129</v>
      </c>
      <c r="G54" s="341"/>
      <c r="H54" s="341"/>
      <c r="I54" s="341"/>
      <c r="J54" s="341"/>
      <c r="K54" s="341"/>
      <c r="L54" s="341"/>
      <c r="M54" s="351"/>
      <c r="N54" s="229"/>
      <c r="O54" s="124"/>
      <c r="P54" s="358"/>
      <c r="Q54" s="359"/>
      <c r="R54" s="350"/>
      <c r="S54" s="350"/>
      <c r="T54" s="350"/>
      <c r="U54" s="350"/>
      <c r="V54" s="341"/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136</v>
      </c>
      <c r="B55" s="350"/>
      <c r="C55" s="230" t="s">
        <v>145</v>
      </c>
      <c r="D55" s="230" t="s">
        <v>362</v>
      </c>
      <c r="E55" s="230" t="s">
        <v>361</v>
      </c>
      <c r="F55" s="341" t="s">
        <v>129</v>
      </c>
      <c r="G55" s="341"/>
      <c r="H55" s="341"/>
      <c r="I55" s="341"/>
      <c r="J55" s="341"/>
      <c r="K55" s="341"/>
      <c r="L55" s="341"/>
      <c r="M55" s="351"/>
      <c r="N55" s="229"/>
      <c r="O55" s="124"/>
      <c r="P55" s="358"/>
      <c r="Q55" s="359"/>
      <c r="R55" s="350"/>
      <c r="S55" s="350"/>
      <c r="T55" s="350"/>
      <c r="U55" s="350"/>
      <c r="V55" s="341"/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 t="s">
        <v>136</v>
      </c>
      <c r="B56" s="350"/>
      <c r="C56" s="230" t="s">
        <v>145</v>
      </c>
      <c r="D56" s="230" t="s">
        <v>364</v>
      </c>
      <c r="E56" s="230" t="s">
        <v>363</v>
      </c>
      <c r="F56" s="341" t="s">
        <v>129</v>
      </c>
      <c r="G56" s="341"/>
      <c r="H56" s="341"/>
      <c r="I56" s="341"/>
      <c r="J56" s="341"/>
      <c r="K56" s="341"/>
      <c r="L56" s="341"/>
      <c r="M56" s="351"/>
      <c r="N56" s="229"/>
      <c r="O56" s="124"/>
      <c r="P56" s="350"/>
      <c r="Q56" s="350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 t="s">
        <v>125</v>
      </c>
      <c r="B57" s="350"/>
      <c r="C57" s="230" t="s">
        <v>214</v>
      </c>
      <c r="D57" s="230" t="s">
        <v>219</v>
      </c>
      <c r="E57" s="230" t="s">
        <v>371</v>
      </c>
      <c r="F57" s="341" t="s">
        <v>129</v>
      </c>
      <c r="G57" s="341"/>
      <c r="H57" s="341"/>
      <c r="I57" s="341"/>
      <c r="J57" s="341"/>
      <c r="K57" s="341"/>
      <c r="L57" s="341"/>
      <c r="M57" s="351"/>
      <c r="N57" s="229"/>
      <c r="O57" s="124"/>
      <c r="P57" s="350"/>
      <c r="Q57" s="350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230"/>
      <c r="D58" s="230"/>
      <c r="E58" s="230"/>
      <c r="F58" s="341"/>
      <c r="G58" s="341"/>
      <c r="H58" s="341"/>
      <c r="I58" s="341"/>
      <c r="J58" s="341"/>
      <c r="K58" s="341"/>
      <c r="L58" s="341"/>
      <c r="M58" s="351"/>
      <c r="N58" s="229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230"/>
      <c r="D59" s="230"/>
      <c r="E59" s="230"/>
      <c r="F59" s="341"/>
      <c r="G59" s="341"/>
      <c r="H59" s="341"/>
      <c r="I59" s="341"/>
      <c r="J59" s="341"/>
      <c r="K59" s="341"/>
      <c r="L59" s="341"/>
      <c r="M59" s="351"/>
      <c r="N59" s="229"/>
      <c r="O59" s="124"/>
      <c r="P59" s="358"/>
      <c r="Q59" s="359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</row>
    <row r="60" spans="1:32" ht="27" customHeight="1">
      <c r="A60" s="349"/>
      <c r="B60" s="350"/>
      <c r="C60" s="230"/>
      <c r="D60" s="230"/>
      <c r="E60" s="230"/>
      <c r="F60" s="341"/>
      <c r="G60" s="341"/>
      <c r="H60" s="341"/>
      <c r="I60" s="341"/>
      <c r="J60" s="341"/>
      <c r="K60" s="341"/>
      <c r="L60" s="341"/>
      <c r="M60" s="351"/>
      <c r="N60" s="229"/>
      <c r="O60" s="124"/>
      <c r="P60" s="358"/>
      <c r="Q60" s="359"/>
      <c r="R60" s="350"/>
      <c r="S60" s="350"/>
      <c r="T60" s="350"/>
      <c r="U60" s="350"/>
      <c r="V60" s="341"/>
      <c r="W60" s="341"/>
      <c r="X60" s="341"/>
      <c r="Y60" s="341"/>
      <c r="Z60" s="341"/>
      <c r="AA60" s="341"/>
      <c r="AB60" s="341"/>
      <c r="AC60" s="341"/>
      <c r="AD60" s="351"/>
    </row>
    <row r="61" spans="1:32" ht="27" customHeight="1">
      <c r="A61" s="349"/>
      <c r="B61" s="350"/>
      <c r="C61" s="230"/>
      <c r="D61" s="230"/>
      <c r="E61" s="230"/>
      <c r="F61" s="341"/>
      <c r="G61" s="341"/>
      <c r="H61" s="341"/>
      <c r="I61" s="341"/>
      <c r="J61" s="341"/>
      <c r="K61" s="341"/>
      <c r="L61" s="341"/>
      <c r="M61" s="351"/>
      <c r="N61" s="229"/>
      <c r="O61" s="124"/>
      <c r="P61" s="350"/>
      <c r="Q61" s="350"/>
      <c r="R61" s="350"/>
      <c r="S61" s="350"/>
      <c r="T61" s="350"/>
      <c r="U61" s="350"/>
      <c r="V61" s="341"/>
      <c r="W61" s="341"/>
      <c r="X61" s="341"/>
      <c r="Y61" s="341"/>
      <c r="Z61" s="341"/>
      <c r="AA61" s="341"/>
      <c r="AB61" s="341"/>
      <c r="AC61" s="341"/>
      <c r="AD61" s="351"/>
      <c r="AF61" s="93">
        <f>8*3000</f>
        <v>24000</v>
      </c>
    </row>
    <row r="62" spans="1:32" ht="27" customHeight="1" thickBot="1">
      <c r="A62" s="352"/>
      <c r="B62" s="353"/>
      <c r="C62" s="232"/>
      <c r="D62" s="232"/>
      <c r="E62" s="232"/>
      <c r="F62" s="354"/>
      <c r="G62" s="354"/>
      <c r="H62" s="354"/>
      <c r="I62" s="354"/>
      <c r="J62" s="354"/>
      <c r="K62" s="354"/>
      <c r="L62" s="354"/>
      <c r="M62" s="355"/>
      <c r="N62" s="231"/>
      <c r="O62" s="120"/>
      <c r="P62" s="353"/>
      <c r="Q62" s="353"/>
      <c r="R62" s="353"/>
      <c r="S62" s="353"/>
      <c r="T62" s="353"/>
      <c r="U62" s="353"/>
      <c r="V62" s="356"/>
      <c r="W62" s="356"/>
      <c r="X62" s="356"/>
      <c r="Y62" s="356"/>
      <c r="Z62" s="356"/>
      <c r="AA62" s="356"/>
      <c r="AB62" s="356"/>
      <c r="AC62" s="356"/>
      <c r="AD62" s="357"/>
      <c r="AF62" s="93">
        <f>16*3000</f>
        <v>48000</v>
      </c>
    </row>
    <row r="63" spans="1:32" ht="27.75" thickBot="1">
      <c r="A63" s="347" t="s">
        <v>375</v>
      </c>
      <c r="B63" s="347"/>
      <c r="C63" s="347"/>
      <c r="D63" s="347"/>
      <c r="E63" s="347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3">
        <v>24000</v>
      </c>
    </row>
    <row r="64" spans="1:32" ht="29.25" customHeight="1" thickBot="1">
      <c r="A64" s="348" t="s">
        <v>113</v>
      </c>
      <c r="B64" s="345"/>
      <c r="C64" s="228" t="s">
        <v>2</v>
      </c>
      <c r="D64" s="228" t="s">
        <v>37</v>
      </c>
      <c r="E64" s="228" t="s">
        <v>3</v>
      </c>
      <c r="F64" s="345" t="s">
        <v>110</v>
      </c>
      <c r="G64" s="345"/>
      <c r="H64" s="345"/>
      <c r="I64" s="345"/>
      <c r="J64" s="345"/>
      <c r="K64" s="345" t="s">
        <v>39</v>
      </c>
      <c r="L64" s="345"/>
      <c r="M64" s="228" t="s">
        <v>40</v>
      </c>
      <c r="N64" s="345" t="s">
        <v>41</v>
      </c>
      <c r="O64" s="345"/>
      <c r="P64" s="342" t="s">
        <v>42</v>
      </c>
      <c r="Q64" s="344"/>
      <c r="R64" s="342" t="s">
        <v>43</v>
      </c>
      <c r="S64" s="343"/>
      <c r="T64" s="343"/>
      <c r="U64" s="343"/>
      <c r="V64" s="343"/>
      <c r="W64" s="343"/>
      <c r="X64" s="343"/>
      <c r="Y64" s="343"/>
      <c r="Z64" s="343"/>
      <c r="AA64" s="344"/>
      <c r="AB64" s="345" t="s">
        <v>44</v>
      </c>
      <c r="AC64" s="345"/>
      <c r="AD64" s="346"/>
      <c r="AF64" s="93">
        <f>SUM(AF61:AF63)</f>
        <v>96000</v>
      </c>
    </row>
    <row r="65" spans="1:32" ht="25.5" customHeight="1">
      <c r="A65" s="337">
        <v>1</v>
      </c>
      <c r="B65" s="338"/>
      <c r="C65" s="123" t="s">
        <v>366</v>
      </c>
      <c r="D65" s="224"/>
      <c r="E65" s="227"/>
      <c r="F65" s="339" t="s">
        <v>365</v>
      </c>
      <c r="G65" s="331"/>
      <c r="H65" s="331"/>
      <c r="I65" s="331"/>
      <c r="J65" s="331"/>
      <c r="K65" s="331">
        <v>7301</v>
      </c>
      <c r="L65" s="331"/>
      <c r="M65" s="54" t="s">
        <v>281</v>
      </c>
      <c r="N65" s="331">
        <v>11</v>
      </c>
      <c r="O65" s="331"/>
      <c r="P65" s="340">
        <v>50</v>
      </c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2</v>
      </c>
      <c r="B66" s="338"/>
      <c r="C66" s="123"/>
      <c r="D66" s="224"/>
      <c r="E66" s="227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3</v>
      </c>
      <c r="B67" s="338"/>
      <c r="C67" s="123"/>
      <c r="D67" s="224"/>
      <c r="E67" s="227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4</v>
      </c>
      <c r="B68" s="338"/>
      <c r="C68" s="123"/>
      <c r="D68" s="224"/>
      <c r="E68" s="227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5</v>
      </c>
      <c r="B69" s="338"/>
      <c r="C69" s="123"/>
      <c r="D69" s="224"/>
      <c r="E69" s="227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6</v>
      </c>
      <c r="B70" s="338"/>
      <c r="C70" s="123"/>
      <c r="D70" s="224"/>
      <c r="E70" s="227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5.5" customHeight="1">
      <c r="A71" s="337">
        <v>7</v>
      </c>
      <c r="B71" s="338"/>
      <c r="C71" s="123"/>
      <c r="D71" s="224"/>
      <c r="E71" s="227"/>
      <c r="F71" s="339"/>
      <c r="G71" s="331"/>
      <c r="H71" s="331"/>
      <c r="I71" s="331"/>
      <c r="J71" s="331"/>
      <c r="K71" s="331"/>
      <c r="L71" s="331"/>
      <c r="M71" s="54"/>
      <c r="N71" s="331"/>
      <c r="O71" s="331"/>
      <c r="P71" s="340"/>
      <c r="Q71" s="340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31"/>
      <c r="AC71" s="331"/>
      <c r="AD71" s="332"/>
      <c r="AF71" s="53"/>
    </row>
    <row r="72" spans="1:32" ht="25.5" customHeight="1">
      <c r="A72" s="337">
        <v>8</v>
      </c>
      <c r="B72" s="338"/>
      <c r="C72" s="123"/>
      <c r="D72" s="224"/>
      <c r="E72" s="227"/>
      <c r="F72" s="339"/>
      <c r="G72" s="331"/>
      <c r="H72" s="331"/>
      <c r="I72" s="331"/>
      <c r="J72" s="331"/>
      <c r="K72" s="331"/>
      <c r="L72" s="331"/>
      <c r="M72" s="54"/>
      <c r="N72" s="331"/>
      <c r="O72" s="331"/>
      <c r="P72" s="340"/>
      <c r="Q72" s="340"/>
      <c r="R72" s="341"/>
      <c r="S72" s="341"/>
      <c r="T72" s="341"/>
      <c r="U72" s="341"/>
      <c r="V72" s="341"/>
      <c r="W72" s="341"/>
      <c r="X72" s="341"/>
      <c r="Y72" s="341"/>
      <c r="Z72" s="341"/>
      <c r="AA72" s="341"/>
      <c r="AB72" s="331"/>
      <c r="AC72" s="331"/>
      <c r="AD72" s="332"/>
      <c r="AF72" s="53"/>
    </row>
    <row r="73" spans="1:32" ht="26.25" customHeight="1" thickBot="1">
      <c r="A73" s="311" t="s">
        <v>376</v>
      </c>
      <c r="B73" s="311"/>
      <c r="C73" s="311"/>
      <c r="D73" s="311"/>
      <c r="E73" s="311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12" t="s">
        <v>113</v>
      </c>
      <c r="B74" s="313"/>
      <c r="C74" s="226" t="s">
        <v>2</v>
      </c>
      <c r="D74" s="226" t="s">
        <v>37</v>
      </c>
      <c r="E74" s="226" t="s">
        <v>3</v>
      </c>
      <c r="F74" s="313" t="s">
        <v>38</v>
      </c>
      <c r="G74" s="313"/>
      <c r="H74" s="313"/>
      <c r="I74" s="313"/>
      <c r="J74" s="313"/>
      <c r="K74" s="333" t="s">
        <v>58</v>
      </c>
      <c r="L74" s="334"/>
      <c r="M74" s="334"/>
      <c r="N74" s="334"/>
      <c r="O74" s="334"/>
      <c r="P74" s="334"/>
      <c r="Q74" s="334"/>
      <c r="R74" s="334"/>
      <c r="S74" s="335"/>
      <c r="T74" s="313" t="s">
        <v>49</v>
      </c>
      <c r="U74" s="313"/>
      <c r="V74" s="333" t="s">
        <v>50</v>
      </c>
      <c r="W74" s="335"/>
      <c r="X74" s="334" t="s">
        <v>51</v>
      </c>
      <c r="Y74" s="334"/>
      <c r="Z74" s="334"/>
      <c r="AA74" s="334"/>
      <c r="AB74" s="334"/>
      <c r="AC74" s="334"/>
      <c r="AD74" s="336"/>
      <c r="AF74" s="53"/>
    </row>
    <row r="75" spans="1:32" ht="33.75" customHeight="1">
      <c r="A75" s="305">
        <v>1</v>
      </c>
      <c r="B75" s="306"/>
      <c r="C75" s="225" t="s">
        <v>114</v>
      </c>
      <c r="D75" s="225"/>
      <c r="E75" s="71" t="s">
        <v>246</v>
      </c>
      <c r="F75" s="320" t="s">
        <v>221</v>
      </c>
      <c r="G75" s="321"/>
      <c r="H75" s="321"/>
      <c r="I75" s="321"/>
      <c r="J75" s="322"/>
      <c r="K75" s="323" t="s">
        <v>301</v>
      </c>
      <c r="L75" s="324"/>
      <c r="M75" s="324"/>
      <c r="N75" s="324"/>
      <c r="O75" s="324"/>
      <c r="P75" s="324"/>
      <c r="Q75" s="324"/>
      <c r="R75" s="324"/>
      <c r="S75" s="325"/>
      <c r="T75" s="326">
        <v>43384</v>
      </c>
      <c r="U75" s="327"/>
      <c r="V75" s="328"/>
      <c r="W75" s="328"/>
      <c r="X75" s="329"/>
      <c r="Y75" s="329"/>
      <c r="Z75" s="329"/>
      <c r="AA75" s="329"/>
      <c r="AB75" s="329"/>
      <c r="AC75" s="329"/>
      <c r="AD75" s="330"/>
      <c r="AF75" s="53"/>
    </row>
    <row r="76" spans="1:32" ht="30" customHeight="1">
      <c r="A76" s="298">
        <f>A75+1</f>
        <v>2</v>
      </c>
      <c r="B76" s="299"/>
      <c r="C76" s="224"/>
      <c r="D76" s="224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ref="A77:A83" si="27">A76+1</f>
        <v>3</v>
      </c>
      <c r="B77" s="299"/>
      <c r="C77" s="224"/>
      <c r="D77" s="224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27"/>
        <v>4</v>
      </c>
      <c r="B78" s="299"/>
      <c r="C78" s="224"/>
      <c r="D78" s="224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27"/>
        <v>5</v>
      </c>
      <c r="B79" s="299"/>
      <c r="C79" s="224"/>
      <c r="D79" s="224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27"/>
        <v>6</v>
      </c>
      <c r="B80" s="299"/>
      <c r="C80" s="224"/>
      <c r="D80" s="224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27"/>
        <v>7</v>
      </c>
      <c r="B81" s="299"/>
      <c r="C81" s="224"/>
      <c r="D81" s="224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0" customHeight="1">
      <c r="A82" s="298">
        <f t="shared" si="27"/>
        <v>8</v>
      </c>
      <c r="B82" s="299"/>
      <c r="C82" s="224"/>
      <c r="D82" s="224"/>
      <c r="E82" s="35"/>
      <c r="F82" s="299"/>
      <c r="G82" s="299"/>
      <c r="H82" s="299"/>
      <c r="I82" s="299"/>
      <c r="J82" s="299"/>
      <c r="K82" s="314"/>
      <c r="L82" s="315"/>
      <c r="M82" s="315"/>
      <c r="N82" s="315"/>
      <c r="O82" s="315"/>
      <c r="P82" s="315"/>
      <c r="Q82" s="315"/>
      <c r="R82" s="315"/>
      <c r="S82" s="316"/>
      <c r="T82" s="317"/>
      <c r="U82" s="317"/>
      <c r="V82" s="317"/>
      <c r="W82" s="317"/>
      <c r="X82" s="318"/>
      <c r="Y82" s="318"/>
      <c r="Z82" s="318"/>
      <c r="AA82" s="318"/>
      <c r="AB82" s="318"/>
      <c r="AC82" s="318"/>
      <c r="AD82" s="319"/>
      <c r="AF82" s="53"/>
    </row>
    <row r="83" spans="1:32" ht="30" customHeight="1">
      <c r="A83" s="298">
        <f t="shared" si="27"/>
        <v>9</v>
      </c>
      <c r="B83" s="299"/>
      <c r="C83" s="224"/>
      <c r="D83" s="224"/>
      <c r="E83" s="35"/>
      <c r="F83" s="299"/>
      <c r="G83" s="299"/>
      <c r="H83" s="299"/>
      <c r="I83" s="299"/>
      <c r="J83" s="299"/>
      <c r="K83" s="314"/>
      <c r="L83" s="315"/>
      <c r="M83" s="315"/>
      <c r="N83" s="315"/>
      <c r="O83" s="315"/>
      <c r="P83" s="315"/>
      <c r="Q83" s="315"/>
      <c r="R83" s="315"/>
      <c r="S83" s="316"/>
      <c r="T83" s="317"/>
      <c r="U83" s="317"/>
      <c r="V83" s="317"/>
      <c r="W83" s="317"/>
      <c r="X83" s="318"/>
      <c r="Y83" s="318"/>
      <c r="Z83" s="318"/>
      <c r="AA83" s="318"/>
      <c r="AB83" s="318"/>
      <c r="AC83" s="318"/>
      <c r="AD83" s="319"/>
      <c r="AF83" s="53"/>
    </row>
    <row r="84" spans="1:32" ht="36" thickBot="1">
      <c r="A84" s="311" t="s">
        <v>377</v>
      </c>
      <c r="B84" s="311"/>
      <c r="C84" s="311"/>
      <c r="D84" s="311"/>
      <c r="E84" s="311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12" t="s">
        <v>113</v>
      </c>
      <c r="B85" s="313"/>
      <c r="C85" s="303" t="s">
        <v>52</v>
      </c>
      <c r="D85" s="303"/>
      <c r="E85" s="303" t="s">
        <v>53</v>
      </c>
      <c r="F85" s="303"/>
      <c r="G85" s="303"/>
      <c r="H85" s="303"/>
      <c r="I85" s="303"/>
      <c r="J85" s="303"/>
      <c r="K85" s="303" t="s">
        <v>54</v>
      </c>
      <c r="L85" s="303"/>
      <c r="M85" s="303"/>
      <c r="N85" s="303"/>
      <c r="O85" s="303"/>
      <c r="P85" s="303"/>
      <c r="Q85" s="303"/>
      <c r="R85" s="303"/>
      <c r="S85" s="303"/>
      <c r="T85" s="303" t="s">
        <v>55</v>
      </c>
      <c r="U85" s="303"/>
      <c r="V85" s="303" t="s">
        <v>56</v>
      </c>
      <c r="W85" s="303"/>
      <c r="X85" s="303"/>
      <c r="Y85" s="303" t="s">
        <v>51</v>
      </c>
      <c r="Z85" s="303"/>
      <c r="AA85" s="303"/>
      <c r="AB85" s="303"/>
      <c r="AC85" s="303"/>
      <c r="AD85" s="304"/>
      <c r="AF85" s="53"/>
    </row>
    <row r="86" spans="1:32" ht="30.75" customHeight="1">
      <c r="A86" s="305">
        <v>1</v>
      </c>
      <c r="B86" s="306"/>
      <c r="C86" s="307">
        <v>9</v>
      </c>
      <c r="D86" s="307"/>
      <c r="E86" s="307" t="s">
        <v>141</v>
      </c>
      <c r="F86" s="307"/>
      <c r="G86" s="307"/>
      <c r="H86" s="307"/>
      <c r="I86" s="307"/>
      <c r="J86" s="307"/>
      <c r="K86" s="307" t="s">
        <v>142</v>
      </c>
      <c r="L86" s="307"/>
      <c r="M86" s="307"/>
      <c r="N86" s="307"/>
      <c r="O86" s="307"/>
      <c r="P86" s="307"/>
      <c r="Q86" s="307"/>
      <c r="R86" s="307"/>
      <c r="S86" s="307"/>
      <c r="T86" s="307" t="s">
        <v>143</v>
      </c>
      <c r="U86" s="307"/>
      <c r="V86" s="308">
        <v>11307000</v>
      </c>
      <c r="W86" s="308"/>
      <c r="X86" s="308"/>
      <c r="Y86" s="309"/>
      <c r="Z86" s="309"/>
      <c r="AA86" s="309"/>
      <c r="AB86" s="309"/>
      <c r="AC86" s="309"/>
      <c r="AD86" s="310"/>
      <c r="AF86" s="53"/>
    </row>
    <row r="87" spans="1:32" ht="30.75" customHeight="1">
      <c r="A87" s="298">
        <v>2</v>
      </c>
      <c r="B87" s="299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1"/>
      <c r="U87" s="301"/>
      <c r="V87" s="302"/>
      <c r="W87" s="302"/>
      <c r="X87" s="302"/>
      <c r="Y87" s="291"/>
      <c r="Z87" s="291"/>
      <c r="AA87" s="291"/>
      <c r="AB87" s="291"/>
      <c r="AC87" s="291"/>
      <c r="AD87" s="292"/>
      <c r="AF87" s="53"/>
    </row>
    <row r="88" spans="1:32" ht="30.75" customHeight="1" thickBot="1">
      <c r="A88" s="293">
        <v>3</v>
      </c>
      <c r="B88" s="294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6"/>
      <c r="Z88" s="296"/>
      <c r="AA88" s="296"/>
      <c r="AB88" s="296"/>
      <c r="AC88" s="296"/>
      <c r="AD88" s="297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9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043E-EB56-4D74-9E16-FEC1BBD259C3}">
  <sheetPr>
    <pageSetUpPr fitToPage="1"/>
  </sheetPr>
  <dimension ref="A1:AF89"/>
  <sheetViews>
    <sheetView zoomScale="72" zoomScaleNormal="72" zoomScaleSheetLayoutView="70" workbookViewId="0">
      <selection activeCell="U14" sqref="U1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378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235" t="s">
        <v>17</v>
      </c>
      <c r="L5" s="235" t="s">
        <v>18</v>
      </c>
      <c r="M5" s="235" t="s">
        <v>19</v>
      </c>
      <c r="N5" s="23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3" si="0">L6-N6</f>
        <v>0</v>
      </c>
      <c r="N6" s="16">
        <v>0</v>
      </c>
      <c r="O6" s="62" t="str">
        <f t="shared" ref="O6:O24" si="1">IF(L6=0,"0",N6/L6)</f>
        <v>0</v>
      </c>
      <c r="P6" s="42" t="str">
        <f t="shared" ref="P6:P23" si="2">IF(L6=0,"0",(24-Q6))</f>
        <v>0</v>
      </c>
      <c r="Q6" s="43">
        <f t="shared" ref="Q6:Q23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3" si="4">IF(J6=0,"0",(L6/J6))</f>
        <v>0</v>
      </c>
      <c r="AC6" s="9">
        <f t="shared" ref="AC6:AC23" si="5">IF(P6=0,"0",(P6/24))</f>
        <v>0</v>
      </c>
      <c r="AD6" s="10">
        <f t="shared" ref="AD6:AD23" si="6">AC6*AB6*(1-O6)</f>
        <v>0</v>
      </c>
      <c r="AE6" s="39">
        <f t="shared" ref="AE6:AE23" si="7">$AD$24</f>
        <v>0.27775</v>
      </c>
      <c r="AF6" s="93">
        <f t="shared" ref="AF6:AF23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0.27775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136</v>
      </c>
      <c r="D8" s="55" t="s">
        <v>370</v>
      </c>
      <c r="E8" s="57" t="s">
        <v>356</v>
      </c>
      <c r="F8" s="33" t="s">
        <v>210</v>
      </c>
      <c r="G8" s="36">
        <v>1</v>
      </c>
      <c r="H8" s="38">
        <v>25</v>
      </c>
      <c r="I8" s="7">
        <v>1500</v>
      </c>
      <c r="J8" s="5">
        <v>1687</v>
      </c>
      <c r="K8" s="15">
        <f>L8+1687</f>
        <v>1687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0.27775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125</v>
      </c>
      <c r="D9" s="55" t="s">
        <v>131</v>
      </c>
      <c r="E9" s="57" t="s">
        <v>359</v>
      </c>
      <c r="F9" s="33" t="s">
        <v>233</v>
      </c>
      <c r="G9" s="36">
        <v>1</v>
      </c>
      <c r="H9" s="38">
        <v>25</v>
      </c>
      <c r="I9" s="7">
        <v>3000</v>
      </c>
      <c r="J9" s="5">
        <v>1451</v>
      </c>
      <c r="K9" s="15">
        <f>L9+4225</f>
        <v>5676</v>
      </c>
      <c r="L9" s="15">
        <f>1451</f>
        <v>1451</v>
      </c>
      <c r="M9" s="16">
        <f t="shared" si="0"/>
        <v>1451</v>
      </c>
      <c r="N9" s="16">
        <v>0</v>
      </c>
      <c r="O9" s="62">
        <f t="shared" si="1"/>
        <v>0</v>
      </c>
      <c r="P9" s="42">
        <f t="shared" si="2"/>
        <v>6</v>
      </c>
      <c r="Q9" s="43">
        <f t="shared" si="3"/>
        <v>18</v>
      </c>
      <c r="R9" s="7"/>
      <c r="S9" s="6"/>
      <c r="T9" s="17"/>
      <c r="U9" s="17"/>
      <c r="V9" s="18"/>
      <c r="W9" s="19">
        <v>18</v>
      </c>
      <c r="X9" s="17"/>
      <c r="Y9" s="20"/>
      <c r="Z9" s="20"/>
      <c r="AA9" s="21"/>
      <c r="AB9" s="8">
        <f t="shared" si="4"/>
        <v>1</v>
      </c>
      <c r="AC9" s="9">
        <f t="shared" si="5"/>
        <v>0.25</v>
      </c>
      <c r="AD9" s="10">
        <f t="shared" si="6"/>
        <v>0.25</v>
      </c>
      <c r="AE9" s="39">
        <f t="shared" si="7"/>
        <v>0.27775</v>
      </c>
      <c r="AF9" s="93">
        <f t="shared" si="8"/>
        <v>4</v>
      </c>
    </row>
    <row r="10" spans="1:32" ht="27" customHeight="1">
      <c r="A10" s="109">
        <v>4</v>
      </c>
      <c r="B10" s="11" t="s">
        <v>57</v>
      </c>
      <c r="C10" s="37" t="s">
        <v>114</v>
      </c>
      <c r="D10" s="55" t="s">
        <v>224</v>
      </c>
      <c r="E10" s="57" t="s">
        <v>294</v>
      </c>
      <c r="F10" s="33" t="s">
        <v>146</v>
      </c>
      <c r="G10" s="36">
        <v>1</v>
      </c>
      <c r="H10" s="38">
        <v>25</v>
      </c>
      <c r="I10" s="7">
        <v>2500</v>
      </c>
      <c r="J10" s="5">
        <v>3070</v>
      </c>
      <c r="K10" s="15">
        <f>L10</f>
        <v>3070</v>
      </c>
      <c r="L10" s="15">
        <f>426+2644</f>
        <v>3070</v>
      </c>
      <c r="M10" s="16">
        <f t="shared" ref="M10" si="9">L10-N10</f>
        <v>3070</v>
      </c>
      <c r="N10" s="16">
        <v>0</v>
      </c>
      <c r="O10" s="62">
        <f t="shared" ref="O10" si="10">IF(L10=0,"0",N10/L10)</f>
        <v>0</v>
      </c>
      <c r="P10" s="42">
        <f t="shared" ref="P10" si="11">IF(L10=0,"0",(24-Q10))</f>
        <v>16</v>
      </c>
      <c r="Q10" s="43">
        <f t="shared" ref="Q10" si="12">SUM(R10:AA10)</f>
        <v>8</v>
      </c>
      <c r="R10" s="7"/>
      <c r="S10" s="6"/>
      <c r="T10" s="17">
        <v>8</v>
      </c>
      <c r="U10" s="17"/>
      <c r="V10" s="18"/>
      <c r="W10" s="19"/>
      <c r="X10" s="17"/>
      <c r="Y10" s="20"/>
      <c r="Z10" s="20"/>
      <c r="AA10" s="21"/>
      <c r="AB10" s="8">
        <f t="shared" ref="AB10" si="13">IF(J10=0,"0",(L10/J10))</f>
        <v>1</v>
      </c>
      <c r="AC10" s="9">
        <f t="shared" ref="AC10" si="14">IF(P10=0,"0",(P10/24))</f>
        <v>0.66666666666666663</v>
      </c>
      <c r="AD10" s="10">
        <f t="shared" ref="AD10" si="15">AC10*AB10*(1-O10)</f>
        <v>0.66666666666666663</v>
      </c>
      <c r="AE10" s="39">
        <f t="shared" si="7"/>
        <v>0.27775</v>
      </c>
      <c r="AF10" s="93">
        <f t="shared" ref="AF10" si="16">A10</f>
        <v>4</v>
      </c>
    </row>
    <row r="11" spans="1:32" ht="27" customHeight="1">
      <c r="A11" s="109">
        <v>5</v>
      </c>
      <c r="B11" s="11" t="s">
        <v>57</v>
      </c>
      <c r="C11" s="11" t="s">
        <v>125</v>
      </c>
      <c r="D11" s="55" t="s">
        <v>200</v>
      </c>
      <c r="E11" s="57" t="s">
        <v>360</v>
      </c>
      <c r="F11" s="12" t="s">
        <v>166</v>
      </c>
      <c r="G11" s="12">
        <v>32</v>
      </c>
      <c r="H11" s="13">
        <v>25</v>
      </c>
      <c r="I11" s="7">
        <v>50000</v>
      </c>
      <c r="J11" s="14">
        <v>44800</v>
      </c>
      <c r="K11" s="15">
        <f>L11+174432</f>
        <v>219168</v>
      </c>
      <c r="L11" s="15">
        <f>1398*32</f>
        <v>44736</v>
      </c>
      <c r="M11" s="16">
        <f t="shared" si="0"/>
        <v>44736</v>
      </c>
      <c r="N11" s="16">
        <v>0</v>
      </c>
      <c r="O11" s="62">
        <f t="shared" si="1"/>
        <v>0</v>
      </c>
      <c r="P11" s="42">
        <f t="shared" si="2"/>
        <v>7</v>
      </c>
      <c r="Q11" s="43">
        <f t="shared" si="3"/>
        <v>17</v>
      </c>
      <c r="R11" s="7"/>
      <c r="S11" s="6"/>
      <c r="T11" s="17"/>
      <c r="U11" s="17"/>
      <c r="V11" s="18"/>
      <c r="W11" s="19">
        <v>17</v>
      </c>
      <c r="X11" s="17"/>
      <c r="Y11" s="20"/>
      <c r="Z11" s="20"/>
      <c r="AA11" s="21"/>
      <c r="AB11" s="8">
        <f t="shared" si="4"/>
        <v>0.99857142857142855</v>
      </c>
      <c r="AC11" s="9">
        <f t="shared" si="5"/>
        <v>0.29166666666666669</v>
      </c>
      <c r="AD11" s="10">
        <f t="shared" si="6"/>
        <v>0.29125000000000001</v>
      </c>
      <c r="AE11" s="39">
        <f t="shared" si="7"/>
        <v>0.27775</v>
      </c>
      <c r="AF11" s="93">
        <f t="shared" si="8"/>
        <v>5</v>
      </c>
    </row>
    <row r="12" spans="1:32" ht="27" customHeight="1">
      <c r="A12" s="109">
        <v>5</v>
      </c>
      <c r="B12" s="11" t="s">
        <v>57</v>
      </c>
      <c r="C12" s="11" t="s">
        <v>125</v>
      </c>
      <c r="D12" s="55" t="s">
        <v>200</v>
      </c>
      <c r="E12" s="57" t="s">
        <v>381</v>
      </c>
      <c r="F12" s="12" t="s">
        <v>147</v>
      </c>
      <c r="G12" s="12">
        <v>16</v>
      </c>
      <c r="H12" s="13">
        <v>25</v>
      </c>
      <c r="I12" s="7">
        <v>100000</v>
      </c>
      <c r="J12" s="14">
        <v>42304</v>
      </c>
      <c r="K12" s="15">
        <f>L12</f>
        <v>42304</v>
      </c>
      <c r="L12" s="15">
        <f>2644*16</f>
        <v>42304</v>
      </c>
      <c r="M12" s="16">
        <f t="shared" ref="M12" si="17">L12-N12</f>
        <v>42304</v>
      </c>
      <c r="N12" s="16">
        <v>0</v>
      </c>
      <c r="O12" s="62">
        <f t="shared" ref="O12" si="18">IF(L12=0,"0",N12/L12)</f>
        <v>0</v>
      </c>
      <c r="P12" s="42">
        <f t="shared" ref="P12" si="19">IF(L12=0,"0",(24-Q12))</f>
        <v>14</v>
      </c>
      <c r="Q12" s="43">
        <f t="shared" ref="Q12" si="20">SUM(R12:AA12)</f>
        <v>10</v>
      </c>
      <c r="R12" s="7"/>
      <c r="S12" s="6"/>
      <c r="T12" s="17">
        <v>10</v>
      </c>
      <c r="U12" s="17"/>
      <c r="V12" s="18"/>
      <c r="W12" s="19"/>
      <c r="X12" s="17"/>
      <c r="Y12" s="20"/>
      <c r="Z12" s="20"/>
      <c r="AA12" s="21"/>
      <c r="AB12" s="8">
        <f t="shared" ref="AB12" si="21">IF(J12=0,"0",(L12/J12))</f>
        <v>1</v>
      </c>
      <c r="AC12" s="9">
        <f t="shared" ref="AC12" si="22">IF(P12=0,"0",(P12/24))</f>
        <v>0.58333333333333337</v>
      </c>
      <c r="AD12" s="10">
        <f t="shared" ref="AD12" si="23">AC12*AB12*(1-O12)</f>
        <v>0.58333333333333337</v>
      </c>
      <c r="AE12" s="39">
        <f t="shared" si="7"/>
        <v>0.27775</v>
      </c>
      <c r="AF12" s="93">
        <f t="shared" ref="AF12" si="24">A12</f>
        <v>5</v>
      </c>
    </row>
    <row r="13" spans="1:32" ht="27" customHeight="1">
      <c r="A13" s="109">
        <v>6</v>
      </c>
      <c r="B13" s="11" t="s">
        <v>57</v>
      </c>
      <c r="C13" s="37" t="s">
        <v>136</v>
      </c>
      <c r="D13" s="55" t="s">
        <v>131</v>
      </c>
      <c r="E13" s="57" t="s">
        <v>154</v>
      </c>
      <c r="F13" s="12" t="s">
        <v>144</v>
      </c>
      <c r="G13" s="12">
        <v>1</v>
      </c>
      <c r="H13" s="13">
        <v>25</v>
      </c>
      <c r="I13" s="34">
        <v>6500</v>
      </c>
      <c r="J13" s="5">
        <v>2357</v>
      </c>
      <c r="K13" s="15">
        <f>L13+5687+2357</f>
        <v>8044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0.27775</v>
      </c>
      <c r="AF13" s="93">
        <f t="shared" si="8"/>
        <v>6</v>
      </c>
    </row>
    <row r="14" spans="1:32" ht="27" customHeight="1">
      <c r="A14" s="109">
        <v>7</v>
      </c>
      <c r="B14" s="11" t="s">
        <v>57</v>
      </c>
      <c r="C14" s="11" t="s">
        <v>125</v>
      </c>
      <c r="D14" s="55" t="s">
        <v>130</v>
      </c>
      <c r="E14" s="57" t="s">
        <v>157</v>
      </c>
      <c r="F14" s="12" t="s">
        <v>128</v>
      </c>
      <c r="G14" s="12">
        <v>1</v>
      </c>
      <c r="H14" s="13">
        <v>25</v>
      </c>
      <c r="I14" s="7">
        <v>20000</v>
      </c>
      <c r="J14" s="14">
        <v>3050</v>
      </c>
      <c r="K14" s="15">
        <f>L14</f>
        <v>3050</v>
      </c>
      <c r="L14" s="15">
        <f>301+2749</f>
        <v>3050</v>
      </c>
      <c r="M14" s="16">
        <f t="shared" si="0"/>
        <v>3050</v>
      </c>
      <c r="N14" s="16">
        <v>0</v>
      </c>
      <c r="O14" s="62">
        <f t="shared" si="1"/>
        <v>0</v>
      </c>
      <c r="P14" s="42">
        <f t="shared" si="2"/>
        <v>18</v>
      </c>
      <c r="Q14" s="43">
        <f t="shared" si="3"/>
        <v>6</v>
      </c>
      <c r="R14" s="7"/>
      <c r="S14" s="6"/>
      <c r="T14" s="17">
        <v>6</v>
      </c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0.75</v>
      </c>
      <c r="AD14" s="10">
        <f t="shared" si="6"/>
        <v>0.75</v>
      </c>
      <c r="AE14" s="39">
        <f t="shared" si="7"/>
        <v>0.27775</v>
      </c>
      <c r="AF14" s="93">
        <f t="shared" si="8"/>
        <v>7</v>
      </c>
    </row>
    <row r="15" spans="1:32" ht="27" customHeight="1">
      <c r="A15" s="109">
        <v>8</v>
      </c>
      <c r="B15" s="11" t="s">
        <v>57</v>
      </c>
      <c r="C15" s="11" t="s">
        <v>125</v>
      </c>
      <c r="D15" s="55" t="s">
        <v>123</v>
      </c>
      <c r="E15" s="57" t="s">
        <v>295</v>
      </c>
      <c r="F15" s="12" t="s">
        <v>146</v>
      </c>
      <c r="G15" s="12">
        <v>1</v>
      </c>
      <c r="H15" s="13">
        <v>25</v>
      </c>
      <c r="I15" s="7">
        <v>35000</v>
      </c>
      <c r="J15" s="14">
        <v>5081</v>
      </c>
      <c r="K15" s="15">
        <f>L15+761+4519+1386+1615+5006+5081</f>
        <v>18368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0.27775</v>
      </c>
      <c r="AF15" s="93">
        <f t="shared" si="8"/>
        <v>8</v>
      </c>
    </row>
    <row r="16" spans="1:32" ht="27" customHeight="1">
      <c r="A16" s="108">
        <v>9</v>
      </c>
      <c r="B16" s="11" t="s">
        <v>57</v>
      </c>
      <c r="C16" s="37" t="s">
        <v>114</v>
      </c>
      <c r="D16" s="55" t="s">
        <v>123</v>
      </c>
      <c r="E16" s="57" t="s">
        <v>139</v>
      </c>
      <c r="F16" s="33" t="s">
        <v>138</v>
      </c>
      <c r="G16" s="36">
        <v>1</v>
      </c>
      <c r="H16" s="38">
        <v>25</v>
      </c>
      <c r="I16" s="7">
        <v>1000</v>
      </c>
      <c r="J16" s="5">
        <v>1068</v>
      </c>
      <c r="K16" s="15">
        <f>L16+1068</f>
        <v>1068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>
        <v>24</v>
      </c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0.27775</v>
      </c>
      <c r="AF16" s="93">
        <f t="shared" si="8"/>
        <v>9</v>
      </c>
    </row>
    <row r="17" spans="1:32" ht="27" customHeight="1">
      <c r="A17" s="108">
        <v>10</v>
      </c>
      <c r="B17" s="11" t="s">
        <v>57</v>
      </c>
      <c r="C17" s="11" t="s">
        <v>136</v>
      </c>
      <c r="D17" s="55" t="s">
        <v>131</v>
      </c>
      <c r="E17" s="57" t="s">
        <v>195</v>
      </c>
      <c r="F17" s="12" t="s">
        <v>207</v>
      </c>
      <c r="G17" s="12">
        <v>3</v>
      </c>
      <c r="H17" s="13">
        <v>24</v>
      </c>
      <c r="I17" s="34">
        <v>6000</v>
      </c>
      <c r="J17" s="14">
        <v>7454</v>
      </c>
      <c r="K17" s="15">
        <f>L17+7545</f>
        <v>7545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0.27775</v>
      </c>
      <c r="AF17" s="93">
        <f t="shared" si="8"/>
        <v>10</v>
      </c>
    </row>
    <row r="18" spans="1:32" ht="27" customHeight="1">
      <c r="A18" s="108">
        <v>11</v>
      </c>
      <c r="B18" s="11" t="s">
        <v>57</v>
      </c>
      <c r="C18" s="37" t="s">
        <v>125</v>
      </c>
      <c r="D18" s="55" t="s">
        <v>149</v>
      </c>
      <c r="E18" s="57" t="s">
        <v>353</v>
      </c>
      <c r="F18" s="33" t="s">
        <v>147</v>
      </c>
      <c r="G18" s="36">
        <v>2</v>
      </c>
      <c r="H18" s="38">
        <v>24</v>
      </c>
      <c r="I18" s="7">
        <v>2000</v>
      </c>
      <c r="J18" s="5">
        <v>6912</v>
      </c>
      <c r="K18" s="15">
        <f>L18+6912</f>
        <v>6912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0.27775</v>
      </c>
      <c r="AF18" s="93">
        <f t="shared" si="8"/>
        <v>11</v>
      </c>
    </row>
    <row r="19" spans="1:32" ht="27" customHeight="1">
      <c r="A19" s="108">
        <v>12</v>
      </c>
      <c r="B19" s="11" t="s">
        <v>57</v>
      </c>
      <c r="C19" s="37" t="s">
        <v>125</v>
      </c>
      <c r="D19" s="55" t="s">
        <v>285</v>
      </c>
      <c r="E19" s="57" t="s">
        <v>344</v>
      </c>
      <c r="F19" s="12" t="s">
        <v>354</v>
      </c>
      <c r="G19" s="12">
        <v>1</v>
      </c>
      <c r="H19" s="13">
        <v>24</v>
      </c>
      <c r="I19" s="34">
        <v>300</v>
      </c>
      <c r="J19" s="14">
        <v>406</v>
      </c>
      <c r="K19" s="15">
        <f>L19+406</f>
        <v>406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0.27775</v>
      </c>
      <c r="AF19" s="93">
        <f t="shared" si="8"/>
        <v>12</v>
      </c>
    </row>
    <row r="20" spans="1:32" ht="27" customHeight="1">
      <c r="A20" s="109">
        <v>13</v>
      </c>
      <c r="B20" s="11" t="s">
        <v>57</v>
      </c>
      <c r="C20" s="37" t="s">
        <v>125</v>
      </c>
      <c r="D20" s="55" t="s">
        <v>131</v>
      </c>
      <c r="E20" s="57" t="s">
        <v>160</v>
      </c>
      <c r="F20" s="12" t="s">
        <v>382</v>
      </c>
      <c r="G20" s="36">
        <v>1</v>
      </c>
      <c r="H20" s="38">
        <v>24</v>
      </c>
      <c r="I20" s="7">
        <v>20000</v>
      </c>
      <c r="J20" s="5">
        <v>3906</v>
      </c>
      <c r="K20" s="15">
        <f>L20</f>
        <v>3906</v>
      </c>
      <c r="L20" s="15">
        <f>671+3235</f>
        <v>3906</v>
      </c>
      <c r="M20" s="16">
        <f t="shared" si="0"/>
        <v>3906</v>
      </c>
      <c r="N20" s="16">
        <v>0</v>
      </c>
      <c r="O20" s="62">
        <f t="shared" si="1"/>
        <v>0</v>
      </c>
      <c r="P20" s="42">
        <f t="shared" si="2"/>
        <v>19</v>
      </c>
      <c r="Q20" s="43">
        <f t="shared" si="3"/>
        <v>5</v>
      </c>
      <c r="R20" s="7"/>
      <c r="S20" s="6"/>
      <c r="T20" s="17">
        <v>5</v>
      </c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0.79166666666666663</v>
      </c>
      <c r="AD20" s="10">
        <f t="shared" si="6"/>
        <v>0.79166666666666663</v>
      </c>
      <c r="AE20" s="39">
        <f t="shared" si="7"/>
        <v>0.27775</v>
      </c>
      <c r="AF20" s="93">
        <f t="shared" si="8"/>
        <v>13</v>
      </c>
    </row>
    <row r="21" spans="1:32" ht="27" customHeight="1">
      <c r="A21" s="109">
        <v>14</v>
      </c>
      <c r="B21" s="11" t="s">
        <v>57</v>
      </c>
      <c r="C21" s="11" t="s">
        <v>125</v>
      </c>
      <c r="D21" s="55" t="s">
        <v>123</v>
      </c>
      <c r="E21" s="57" t="s">
        <v>383</v>
      </c>
      <c r="F21" s="12" t="s">
        <v>146</v>
      </c>
      <c r="G21" s="36">
        <v>1</v>
      </c>
      <c r="H21" s="13">
        <v>24</v>
      </c>
      <c r="I21" s="7">
        <v>1200</v>
      </c>
      <c r="J21" s="14">
        <v>1423</v>
      </c>
      <c r="K21" s="15">
        <f>L21</f>
        <v>1423</v>
      </c>
      <c r="L21" s="15">
        <f>1298+125</f>
        <v>1423</v>
      </c>
      <c r="M21" s="16">
        <f t="shared" ref="M21" si="25">L21-N21</f>
        <v>1423</v>
      </c>
      <c r="N21" s="16">
        <v>0</v>
      </c>
      <c r="O21" s="62">
        <f t="shared" ref="O21" si="26">IF(L21=0,"0",N21/L21)</f>
        <v>0</v>
      </c>
      <c r="P21" s="42">
        <f t="shared" ref="P21" si="27">IF(L21=0,"0",(24-Q21))</f>
        <v>8</v>
      </c>
      <c r="Q21" s="43">
        <f t="shared" ref="Q21" si="28">SUM(R21:AA21)</f>
        <v>16</v>
      </c>
      <c r="R21" s="7"/>
      <c r="S21" s="6"/>
      <c r="T21" s="17"/>
      <c r="U21" s="17"/>
      <c r="V21" s="18"/>
      <c r="W21" s="19">
        <v>16</v>
      </c>
      <c r="X21" s="17"/>
      <c r="Y21" s="20"/>
      <c r="Z21" s="20"/>
      <c r="AA21" s="21"/>
      <c r="AB21" s="8">
        <f t="shared" ref="AB21" si="29">IF(J21=0,"0",(L21/J21))</f>
        <v>1</v>
      </c>
      <c r="AC21" s="9">
        <f t="shared" ref="AC21" si="30">IF(P21=0,"0",(P21/24))</f>
        <v>0.33333333333333331</v>
      </c>
      <c r="AD21" s="10">
        <f t="shared" ref="AD21" si="31">AC21*AB21*(1-O21)</f>
        <v>0.33333333333333331</v>
      </c>
      <c r="AE21" s="39">
        <f t="shared" si="7"/>
        <v>0.27775</v>
      </c>
      <c r="AF21" s="93">
        <f t="shared" ref="AF21" si="32">A21</f>
        <v>14</v>
      </c>
    </row>
    <row r="22" spans="1:32" ht="27" customHeight="1">
      <c r="A22" s="109">
        <v>14</v>
      </c>
      <c r="B22" s="11" t="s">
        <v>57</v>
      </c>
      <c r="C22" s="11" t="s">
        <v>114</v>
      </c>
      <c r="D22" s="55" t="s">
        <v>219</v>
      </c>
      <c r="E22" s="57" t="s">
        <v>384</v>
      </c>
      <c r="F22" s="12">
        <v>7301</v>
      </c>
      <c r="G22" s="36">
        <v>1</v>
      </c>
      <c r="H22" s="13">
        <v>24</v>
      </c>
      <c r="I22" s="7">
        <v>6500</v>
      </c>
      <c r="J22" s="14">
        <v>2390</v>
      </c>
      <c r="K22" s="15">
        <f>L22</f>
        <v>2390</v>
      </c>
      <c r="L22" s="15">
        <f>2390</f>
        <v>2390</v>
      </c>
      <c r="M22" s="16">
        <f t="shared" si="0"/>
        <v>2390</v>
      </c>
      <c r="N22" s="16">
        <v>0</v>
      </c>
      <c r="O22" s="62">
        <f t="shared" si="1"/>
        <v>0</v>
      </c>
      <c r="P22" s="42">
        <f t="shared" si="2"/>
        <v>12</v>
      </c>
      <c r="Q22" s="43">
        <f t="shared" si="3"/>
        <v>12</v>
      </c>
      <c r="R22" s="7"/>
      <c r="S22" s="6"/>
      <c r="T22" s="17">
        <v>12</v>
      </c>
      <c r="U22" s="17"/>
      <c r="V22" s="18"/>
      <c r="W22" s="19"/>
      <c r="X22" s="17"/>
      <c r="Y22" s="20"/>
      <c r="Z22" s="20"/>
      <c r="AA22" s="21"/>
      <c r="AB22" s="8">
        <f t="shared" si="4"/>
        <v>1</v>
      </c>
      <c r="AC22" s="9">
        <f t="shared" si="5"/>
        <v>0.5</v>
      </c>
      <c r="AD22" s="10">
        <f t="shared" si="6"/>
        <v>0.5</v>
      </c>
      <c r="AE22" s="39">
        <f t="shared" si="7"/>
        <v>0.27775</v>
      </c>
      <c r="AF22" s="93">
        <f t="shared" si="8"/>
        <v>14</v>
      </c>
    </row>
    <row r="23" spans="1:32" ht="27" customHeight="1" thickBot="1">
      <c r="A23" s="109">
        <v>15</v>
      </c>
      <c r="B23" s="11" t="s">
        <v>57</v>
      </c>
      <c r="C23" s="11" t="s">
        <v>121</v>
      </c>
      <c r="D23" s="55"/>
      <c r="E23" s="56" t="s">
        <v>151</v>
      </c>
      <c r="F23" s="12" t="s">
        <v>122</v>
      </c>
      <c r="G23" s="12">
        <v>4</v>
      </c>
      <c r="H23" s="38">
        <v>20</v>
      </c>
      <c r="I23" s="7">
        <v>300000</v>
      </c>
      <c r="J23" s="14">
        <v>4524</v>
      </c>
      <c r="K23" s="15">
        <f>L23+20068+24564+48544+43996+30716+19196+21560+23324+19612+4524</f>
        <v>256104</v>
      </c>
      <c r="L23" s="15"/>
      <c r="M23" s="16">
        <f t="shared" si="0"/>
        <v>0</v>
      </c>
      <c r="N23" s="16">
        <v>0</v>
      </c>
      <c r="O23" s="62" t="str">
        <f t="shared" si="1"/>
        <v>0</v>
      </c>
      <c r="P23" s="42" t="str">
        <f t="shared" si="2"/>
        <v>0</v>
      </c>
      <c r="Q23" s="43">
        <f t="shared" si="3"/>
        <v>24</v>
      </c>
      <c r="R23" s="7"/>
      <c r="S23" s="6"/>
      <c r="T23" s="17"/>
      <c r="U23" s="17"/>
      <c r="V23" s="18"/>
      <c r="W23" s="19">
        <v>24</v>
      </c>
      <c r="X23" s="17"/>
      <c r="Y23" s="20"/>
      <c r="Z23" s="20"/>
      <c r="AA23" s="21"/>
      <c r="AB23" s="8">
        <f t="shared" si="4"/>
        <v>0</v>
      </c>
      <c r="AC23" s="9">
        <f t="shared" si="5"/>
        <v>0</v>
      </c>
      <c r="AD23" s="10">
        <f t="shared" si="6"/>
        <v>0</v>
      </c>
      <c r="AE23" s="39">
        <f t="shared" si="7"/>
        <v>0.27775</v>
      </c>
      <c r="AF23" s="93">
        <f t="shared" si="8"/>
        <v>15</v>
      </c>
    </row>
    <row r="24" spans="1:32" ht="31.5" customHeight="1" thickBot="1">
      <c r="A24" s="362" t="s">
        <v>34</v>
      </c>
      <c r="B24" s="363"/>
      <c r="C24" s="363"/>
      <c r="D24" s="363"/>
      <c r="E24" s="363"/>
      <c r="F24" s="363"/>
      <c r="G24" s="363"/>
      <c r="H24" s="364"/>
      <c r="I24" s="25">
        <f t="shared" ref="I24:N24" si="33">SUM(I6:I23)</f>
        <v>555500</v>
      </c>
      <c r="J24" s="22">
        <f t="shared" si="33"/>
        <v>131883</v>
      </c>
      <c r="K24" s="23">
        <f t="shared" si="33"/>
        <v>581121</v>
      </c>
      <c r="L24" s="24">
        <f t="shared" si="33"/>
        <v>102330</v>
      </c>
      <c r="M24" s="23">
        <f t="shared" si="33"/>
        <v>102330</v>
      </c>
      <c r="N24" s="24">
        <f t="shared" si="33"/>
        <v>0</v>
      </c>
      <c r="O24" s="44">
        <f t="shared" si="1"/>
        <v>0</v>
      </c>
      <c r="P24" s="45">
        <f t="shared" ref="P24:AA24" si="34">SUM(P6:P23)</f>
        <v>100</v>
      </c>
      <c r="Q24" s="46">
        <f t="shared" si="34"/>
        <v>332</v>
      </c>
      <c r="R24" s="26">
        <f t="shared" si="34"/>
        <v>48</v>
      </c>
      <c r="S24" s="27">
        <f t="shared" si="34"/>
        <v>24</v>
      </c>
      <c r="T24" s="27">
        <f t="shared" si="34"/>
        <v>41</v>
      </c>
      <c r="U24" s="27">
        <f t="shared" si="34"/>
        <v>0</v>
      </c>
      <c r="V24" s="28">
        <f t="shared" si="34"/>
        <v>0</v>
      </c>
      <c r="W24" s="29">
        <f t="shared" si="34"/>
        <v>219</v>
      </c>
      <c r="X24" s="30">
        <f t="shared" si="34"/>
        <v>0</v>
      </c>
      <c r="Y24" s="30">
        <f t="shared" si="34"/>
        <v>0</v>
      </c>
      <c r="Z24" s="30">
        <f t="shared" si="34"/>
        <v>0</v>
      </c>
      <c r="AA24" s="30">
        <f t="shared" si="34"/>
        <v>0</v>
      </c>
      <c r="AB24" s="31">
        <f>SUM(AB6:AB23)/15</f>
        <v>0.53323809523809529</v>
      </c>
      <c r="AC24" s="4">
        <f>SUM(AC6:AC23)/15</f>
        <v>0.27777777777777773</v>
      </c>
      <c r="AD24" s="4">
        <f>SUM(AD6:AD23)/15</f>
        <v>0.27775</v>
      </c>
      <c r="AE24" s="32"/>
    </row>
    <row r="26" spans="1:32" ht="18.75">
      <c r="A26" s="2"/>
      <c r="B26" s="2" t="s">
        <v>35</v>
      </c>
      <c r="C26" s="2"/>
      <c r="D26" s="2"/>
      <c r="E26" s="2"/>
      <c r="F26" s="2"/>
      <c r="G26" s="2"/>
      <c r="H26" s="3"/>
      <c r="I26" s="3"/>
      <c r="J26" s="2"/>
      <c r="K26" s="2"/>
      <c r="L26" s="2"/>
      <c r="M26" s="2"/>
      <c r="N26" s="2" t="s">
        <v>36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1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</row>
    <row r="35" spans="1:3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94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14.2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F40" s="53"/>
    </row>
    <row r="41" spans="1:32" ht="27">
      <c r="A41" s="63"/>
      <c r="B41" s="63"/>
      <c r="C41" s="63"/>
      <c r="D41" s="63"/>
      <c r="E41" s="63"/>
      <c r="F41" s="64"/>
      <c r="G41" s="64"/>
      <c r="H41" s="65"/>
      <c r="I41" s="65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F41" s="53"/>
    </row>
    <row r="42" spans="1:32" ht="29.25" customHeight="1">
      <c r="A42" s="66"/>
      <c r="B42" s="66"/>
      <c r="C42" s="67"/>
      <c r="D42" s="67"/>
      <c r="E42" s="67"/>
      <c r="F42" s="66"/>
      <c r="G42" s="66"/>
      <c r="H42" s="66"/>
      <c r="I42" s="66"/>
      <c r="J42" s="66"/>
      <c r="K42" s="66"/>
      <c r="L42" s="66"/>
      <c r="M42" s="67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29.25" customHeight="1">
      <c r="A49" s="66"/>
      <c r="B49" s="66"/>
      <c r="C49" s="68"/>
      <c r="D49" s="67"/>
      <c r="E49" s="67"/>
      <c r="F49" s="66"/>
      <c r="G49" s="66"/>
      <c r="H49" s="66"/>
      <c r="I49" s="66"/>
      <c r="J49" s="66"/>
      <c r="K49" s="66"/>
      <c r="L49" s="66"/>
      <c r="M49" s="68"/>
      <c r="N49" s="66"/>
      <c r="O49" s="66"/>
      <c r="P49" s="69"/>
      <c r="Q49" s="69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66"/>
      <c r="AC49" s="66"/>
      <c r="AD49" s="66"/>
      <c r="AF49" s="53"/>
    </row>
    <row r="50" spans="1:32" ht="14.2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36" thickBot="1">
      <c r="A51" s="365" t="s">
        <v>45</v>
      </c>
      <c r="B51" s="365"/>
      <c r="C51" s="365"/>
      <c r="D51" s="365"/>
      <c r="E51" s="365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F51" s="53"/>
    </row>
    <row r="52" spans="1:32" ht="26.25" thickBot="1">
      <c r="A52" s="366" t="s">
        <v>385</v>
      </c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68"/>
      <c r="N52" s="369" t="s">
        <v>390</v>
      </c>
      <c r="O52" s="370"/>
      <c r="P52" s="370"/>
      <c r="Q52" s="370"/>
      <c r="R52" s="370"/>
      <c r="S52" s="370"/>
      <c r="T52" s="370"/>
      <c r="U52" s="370"/>
      <c r="V52" s="370"/>
      <c r="W52" s="370"/>
      <c r="X52" s="370"/>
      <c r="Y52" s="370"/>
      <c r="Z52" s="370"/>
      <c r="AA52" s="370"/>
      <c r="AB52" s="370"/>
      <c r="AC52" s="370"/>
      <c r="AD52" s="371"/>
    </row>
    <row r="53" spans="1:32" ht="27" customHeight="1">
      <c r="A53" s="372" t="s">
        <v>2</v>
      </c>
      <c r="B53" s="373"/>
      <c r="C53" s="236" t="s">
        <v>46</v>
      </c>
      <c r="D53" s="236" t="s">
        <v>47</v>
      </c>
      <c r="E53" s="236" t="s">
        <v>108</v>
      </c>
      <c r="F53" s="373" t="s">
        <v>107</v>
      </c>
      <c r="G53" s="373"/>
      <c r="H53" s="373"/>
      <c r="I53" s="373"/>
      <c r="J53" s="373"/>
      <c r="K53" s="373"/>
      <c r="L53" s="373"/>
      <c r="M53" s="374"/>
      <c r="N53" s="73" t="s">
        <v>112</v>
      </c>
      <c r="O53" s="236" t="s">
        <v>46</v>
      </c>
      <c r="P53" s="375" t="s">
        <v>47</v>
      </c>
      <c r="Q53" s="376"/>
      <c r="R53" s="375" t="s">
        <v>38</v>
      </c>
      <c r="S53" s="377"/>
      <c r="T53" s="377"/>
      <c r="U53" s="376"/>
      <c r="V53" s="375" t="s">
        <v>48</v>
      </c>
      <c r="W53" s="377"/>
      <c r="X53" s="377"/>
      <c r="Y53" s="377"/>
      <c r="Z53" s="377"/>
      <c r="AA53" s="377"/>
      <c r="AB53" s="377"/>
      <c r="AC53" s="377"/>
      <c r="AD53" s="378"/>
    </row>
    <row r="54" spans="1:32" ht="27" customHeight="1">
      <c r="A54" s="349" t="s">
        <v>114</v>
      </c>
      <c r="B54" s="350"/>
      <c r="C54" s="238" t="s">
        <v>170</v>
      </c>
      <c r="D54" s="238" t="s">
        <v>224</v>
      </c>
      <c r="E54" s="238" t="s">
        <v>294</v>
      </c>
      <c r="F54" s="341" t="s">
        <v>129</v>
      </c>
      <c r="G54" s="341"/>
      <c r="H54" s="341"/>
      <c r="I54" s="341"/>
      <c r="J54" s="341"/>
      <c r="K54" s="341"/>
      <c r="L54" s="341"/>
      <c r="M54" s="351"/>
      <c r="N54" s="237" t="s">
        <v>125</v>
      </c>
      <c r="O54" s="124" t="s">
        <v>218</v>
      </c>
      <c r="P54" s="358" t="s">
        <v>152</v>
      </c>
      <c r="Q54" s="359"/>
      <c r="R54" s="401" t="s">
        <v>159</v>
      </c>
      <c r="S54" s="350"/>
      <c r="T54" s="350"/>
      <c r="U54" s="350"/>
      <c r="V54" s="341" t="s">
        <v>129</v>
      </c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125</v>
      </c>
      <c r="B55" s="350"/>
      <c r="C55" s="238" t="s">
        <v>133</v>
      </c>
      <c r="D55" s="238" t="s">
        <v>200</v>
      </c>
      <c r="E55" s="238" t="s">
        <v>381</v>
      </c>
      <c r="F55" s="341" t="s">
        <v>129</v>
      </c>
      <c r="G55" s="341"/>
      <c r="H55" s="341"/>
      <c r="I55" s="341"/>
      <c r="J55" s="341"/>
      <c r="K55" s="341"/>
      <c r="L55" s="341"/>
      <c r="M55" s="351"/>
      <c r="N55" s="237" t="s">
        <v>125</v>
      </c>
      <c r="O55" s="124" t="s">
        <v>391</v>
      </c>
      <c r="P55" s="358" t="s">
        <v>392</v>
      </c>
      <c r="Q55" s="359"/>
      <c r="R55" s="401" t="s">
        <v>158</v>
      </c>
      <c r="S55" s="350"/>
      <c r="T55" s="350"/>
      <c r="U55" s="350"/>
      <c r="V55" s="341" t="s">
        <v>129</v>
      </c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 t="s">
        <v>125</v>
      </c>
      <c r="B56" s="350"/>
      <c r="C56" s="238" t="s">
        <v>145</v>
      </c>
      <c r="D56" s="238" t="s">
        <v>130</v>
      </c>
      <c r="E56" s="238" t="s">
        <v>157</v>
      </c>
      <c r="F56" s="341" t="s">
        <v>129</v>
      </c>
      <c r="G56" s="341"/>
      <c r="H56" s="341"/>
      <c r="I56" s="341"/>
      <c r="J56" s="341"/>
      <c r="K56" s="341"/>
      <c r="L56" s="341"/>
      <c r="M56" s="351"/>
      <c r="N56" s="237"/>
      <c r="O56" s="124"/>
      <c r="P56" s="358"/>
      <c r="Q56" s="359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 t="s">
        <v>125</v>
      </c>
      <c r="B57" s="350"/>
      <c r="C57" s="238" t="s">
        <v>214</v>
      </c>
      <c r="D57" s="238" t="s">
        <v>131</v>
      </c>
      <c r="E57" s="238" t="s">
        <v>160</v>
      </c>
      <c r="F57" s="341" t="s">
        <v>129</v>
      </c>
      <c r="G57" s="341"/>
      <c r="H57" s="341"/>
      <c r="I57" s="341"/>
      <c r="J57" s="341"/>
      <c r="K57" s="341"/>
      <c r="L57" s="341"/>
      <c r="M57" s="351"/>
      <c r="N57" s="237"/>
      <c r="O57" s="124"/>
      <c r="P57" s="350"/>
      <c r="Q57" s="350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 t="s">
        <v>125</v>
      </c>
      <c r="B58" s="350"/>
      <c r="C58" s="238" t="s">
        <v>183</v>
      </c>
      <c r="D58" s="238" t="s">
        <v>123</v>
      </c>
      <c r="E58" s="238" t="s">
        <v>383</v>
      </c>
      <c r="F58" s="341" t="s">
        <v>129</v>
      </c>
      <c r="G58" s="341"/>
      <c r="H58" s="341"/>
      <c r="I58" s="341"/>
      <c r="J58" s="341"/>
      <c r="K58" s="341"/>
      <c r="L58" s="341"/>
      <c r="M58" s="351"/>
      <c r="N58" s="237"/>
      <c r="O58" s="124"/>
      <c r="P58" s="350"/>
      <c r="Q58" s="350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 t="s">
        <v>386</v>
      </c>
      <c r="B59" s="350"/>
      <c r="C59" s="238" t="s">
        <v>387</v>
      </c>
      <c r="D59" s="238" t="s">
        <v>388</v>
      </c>
      <c r="E59" s="238" t="s">
        <v>389</v>
      </c>
      <c r="F59" s="341" t="s">
        <v>129</v>
      </c>
      <c r="G59" s="341"/>
      <c r="H59" s="341"/>
      <c r="I59" s="341"/>
      <c r="J59" s="341"/>
      <c r="K59" s="341"/>
      <c r="L59" s="341"/>
      <c r="M59" s="351"/>
      <c r="N59" s="237"/>
      <c r="O59" s="124"/>
      <c r="P59" s="358"/>
      <c r="Q59" s="359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</row>
    <row r="60" spans="1:32" ht="27" customHeight="1">
      <c r="A60" s="349"/>
      <c r="B60" s="350"/>
      <c r="C60" s="238"/>
      <c r="D60" s="238"/>
      <c r="E60" s="238"/>
      <c r="F60" s="341"/>
      <c r="G60" s="341"/>
      <c r="H60" s="341"/>
      <c r="I60" s="341"/>
      <c r="J60" s="341"/>
      <c r="K60" s="341"/>
      <c r="L60" s="341"/>
      <c r="M60" s="351"/>
      <c r="N60" s="237"/>
      <c r="O60" s="124"/>
      <c r="P60" s="358"/>
      <c r="Q60" s="359"/>
      <c r="R60" s="350"/>
      <c r="S60" s="350"/>
      <c r="T60" s="350"/>
      <c r="U60" s="350"/>
      <c r="V60" s="341"/>
      <c r="W60" s="341"/>
      <c r="X60" s="341"/>
      <c r="Y60" s="341"/>
      <c r="Z60" s="341"/>
      <c r="AA60" s="341"/>
      <c r="AB60" s="341"/>
      <c r="AC60" s="341"/>
      <c r="AD60" s="351"/>
    </row>
    <row r="61" spans="1:32" ht="27" customHeight="1">
      <c r="A61" s="349"/>
      <c r="B61" s="350"/>
      <c r="C61" s="238"/>
      <c r="D61" s="238"/>
      <c r="E61" s="238"/>
      <c r="F61" s="341"/>
      <c r="G61" s="341"/>
      <c r="H61" s="341"/>
      <c r="I61" s="341"/>
      <c r="J61" s="341"/>
      <c r="K61" s="341"/>
      <c r="L61" s="341"/>
      <c r="M61" s="351"/>
      <c r="N61" s="237"/>
      <c r="O61" s="124"/>
      <c r="P61" s="358"/>
      <c r="Q61" s="359"/>
      <c r="R61" s="350"/>
      <c r="S61" s="350"/>
      <c r="T61" s="350"/>
      <c r="U61" s="350"/>
      <c r="V61" s="341"/>
      <c r="W61" s="341"/>
      <c r="X61" s="341"/>
      <c r="Y61" s="341"/>
      <c r="Z61" s="341"/>
      <c r="AA61" s="341"/>
      <c r="AB61" s="341"/>
      <c r="AC61" s="341"/>
      <c r="AD61" s="351"/>
    </row>
    <row r="62" spans="1:32" ht="27" customHeight="1">
      <c r="A62" s="349"/>
      <c r="B62" s="350"/>
      <c r="C62" s="238"/>
      <c r="D62" s="238"/>
      <c r="E62" s="238"/>
      <c r="F62" s="341"/>
      <c r="G62" s="341"/>
      <c r="H62" s="341"/>
      <c r="I62" s="341"/>
      <c r="J62" s="341"/>
      <c r="K62" s="341"/>
      <c r="L62" s="341"/>
      <c r="M62" s="351"/>
      <c r="N62" s="237"/>
      <c r="O62" s="124"/>
      <c r="P62" s="350"/>
      <c r="Q62" s="350"/>
      <c r="R62" s="350"/>
      <c r="S62" s="350"/>
      <c r="T62" s="350"/>
      <c r="U62" s="350"/>
      <c r="V62" s="341"/>
      <c r="W62" s="341"/>
      <c r="X62" s="341"/>
      <c r="Y62" s="341"/>
      <c r="Z62" s="341"/>
      <c r="AA62" s="341"/>
      <c r="AB62" s="341"/>
      <c r="AC62" s="341"/>
      <c r="AD62" s="351"/>
      <c r="AF62" s="93">
        <f>8*3000</f>
        <v>24000</v>
      </c>
    </row>
    <row r="63" spans="1:32" ht="27" customHeight="1" thickBot="1">
      <c r="A63" s="352"/>
      <c r="B63" s="353"/>
      <c r="C63" s="240"/>
      <c r="D63" s="240"/>
      <c r="E63" s="240"/>
      <c r="F63" s="354"/>
      <c r="G63" s="354"/>
      <c r="H63" s="354"/>
      <c r="I63" s="354"/>
      <c r="J63" s="354"/>
      <c r="K63" s="354"/>
      <c r="L63" s="354"/>
      <c r="M63" s="355"/>
      <c r="N63" s="239"/>
      <c r="O63" s="120"/>
      <c r="P63" s="353"/>
      <c r="Q63" s="353"/>
      <c r="R63" s="353"/>
      <c r="S63" s="353"/>
      <c r="T63" s="353"/>
      <c r="U63" s="353"/>
      <c r="V63" s="356"/>
      <c r="W63" s="356"/>
      <c r="X63" s="356"/>
      <c r="Y63" s="356"/>
      <c r="Z63" s="356"/>
      <c r="AA63" s="356"/>
      <c r="AB63" s="356"/>
      <c r="AC63" s="356"/>
      <c r="AD63" s="357"/>
      <c r="AF63" s="93">
        <f>16*3000</f>
        <v>48000</v>
      </c>
    </row>
    <row r="64" spans="1:32" ht="27.75" thickBot="1">
      <c r="A64" s="347" t="s">
        <v>393</v>
      </c>
      <c r="B64" s="347"/>
      <c r="C64" s="347"/>
      <c r="D64" s="347"/>
      <c r="E64" s="347"/>
      <c r="F64" s="40"/>
      <c r="G64" s="40"/>
      <c r="H64" s="41"/>
      <c r="I64" s="41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F64" s="93">
        <v>24000</v>
      </c>
    </row>
    <row r="65" spans="1:32" ht="29.25" customHeight="1" thickBot="1">
      <c r="A65" s="348" t="s">
        <v>113</v>
      </c>
      <c r="B65" s="345"/>
      <c r="C65" s="241" t="s">
        <v>2</v>
      </c>
      <c r="D65" s="241" t="s">
        <v>37</v>
      </c>
      <c r="E65" s="241" t="s">
        <v>3</v>
      </c>
      <c r="F65" s="345" t="s">
        <v>110</v>
      </c>
      <c r="G65" s="345"/>
      <c r="H65" s="345"/>
      <c r="I65" s="345"/>
      <c r="J65" s="345"/>
      <c r="K65" s="345" t="s">
        <v>39</v>
      </c>
      <c r="L65" s="345"/>
      <c r="M65" s="241" t="s">
        <v>40</v>
      </c>
      <c r="N65" s="345" t="s">
        <v>41</v>
      </c>
      <c r="O65" s="345"/>
      <c r="P65" s="342" t="s">
        <v>42</v>
      </c>
      <c r="Q65" s="344"/>
      <c r="R65" s="342" t="s">
        <v>43</v>
      </c>
      <c r="S65" s="343"/>
      <c r="T65" s="343"/>
      <c r="U65" s="343"/>
      <c r="V65" s="343"/>
      <c r="W65" s="343"/>
      <c r="X65" s="343"/>
      <c r="Y65" s="343"/>
      <c r="Z65" s="343"/>
      <c r="AA65" s="344"/>
      <c r="AB65" s="345" t="s">
        <v>44</v>
      </c>
      <c r="AC65" s="345"/>
      <c r="AD65" s="346"/>
      <c r="AF65" s="93">
        <f>SUM(AF62:AF64)</f>
        <v>96000</v>
      </c>
    </row>
    <row r="66" spans="1:32" ht="25.5" customHeight="1">
      <c r="A66" s="337">
        <v>1</v>
      </c>
      <c r="B66" s="338"/>
      <c r="C66" s="123" t="s">
        <v>125</v>
      </c>
      <c r="D66" s="244"/>
      <c r="E66" s="242" t="s">
        <v>392</v>
      </c>
      <c r="F66" s="339" t="s">
        <v>383</v>
      </c>
      <c r="G66" s="331"/>
      <c r="H66" s="331"/>
      <c r="I66" s="331"/>
      <c r="J66" s="331"/>
      <c r="K66" s="331" t="s">
        <v>394</v>
      </c>
      <c r="L66" s="331"/>
      <c r="M66" s="54" t="s">
        <v>282</v>
      </c>
      <c r="N66" s="331">
        <v>14</v>
      </c>
      <c r="O66" s="331"/>
      <c r="P66" s="340">
        <v>50</v>
      </c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2</v>
      </c>
      <c r="B67" s="338"/>
      <c r="C67" s="123" t="s">
        <v>395</v>
      </c>
      <c r="D67" s="244"/>
      <c r="E67" s="242" t="s">
        <v>396</v>
      </c>
      <c r="F67" s="339" t="s">
        <v>397</v>
      </c>
      <c r="G67" s="331"/>
      <c r="H67" s="331"/>
      <c r="I67" s="331"/>
      <c r="J67" s="331"/>
      <c r="K67" s="331" t="s">
        <v>398</v>
      </c>
      <c r="L67" s="331"/>
      <c r="M67" s="54" t="s">
        <v>399</v>
      </c>
      <c r="N67" s="331">
        <v>7</v>
      </c>
      <c r="O67" s="331"/>
      <c r="P67" s="340">
        <v>100</v>
      </c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3</v>
      </c>
      <c r="B68" s="338"/>
      <c r="C68" s="123" t="s">
        <v>386</v>
      </c>
      <c r="D68" s="244"/>
      <c r="E68" s="242" t="s">
        <v>392</v>
      </c>
      <c r="F68" s="339" t="s">
        <v>400</v>
      </c>
      <c r="G68" s="331"/>
      <c r="H68" s="331"/>
      <c r="I68" s="331"/>
      <c r="J68" s="331"/>
      <c r="K68" s="331" t="s">
        <v>401</v>
      </c>
      <c r="L68" s="331"/>
      <c r="M68" s="54" t="s">
        <v>402</v>
      </c>
      <c r="N68" s="331">
        <v>8</v>
      </c>
      <c r="O68" s="331"/>
      <c r="P68" s="340">
        <v>50</v>
      </c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4</v>
      </c>
      <c r="B69" s="338"/>
      <c r="C69" s="123" t="s">
        <v>125</v>
      </c>
      <c r="D69" s="244"/>
      <c r="E69" s="242" t="s">
        <v>403</v>
      </c>
      <c r="F69" s="339" t="s">
        <v>404</v>
      </c>
      <c r="G69" s="331"/>
      <c r="H69" s="331"/>
      <c r="I69" s="331"/>
      <c r="J69" s="331"/>
      <c r="K69" s="331" t="s">
        <v>405</v>
      </c>
      <c r="L69" s="331"/>
      <c r="M69" s="54" t="s">
        <v>399</v>
      </c>
      <c r="N69" s="331">
        <v>4</v>
      </c>
      <c r="O69" s="331"/>
      <c r="P69" s="340">
        <v>50</v>
      </c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5</v>
      </c>
      <c r="B70" s="338"/>
      <c r="C70" s="123" t="s">
        <v>125</v>
      </c>
      <c r="D70" s="244"/>
      <c r="E70" s="242" t="s">
        <v>406</v>
      </c>
      <c r="F70" s="339" t="s">
        <v>407</v>
      </c>
      <c r="G70" s="331"/>
      <c r="H70" s="331"/>
      <c r="I70" s="331"/>
      <c r="J70" s="331"/>
      <c r="K70" s="331" t="s">
        <v>408</v>
      </c>
      <c r="L70" s="331"/>
      <c r="M70" s="54" t="s">
        <v>282</v>
      </c>
      <c r="N70" s="331">
        <v>11</v>
      </c>
      <c r="O70" s="331"/>
      <c r="P70" s="340">
        <v>100</v>
      </c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5.5" customHeight="1">
      <c r="A71" s="337">
        <v>6</v>
      </c>
      <c r="B71" s="338"/>
      <c r="C71" s="123"/>
      <c r="D71" s="244"/>
      <c r="E71" s="242"/>
      <c r="F71" s="339"/>
      <c r="G71" s="331"/>
      <c r="H71" s="331"/>
      <c r="I71" s="331"/>
      <c r="J71" s="331"/>
      <c r="K71" s="331"/>
      <c r="L71" s="331"/>
      <c r="M71" s="54"/>
      <c r="N71" s="331"/>
      <c r="O71" s="331"/>
      <c r="P71" s="340"/>
      <c r="Q71" s="340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31"/>
      <c r="AC71" s="331"/>
      <c r="AD71" s="332"/>
      <c r="AF71" s="53"/>
    </row>
    <row r="72" spans="1:32" ht="25.5" customHeight="1">
      <c r="A72" s="337">
        <v>7</v>
      </c>
      <c r="B72" s="338"/>
      <c r="C72" s="123"/>
      <c r="D72" s="244"/>
      <c r="E72" s="242"/>
      <c r="F72" s="339"/>
      <c r="G72" s="331"/>
      <c r="H72" s="331"/>
      <c r="I72" s="331"/>
      <c r="J72" s="331"/>
      <c r="K72" s="331"/>
      <c r="L72" s="331"/>
      <c r="M72" s="54"/>
      <c r="N72" s="331"/>
      <c r="O72" s="331"/>
      <c r="P72" s="340"/>
      <c r="Q72" s="340"/>
      <c r="R72" s="341"/>
      <c r="S72" s="341"/>
      <c r="T72" s="341"/>
      <c r="U72" s="341"/>
      <c r="V72" s="341"/>
      <c r="W72" s="341"/>
      <c r="X72" s="341"/>
      <c r="Y72" s="341"/>
      <c r="Z72" s="341"/>
      <c r="AA72" s="341"/>
      <c r="AB72" s="331"/>
      <c r="AC72" s="331"/>
      <c r="AD72" s="332"/>
      <c r="AF72" s="53"/>
    </row>
    <row r="73" spans="1:32" ht="25.5" customHeight="1">
      <c r="A73" s="337">
        <v>8</v>
      </c>
      <c r="B73" s="338"/>
      <c r="C73" s="123"/>
      <c r="D73" s="244"/>
      <c r="E73" s="242"/>
      <c r="F73" s="339"/>
      <c r="G73" s="331"/>
      <c r="H73" s="331"/>
      <c r="I73" s="331"/>
      <c r="J73" s="331"/>
      <c r="K73" s="331"/>
      <c r="L73" s="331"/>
      <c r="M73" s="54"/>
      <c r="N73" s="331"/>
      <c r="O73" s="331"/>
      <c r="P73" s="340"/>
      <c r="Q73" s="340"/>
      <c r="R73" s="341"/>
      <c r="S73" s="341"/>
      <c r="T73" s="341"/>
      <c r="U73" s="341"/>
      <c r="V73" s="341"/>
      <c r="W73" s="341"/>
      <c r="X73" s="341"/>
      <c r="Y73" s="341"/>
      <c r="Z73" s="341"/>
      <c r="AA73" s="341"/>
      <c r="AB73" s="331"/>
      <c r="AC73" s="331"/>
      <c r="AD73" s="332"/>
      <c r="AF73" s="53"/>
    </row>
    <row r="74" spans="1:32" ht="26.25" customHeight="1" thickBot="1">
      <c r="A74" s="311" t="s">
        <v>409</v>
      </c>
      <c r="B74" s="311"/>
      <c r="C74" s="311"/>
      <c r="D74" s="311"/>
      <c r="E74" s="311"/>
      <c r="F74" s="40"/>
      <c r="G74" s="40"/>
      <c r="H74" s="41"/>
      <c r="I74" s="41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F74" s="53"/>
    </row>
    <row r="75" spans="1:32" ht="23.25" thickBot="1">
      <c r="A75" s="312" t="s">
        <v>113</v>
      </c>
      <c r="B75" s="313"/>
      <c r="C75" s="243" t="s">
        <v>2</v>
      </c>
      <c r="D75" s="243" t="s">
        <v>37</v>
      </c>
      <c r="E75" s="243" t="s">
        <v>3</v>
      </c>
      <c r="F75" s="313" t="s">
        <v>38</v>
      </c>
      <c r="G75" s="313"/>
      <c r="H75" s="313"/>
      <c r="I75" s="313"/>
      <c r="J75" s="313"/>
      <c r="K75" s="333" t="s">
        <v>58</v>
      </c>
      <c r="L75" s="334"/>
      <c r="M75" s="334"/>
      <c r="N75" s="334"/>
      <c r="O75" s="334"/>
      <c r="P75" s="334"/>
      <c r="Q75" s="334"/>
      <c r="R75" s="334"/>
      <c r="S75" s="335"/>
      <c r="T75" s="313" t="s">
        <v>49</v>
      </c>
      <c r="U75" s="313"/>
      <c r="V75" s="333" t="s">
        <v>50</v>
      </c>
      <c r="W75" s="335"/>
      <c r="X75" s="334" t="s">
        <v>51</v>
      </c>
      <c r="Y75" s="334"/>
      <c r="Z75" s="334"/>
      <c r="AA75" s="334"/>
      <c r="AB75" s="334"/>
      <c r="AC75" s="334"/>
      <c r="AD75" s="336"/>
      <c r="AF75" s="53"/>
    </row>
    <row r="76" spans="1:32" ht="33.75" customHeight="1">
      <c r="A76" s="305">
        <v>1</v>
      </c>
      <c r="B76" s="306"/>
      <c r="C76" s="245" t="s">
        <v>114</v>
      </c>
      <c r="D76" s="245"/>
      <c r="E76" s="71" t="s">
        <v>246</v>
      </c>
      <c r="F76" s="320" t="s">
        <v>221</v>
      </c>
      <c r="G76" s="321"/>
      <c r="H76" s="321"/>
      <c r="I76" s="321"/>
      <c r="J76" s="322"/>
      <c r="K76" s="323" t="s">
        <v>301</v>
      </c>
      <c r="L76" s="324"/>
      <c r="M76" s="324"/>
      <c r="N76" s="324"/>
      <c r="O76" s="324"/>
      <c r="P76" s="324"/>
      <c r="Q76" s="324"/>
      <c r="R76" s="324"/>
      <c r="S76" s="325"/>
      <c r="T76" s="326">
        <v>43384</v>
      </c>
      <c r="U76" s="327"/>
      <c r="V76" s="328"/>
      <c r="W76" s="328"/>
      <c r="X76" s="329"/>
      <c r="Y76" s="329"/>
      <c r="Z76" s="329"/>
      <c r="AA76" s="329"/>
      <c r="AB76" s="329"/>
      <c r="AC76" s="329"/>
      <c r="AD76" s="330"/>
      <c r="AF76" s="53"/>
    </row>
    <row r="77" spans="1:32" ht="30" customHeight="1">
      <c r="A77" s="298">
        <f>A76+1</f>
        <v>2</v>
      </c>
      <c r="B77" s="299"/>
      <c r="C77" s="244"/>
      <c r="D77" s="244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ref="A78:A84" si="35">A77+1</f>
        <v>3</v>
      </c>
      <c r="B78" s="299"/>
      <c r="C78" s="244"/>
      <c r="D78" s="244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35"/>
        <v>4</v>
      </c>
      <c r="B79" s="299"/>
      <c r="C79" s="244"/>
      <c r="D79" s="244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35"/>
        <v>5</v>
      </c>
      <c r="B80" s="299"/>
      <c r="C80" s="244"/>
      <c r="D80" s="244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35"/>
        <v>6</v>
      </c>
      <c r="B81" s="299"/>
      <c r="C81" s="244"/>
      <c r="D81" s="244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0" customHeight="1">
      <c r="A82" s="298">
        <f t="shared" si="35"/>
        <v>7</v>
      </c>
      <c r="B82" s="299"/>
      <c r="C82" s="244"/>
      <c r="D82" s="244"/>
      <c r="E82" s="35"/>
      <c r="F82" s="299"/>
      <c r="G82" s="299"/>
      <c r="H82" s="299"/>
      <c r="I82" s="299"/>
      <c r="J82" s="299"/>
      <c r="K82" s="314"/>
      <c r="L82" s="315"/>
      <c r="M82" s="315"/>
      <c r="N82" s="315"/>
      <c r="O82" s="315"/>
      <c r="P82" s="315"/>
      <c r="Q82" s="315"/>
      <c r="R82" s="315"/>
      <c r="S82" s="316"/>
      <c r="T82" s="317"/>
      <c r="U82" s="317"/>
      <c r="V82" s="317"/>
      <c r="W82" s="317"/>
      <c r="X82" s="318"/>
      <c r="Y82" s="318"/>
      <c r="Z82" s="318"/>
      <c r="AA82" s="318"/>
      <c r="AB82" s="318"/>
      <c r="AC82" s="318"/>
      <c r="AD82" s="319"/>
      <c r="AF82" s="53"/>
    </row>
    <row r="83" spans="1:32" ht="30" customHeight="1">
      <c r="A83" s="298">
        <f t="shared" si="35"/>
        <v>8</v>
      </c>
      <c r="B83" s="299"/>
      <c r="C83" s="244"/>
      <c r="D83" s="244"/>
      <c r="E83" s="35"/>
      <c r="F83" s="299"/>
      <c r="G83" s="299"/>
      <c r="H83" s="299"/>
      <c r="I83" s="299"/>
      <c r="J83" s="299"/>
      <c r="K83" s="314"/>
      <c r="L83" s="315"/>
      <c r="M83" s="315"/>
      <c r="N83" s="315"/>
      <c r="O83" s="315"/>
      <c r="P83" s="315"/>
      <c r="Q83" s="315"/>
      <c r="R83" s="315"/>
      <c r="S83" s="316"/>
      <c r="T83" s="317"/>
      <c r="U83" s="317"/>
      <c r="V83" s="317"/>
      <c r="W83" s="317"/>
      <c r="X83" s="318"/>
      <c r="Y83" s="318"/>
      <c r="Z83" s="318"/>
      <c r="AA83" s="318"/>
      <c r="AB83" s="318"/>
      <c r="AC83" s="318"/>
      <c r="AD83" s="319"/>
      <c r="AF83" s="53"/>
    </row>
    <row r="84" spans="1:32" ht="30" customHeight="1">
      <c r="A84" s="298">
        <f t="shared" si="35"/>
        <v>9</v>
      </c>
      <c r="B84" s="299"/>
      <c r="C84" s="244"/>
      <c r="D84" s="244"/>
      <c r="E84" s="35"/>
      <c r="F84" s="299"/>
      <c r="G84" s="299"/>
      <c r="H84" s="299"/>
      <c r="I84" s="299"/>
      <c r="J84" s="299"/>
      <c r="K84" s="314"/>
      <c r="L84" s="315"/>
      <c r="M84" s="315"/>
      <c r="N84" s="315"/>
      <c r="O84" s="315"/>
      <c r="P84" s="315"/>
      <c r="Q84" s="315"/>
      <c r="R84" s="315"/>
      <c r="S84" s="316"/>
      <c r="T84" s="317"/>
      <c r="U84" s="317"/>
      <c r="V84" s="317"/>
      <c r="W84" s="317"/>
      <c r="X84" s="318"/>
      <c r="Y84" s="318"/>
      <c r="Z84" s="318"/>
      <c r="AA84" s="318"/>
      <c r="AB84" s="318"/>
      <c r="AC84" s="318"/>
      <c r="AD84" s="319"/>
      <c r="AF84" s="53"/>
    </row>
    <row r="85" spans="1:32" ht="36" thickBot="1">
      <c r="A85" s="311" t="s">
        <v>410</v>
      </c>
      <c r="B85" s="311"/>
      <c r="C85" s="311"/>
      <c r="D85" s="311"/>
      <c r="E85" s="311"/>
      <c r="F85" s="40"/>
      <c r="G85" s="40"/>
      <c r="H85" s="41"/>
      <c r="I85" s="4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F85" s="53"/>
    </row>
    <row r="86" spans="1:32" ht="30.75" customHeight="1" thickBot="1">
      <c r="A86" s="312" t="s">
        <v>113</v>
      </c>
      <c r="B86" s="313"/>
      <c r="C86" s="303" t="s">
        <v>52</v>
      </c>
      <c r="D86" s="303"/>
      <c r="E86" s="303" t="s">
        <v>53</v>
      </c>
      <c r="F86" s="303"/>
      <c r="G86" s="303"/>
      <c r="H86" s="303"/>
      <c r="I86" s="303"/>
      <c r="J86" s="303"/>
      <c r="K86" s="303" t="s">
        <v>54</v>
      </c>
      <c r="L86" s="303"/>
      <c r="M86" s="303"/>
      <c r="N86" s="303"/>
      <c r="O86" s="303"/>
      <c r="P86" s="303"/>
      <c r="Q86" s="303"/>
      <c r="R86" s="303"/>
      <c r="S86" s="303"/>
      <c r="T86" s="303" t="s">
        <v>55</v>
      </c>
      <c r="U86" s="303"/>
      <c r="V86" s="303" t="s">
        <v>56</v>
      </c>
      <c r="W86" s="303"/>
      <c r="X86" s="303"/>
      <c r="Y86" s="303" t="s">
        <v>51</v>
      </c>
      <c r="Z86" s="303"/>
      <c r="AA86" s="303"/>
      <c r="AB86" s="303"/>
      <c r="AC86" s="303"/>
      <c r="AD86" s="304"/>
      <c r="AF86" s="53"/>
    </row>
    <row r="87" spans="1:32" ht="30.75" customHeight="1">
      <c r="A87" s="305">
        <v>1</v>
      </c>
      <c r="B87" s="306"/>
      <c r="C87" s="307">
        <v>9</v>
      </c>
      <c r="D87" s="307"/>
      <c r="E87" s="307" t="s">
        <v>141</v>
      </c>
      <c r="F87" s="307"/>
      <c r="G87" s="307"/>
      <c r="H87" s="307"/>
      <c r="I87" s="307"/>
      <c r="J87" s="307"/>
      <c r="K87" s="307" t="s">
        <v>142</v>
      </c>
      <c r="L87" s="307"/>
      <c r="M87" s="307"/>
      <c r="N87" s="307"/>
      <c r="O87" s="307"/>
      <c r="P87" s="307"/>
      <c r="Q87" s="307"/>
      <c r="R87" s="307"/>
      <c r="S87" s="307"/>
      <c r="T87" s="307" t="s">
        <v>143</v>
      </c>
      <c r="U87" s="307"/>
      <c r="V87" s="308">
        <v>11307000</v>
      </c>
      <c r="W87" s="308"/>
      <c r="X87" s="308"/>
      <c r="Y87" s="309"/>
      <c r="Z87" s="309"/>
      <c r="AA87" s="309"/>
      <c r="AB87" s="309"/>
      <c r="AC87" s="309"/>
      <c r="AD87" s="310"/>
      <c r="AF87" s="53"/>
    </row>
    <row r="88" spans="1:32" ht="30.75" customHeight="1">
      <c r="A88" s="298">
        <v>2</v>
      </c>
      <c r="B88" s="299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1"/>
      <c r="U88" s="301"/>
      <c r="V88" s="302"/>
      <c r="W88" s="302"/>
      <c r="X88" s="302"/>
      <c r="Y88" s="291"/>
      <c r="Z88" s="291"/>
      <c r="AA88" s="291"/>
      <c r="AB88" s="291"/>
      <c r="AC88" s="291"/>
      <c r="AD88" s="292"/>
      <c r="AF88" s="53"/>
    </row>
    <row r="89" spans="1:32" ht="30.75" customHeight="1" thickBot="1">
      <c r="A89" s="293">
        <v>3</v>
      </c>
      <c r="B89" s="29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6"/>
      <c r="Z89" s="296"/>
      <c r="AA89" s="296"/>
      <c r="AB89" s="296"/>
      <c r="AC89" s="296"/>
      <c r="AD89" s="297"/>
      <c r="AF89" s="53"/>
    </row>
  </sheetData>
  <mergeCells count="230">
    <mergeCell ref="Y88:AD88"/>
    <mergeCell ref="A89:B89"/>
    <mergeCell ref="C89:D89"/>
    <mergeCell ref="E89:J89"/>
    <mergeCell ref="K89:S89"/>
    <mergeCell ref="T89:U89"/>
    <mergeCell ref="V89:X89"/>
    <mergeCell ref="Y89:AD89"/>
    <mergeCell ref="A88:B88"/>
    <mergeCell ref="C88:D88"/>
    <mergeCell ref="E88:J88"/>
    <mergeCell ref="K88:S88"/>
    <mergeCell ref="T88:U88"/>
    <mergeCell ref="V88:X88"/>
    <mergeCell ref="V86:X86"/>
    <mergeCell ref="Y86:AD86"/>
    <mergeCell ref="A87:B87"/>
    <mergeCell ref="C87:D87"/>
    <mergeCell ref="E87:J87"/>
    <mergeCell ref="K87:S87"/>
    <mergeCell ref="T87:U87"/>
    <mergeCell ref="V87:X87"/>
    <mergeCell ref="Y87:AD87"/>
    <mergeCell ref="A85:E85"/>
    <mergeCell ref="A86:B86"/>
    <mergeCell ref="C86:D86"/>
    <mergeCell ref="E86:J86"/>
    <mergeCell ref="K86:S86"/>
    <mergeCell ref="T86:U86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R65:AA65"/>
    <mergeCell ref="AB65:AD65"/>
    <mergeCell ref="A66:B66"/>
    <mergeCell ref="F66:J66"/>
    <mergeCell ref="K66:L66"/>
    <mergeCell ref="N66:O66"/>
    <mergeCell ref="P66:Q66"/>
    <mergeCell ref="R66:AA66"/>
    <mergeCell ref="AB66:AD66"/>
    <mergeCell ref="A64:E64"/>
    <mergeCell ref="A65:B65"/>
    <mergeCell ref="F65:J65"/>
    <mergeCell ref="K65:L65"/>
    <mergeCell ref="N65:O65"/>
    <mergeCell ref="P65:Q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D4:AD5"/>
    <mergeCell ref="A24:H24"/>
    <mergeCell ref="A51:E51"/>
    <mergeCell ref="A52:M52"/>
    <mergeCell ref="N52:AD52"/>
    <mergeCell ref="A53:B53"/>
    <mergeCell ref="F53:M53"/>
    <mergeCell ref="P53:Q53"/>
    <mergeCell ref="R53:U53"/>
    <mergeCell ref="V53:AD53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989-2B42-4DE7-9181-D944BD4BF4AB}">
  <sheetPr>
    <pageSetUpPr fitToPage="1"/>
  </sheetPr>
  <dimension ref="A1:AF87"/>
  <sheetViews>
    <sheetView zoomScale="72" zoomScaleNormal="72" zoomScaleSheetLayoutView="70" workbookViewId="0">
      <selection activeCell="T14" sqref="T1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411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246" t="s">
        <v>17</v>
      </c>
      <c r="L5" s="246" t="s">
        <v>18</v>
      </c>
      <c r="M5" s="246" t="s">
        <v>19</v>
      </c>
      <c r="N5" s="24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0.3831876432028436</v>
      </c>
      <c r="AF6" s="93">
        <f t="shared" ref="AF6:AF21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0.3831876432028436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152</v>
      </c>
      <c r="E8" s="57" t="s">
        <v>159</v>
      </c>
      <c r="F8" s="33" t="s">
        <v>147</v>
      </c>
      <c r="G8" s="36">
        <v>1</v>
      </c>
      <c r="H8" s="38">
        <v>25</v>
      </c>
      <c r="I8" s="7">
        <v>18000</v>
      </c>
      <c r="J8" s="5">
        <v>4451</v>
      </c>
      <c r="K8" s="15">
        <f>L8</f>
        <v>4451</v>
      </c>
      <c r="L8" s="15">
        <f>3081+1370</f>
        <v>4451</v>
      </c>
      <c r="M8" s="16">
        <f t="shared" si="0"/>
        <v>4451</v>
      </c>
      <c r="N8" s="16">
        <v>0</v>
      </c>
      <c r="O8" s="62">
        <f t="shared" si="1"/>
        <v>0</v>
      </c>
      <c r="P8" s="42">
        <f t="shared" si="2"/>
        <v>20</v>
      </c>
      <c r="Q8" s="43">
        <f t="shared" si="3"/>
        <v>4</v>
      </c>
      <c r="R8" s="7"/>
      <c r="S8" s="6"/>
      <c r="T8" s="17">
        <v>4</v>
      </c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0.83333333333333337</v>
      </c>
      <c r="AD8" s="10">
        <f t="shared" si="6"/>
        <v>0.83333333333333337</v>
      </c>
      <c r="AE8" s="39">
        <f t="shared" si="7"/>
        <v>0.3831876432028436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125</v>
      </c>
      <c r="D9" s="55" t="s">
        <v>123</v>
      </c>
      <c r="E9" s="57" t="s">
        <v>158</v>
      </c>
      <c r="F9" s="33" t="s">
        <v>146</v>
      </c>
      <c r="G9" s="36">
        <v>1</v>
      </c>
      <c r="H9" s="38">
        <v>25</v>
      </c>
      <c r="I9" s="7">
        <v>18000</v>
      </c>
      <c r="J9" s="5">
        <v>3350</v>
      </c>
      <c r="K9" s="15">
        <f>L9</f>
        <v>3346</v>
      </c>
      <c r="L9" s="15">
        <f>820+2526</f>
        <v>3346</v>
      </c>
      <c r="M9" s="16">
        <f t="shared" si="0"/>
        <v>3346</v>
      </c>
      <c r="N9" s="16">
        <v>0</v>
      </c>
      <c r="O9" s="62">
        <f t="shared" si="1"/>
        <v>0</v>
      </c>
      <c r="P9" s="42">
        <f t="shared" si="2"/>
        <v>16</v>
      </c>
      <c r="Q9" s="43">
        <f t="shared" si="3"/>
        <v>8</v>
      </c>
      <c r="R9" s="7"/>
      <c r="S9" s="6">
        <v>2</v>
      </c>
      <c r="T9" s="17">
        <v>6</v>
      </c>
      <c r="U9" s="17"/>
      <c r="V9" s="18"/>
      <c r="W9" s="19"/>
      <c r="X9" s="17"/>
      <c r="Y9" s="20"/>
      <c r="Z9" s="20"/>
      <c r="AA9" s="21"/>
      <c r="AB9" s="8">
        <f t="shared" si="4"/>
        <v>0.99880597014925376</v>
      </c>
      <c r="AC9" s="9">
        <f t="shared" si="5"/>
        <v>0.66666666666666663</v>
      </c>
      <c r="AD9" s="10">
        <f t="shared" si="6"/>
        <v>0.66587064676616914</v>
      </c>
      <c r="AE9" s="39">
        <f t="shared" si="7"/>
        <v>0.3831876432028436</v>
      </c>
      <c r="AF9" s="93">
        <f t="shared" si="8"/>
        <v>4</v>
      </c>
    </row>
    <row r="10" spans="1:32" ht="27" customHeight="1">
      <c r="A10" s="109">
        <v>4</v>
      </c>
      <c r="B10" s="11" t="s">
        <v>57</v>
      </c>
      <c r="C10" s="37" t="s">
        <v>114</v>
      </c>
      <c r="D10" s="55" t="s">
        <v>224</v>
      </c>
      <c r="E10" s="57" t="s">
        <v>294</v>
      </c>
      <c r="F10" s="33" t="s">
        <v>146</v>
      </c>
      <c r="G10" s="36">
        <v>1</v>
      </c>
      <c r="H10" s="38">
        <v>25</v>
      </c>
      <c r="I10" s="7">
        <v>2500</v>
      </c>
      <c r="J10" s="5">
        <v>1130</v>
      </c>
      <c r="K10" s="15">
        <f>L10+3070</f>
        <v>4199</v>
      </c>
      <c r="L10" s="15">
        <v>1129</v>
      </c>
      <c r="M10" s="16">
        <f t="shared" si="0"/>
        <v>1129</v>
      </c>
      <c r="N10" s="16">
        <v>0</v>
      </c>
      <c r="O10" s="62">
        <f t="shared" si="1"/>
        <v>0</v>
      </c>
      <c r="P10" s="42">
        <f t="shared" si="2"/>
        <v>6</v>
      </c>
      <c r="Q10" s="43">
        <f t="shared" si="3"/>
        <v>18</v>
      </c>
      <c r="R10" s="7"/>
      <c r="S10" s="6"/>
      <c r="T10" s="17"/>
      <c r="U10" s="17"/>
      <c r="V10" s="18"/>
      <c r="W10" s="19">
        <v>18</v>
      </c>
      <c r="X10" s="17"/>
      <c r="Y10" s="20"/>
      <c r="Z10" s="20"/>
      <c r="AA10" s="21"/>
      <c r="AB10" s="8">
        <f t="shared" si="4"/>
        <v>0.99911504424778763</v>
      </c>
      <c r="AC10" s="9">
        <f t="shared" si="5"/>
        <v>0.25</v>
      </c>
      <c r="AD10" s="10">
        <f t="shared" si="6"/>
        <v>0.24977876106194691</v>
      </c>
      <c r="AE10" s="39">
        <f t="shared" si="7"/>
        <v>0.3831876432028436</v>
      </c>
      <c r="AF10" s="93">
        <f t="shared" si="8"/>
        <v>4</v>
      </c>
    </row>
    <row r="11" spans="1:32" ht="27" customHeight="1">
      <c r="A11" s="109">
        <v>5</v>
      </c>
      <c r="B11" s="11" t="s">
        <v>57</v>
      </c>
      <c r="C11" s="11" t="s">
        <v>125</v>
      </c>
      <c r="D11" s="55" t="s">
        <v>200</v>
      </c>
      <c r="E11" s="57" t="s">
        <v>381</v>
      </c>
      <c r="F11" s="12" t="s">
        <v>147</v>
      </c>
      <c r="G11" s="12">
        <v>16</v>
      </c>
      <c r="H11" s="13">
        <v>25</v>
      </c>
      <c r="I11" s="7">
        <v>100000</v>
      </c>
      <c r="J11" s="14">
        <v>86480</v>
      </c>
      <c r="K11" s="15">
        <f>L11+42304</f>
        <v>128784</v>
      </c>
      <c r="L11" s="15">
        <f>3121*16+2284*16</f>
        <v>86480</v>
      </c>
      <c r="M11" s="16">
        <f t="shared" si="0"/>
        <v>86480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0.3831876432028436</v>
      </c>
      <c r="AF11" s="93">
        <f t="shared" si="8"/>
        <v>5</v>
      </c>
    </row>
    <row r="12" spans="1:32" ht="27" customHeight="1">
      <c r="A12" s="109">
        <v>6</v>
      </c>
      <c r="B12" s="11" t="s">
        <v>57</v>
      </c>
      <c r="C12" s="37" t="s">
        <v>136</v>
      </c>
      <c r="D12" s="55" t="s">
        <v>131</v>
      </c>
      <c r="E12" s="57" t="s">
        <v>154</v>
      </c>
      <c r="F12" s="12" t="s">
        <v>144</v>
      </c>
      <c r="G12" s="12">
        <v>1</v>
      </c>
      <c r="H12" s="13">
        <v>25</v>
      </c>
      <c r="I12" s="34">
        <v>6500</v>
      </c>
      <c r="J12" s="5">
        <v>2357</v>
      </c>
      <c r="K12" s="15">
        <f>L12+5687+2357</f>
        <v>8044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0.3831876432028436</v>
      </c>
      <c r="AF12" s="93">
        <f t="shared" si="8"/>
        <v>6</v>
      </c>
    </row>
    <row r="13" spans="1:32" ht="27" customHeight="1">
      <c r="A13" s="109">
        <v>7</v>
      </c>
      <c r="B13" s="11" t="s">
        <v>57</v>
      </c>
      <c r="C13" s="11" t="s">
        <v>125</v>
      </c>
      <c r="D13" s="55" t="s">
        <v>130</v>
      </c>
      <c r="E13" s="57" t="s">
        <v>157</v>
      </c>
      <c r="F13" s="12" t="s">
        <v>128</v>
      </c>
      <c r="G13" s="12">
        <v>1</v>
      </c>
      <c r="H13" s="13">
        <v>25</v>
      </c>
      <c r="I13" s="7">
        <v>20000</v>
      </c>
      <c r="J13" s="14">
        <v>5750</v>
      </c>
      <c r="K13" s="15">
        <f>L13+3050</f>
        <v>8796</v>
      </c>
      <c r="L13" s="15">
        <f>2508+3238</f>
        <v>5746</v>
      </c>
      <c r="M13" s="16">
        <f t="shared" si="0"/>
        <v>5746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0.9993043478260869</v>
      </c>
      <c r="AC13" s="9">
        <f t="shared" si="5"/>
        <v>1</v>
      </c>
      <c r="AD13" s="10">
        <f t="shared" si="6"/>
        <v>0.9993043478260869</v>
      </c>
      <c r="AE13" s="39">
        <f t="shared" si="7"/>
        <v>0.3831876432028436</v>
      </c>
      <c r="AF13" s="93">
        <f t="shared" si="8"/>
        <v>7</v>
      </c>
    </row>
    <row r="14" spans="1:32" ht="27" customHeight="1">
      <c r="A14" s="109">
        <v>8</v>
      </c>
      <c r="B14" s="11" t="s">
        <v>57</v>
      </c>
      <c r="C14" s="11" t="s">
        <v>125</v>
      </c>
      <c r="D14" s="55" t="s">
        <v>123</v>
      </c>
      <c r="E14" s="57" t="s">
        <v>295</v>
      </c>
      <c r="F14" s="12" t="s">
        <v>146</v>
      </c>
      <c r="G14" s="12">
        <v>1</v>
      </c>
      <c r="H14" s="13">
        <v>25</v>
      </c>
      <c r="I14" s="7">
        <v>35000</v>
      </c>
      <c r="J14" s="14">
        <v>5081</v>
      </c>
      <c r="K14" s="15">
        <f>L14+761+4519+1386+1615+5006+5081</f>
        <v>18368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0.3831876432028436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139</v>
      </c>
      <c r="F15" s="33" t="s">
        <v>138</v>
      </c>
      <c r="G15" s="36">
        <v>1</v>
      </c>
      <c r="H15" s="38">
        <v>25</v>
      </c>
      <c r="I15" s="7">
        <v>1000</v>
      </c>
      <c r="J15" s="5">
        <v>1068</v>
      </c>
      <c r="K15" s="15">
        <f>L15+1068</f>
        <v>1068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>
        <v>24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0.3831876432028436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136</v>
      </c>
      <c r="D16" s="55" t="s">
        <v>131</v>
      </c>
      <c r="E16" s="57" t="s">
        <v>195</v>
      </c>
      <c r="F16" s="12" t="s">
        <v>207</v>
      </c>
      <c r="G16" s="12">
        <v>3</v>
      </c>
      <c r="H16" s="13">
        <v>24</v>
      </c>
      <c r="I16" s="34">
        <v>6000</v>
      </c>
      <c r="J16" s="14">
        <v>7454</v>
      </c>
      <c r="K16" s="15">
        <f>L16+7545</f>
        <v>7545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0.3831876432028436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125</v>
      </c>
      <c r="D17" s="55" t="s">
        <v>149</v>
      </c>
      <c r="E17" s="57" t="s">
        <v>353</v>
      </c>
      <c r="F17" s="33" t="s">
        <v>147</v>
      </c>
      <c r="G17" s="36">
        <v>2</v>
      </c>
      <c r="H17" s="38">
        <v>24</v>
      </c>
      <c r="I17" s="7">
        <v>2000</v>
      </c>
      <c r="J17" s="5">
        <v>6912</v>
      </c>
      <c r="K17" s="15">
        <f>L17+6912</f>
        <v>6912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0.3831876432028436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37" t="s">
        <v>125</v>
      </c>
      <c r="D18" s="55" t="s">
        <v>285</v>
      </c>
      <c r="E18" s="57" t="s">
        <v>344</v>
      </c>
      <c r="F18" s="12" t="s">
        <v>354</v>
      </c>
      <c r="G18" s="12">
        <v>1</v>
      </c>
      <c r="H18" s="13">
        <v>24</v>
      </c>
      <c r="I18" s="34">
        <v>300</v>
      </c>
      <c r="J18" s="14">
        <v>406</v>
      </c>
      <c r="K18" s="15">
        <f>L18+406</f>
        <v>406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0.3831876432028436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125</v>
      </c>
      <c r="D19" s="55" t="s">
        <v>131</v>
      </c>
      <c r="E19" s="57" t="s">
        <v>160</v>
      </c>
      <c r="F19" s="12" t="s">
        <v>382</v>
      </c>
      <c r="G19" s="36">
        <v>1</v>
      </c>
      <c r="H19" s="38">
        <v>24</v>
      </c>
      <c r="I19" s="7">
        <v>20000</v>
      </c>
      <c r="J19" s="5">
        <v>6350</v>
      </c>
      <c r="K19" s="15">
        <f>L19+3906</f>
        <v>10253</v>
      </c>
      <c r="L19" s="15">
        <f>2961+3386</f>
        <v>6347</v>
      </c>
      <c r="M19" s="16">
        <f t="shared" si="0"/>
        <v>6347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0.99952755905511814</v>
      </c>
      <c r="AC19" s="9">
        <f t="shared" si="5"/>
        <v>1</v>
      </c>
      <c r="AD19" s="10">
        <f t="shared" si="6"/>
        <v>0.99952755905511814</v>
      </c>
      <c r="AE19" s="39">
        <f t="shared" si="7"/>
        <v>0.3831876432028436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11" t="s">
        <v>114</v>
      </c>
      <c r="D20" s="55" t="s">
        <v>219</v>
      </c>
      <c r="E20" s="57" t="s">
        <v>384</v>
      </c>
      <c r="F20" s="12">
        <v>7301</v>
      </c>
      <c r="G20" s="36">
        <v>1</v>
      </c>
      <c r="H20" s="13">
        <v>24</v>
      </c>
      <c r="I20" s="7">
        <v>6500</v>
      </c>
      <c r="J20" s="14">
        <v>4430</v>
      </c>
      <c r="K20" s="15">
        <f>L20+2390</f>
        <v>6820</v>
      </c>
      <c r="L20" s="15">
        <f>2578+1852</f>
        <v>4430</v>
      </c>
      <c r="M20" s="16">
        <f t="shared" si="0"/>
        <v>4430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1</v>
      </c>
      <c r="AD20" s="10">
        <f t="shared" si="6"/>
        <v>1</v>
      </c>
      <c r="AE20" s="39">
        <f t="shared" si="7"/>
        <v>0.3831876432028436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151</v>
      </c>
      <c r="F21" s="12" t="s">
        <v>122</v>
      </c>
      <c r="G21" s="12">
        <v>4</v>
      </c>
      <c r="H21" s="38">
        <v>20</v>
      </c>
      <c r="I21" s="7">
        <v>300000</v>
      </c>
      <c r="J21" s="14">
        <v>4524</v>
      </c>
      <c r="K21" s="15">
        <f>L21+20068+24564+48544+43996+30716+19196+21560+23324+19612+4524</f>
        <v>256104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0.3831876432028436</v>
      </c>
      <c r="AF21" s="93">
        <f t="shared" si="8"/>
        <v>15</v>
      </c>
    </row>
    <row r="22" spans="1:32" ht="31.5" customHeight="1" thickBot="1">
      <c r="A22" s="362" t="s">
        <v>34</v>
      </c>
      <c r="B22" s="363"/>
      <c r="C22" s="363"/>
      <c r="D22" s="363"/>
      <c r="E22" s="363"/>
      <c r="F22" s="363"/>
      <c r="G22" s="363"/>
      <c r="H22" s="364"/>
      <c r="I22" s="25">
        <f t="shared" ref="I22:N22" si="9">SUM(I6:I21)</f>
        <v>535800</v>
      </c>
      <c r="J22" s="22">
        <f t="shared" si="9"/>
        <v>139743</v>
      </c>
      <c r="K22" s="23">
        <f t="shared" si="9"/>
        <v>465096</v>
      </c>
      <c r="L22" s="24">
        <f t="shared" si="9"/>
        <v>111929</v>
      </c>
      <c r="M22" s="23">
        <f t="shared" si="9"/>
        <v>111929</v>
      </c>
      <c r="N22" s="24">
        <f t="shared" si="9"/>
        <v>0</v>
      </c>
      <c r="O22" s="44">
        <f t="shared" si="1"/>
        <v>0</v>
      </c>
      <c r="P22" s="45">
        <f t="shared" ref="P22:AA22" si="10">SUM(P6:P21)</f>
        <v>138</v>
      </c>
      <c r="Q22" s="46">
        <f t="shared" si="10"/>
        <v>246</v>
      </c>
      <c r="R22" s="26">
        <f t="shared" si="10"/>
        <v>48</v>
      </c>
      <c r="S22" s="27">
        <f t="shared" si="10"/>
        <v>26</v>
      </c>
      <c r="T22" s="27">
        <f t="shared" si="10"/>
        <v>10</v>
      </c>
      <c r="U22" s="27">
        <f t="shared" si="10"/>
        <v>0</v>
      </c>
      <c r="V22" s="28">
        <f t="shared" si="10"/>
        <v>0</v>
      </c>
      <c r="W22" s="29">
        <f t="shared" si="10"/>
        <v>162</v>
      </c>
      <c r="X22" s="30">
        <f t="shared" si="10"/>
        <v>0</v>
      </c>
      <c r="Y22" s="30">
        <f t="shared" si="10"/>
        <v>0</v>
      </c>
      <c r="Z22" s="30">
        <f t="shared" si="10"/>
        <v>0</v>
      </c>
      <c r="AA22" s="30">
        <f t="shared" si="10"/>
        <v>0</v>
      </c>
      <c r="AB22" s="31">
        <f>SUM(AB6:AB21)/15</f>
        <v>0.4664501947518831</v>
      </c>
      <c r="AC22" s="4">
        <f>SUM(AC6:AC21)/15</f>
        <v>0.38333333333333336</v>
      </c>
      <c r="AD22" s="4">
        <f>SUM(AD6:AD21)/15</f>
        <v>0.3831876432028436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65" t="s">
        <v>45</v>
      </c>
      <c r="B49" s="365"/>
      <c r="C49" s="365"/>
      <c r="D49" s="365"/>
      <c r="E49" s="365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66" t="s">
        <v>412</v>
      </c>
      <c r="B50" s="367"/>
      <c r="C50" s="367"/>
      <c r="D50" s="367"/>
      <c r="E50" s="367"/>
      <c r="F50" s="367"/>
      <c r="G50" s="367"/>
      <c r="H50" s="367"/>
      <c r="I50" s="367"/>
      <c r="J50" s="367"/>
      <c r="K50" s="367"/>
      <c r="L50" s="367"/>
      <c r="M50" s="368"/>
      <c r="N50" s="369" t="s">
        <v>415</v>
      </c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1"/>
    </row>
    <row r="51" spans="1:32" ht="27" customHeight="1">
      <c r="A51" s="372" t="s">
        <v>2</v>
      </c>
      <c r="B51" s="373"/>
      <c r="C51" s="247" t="s">
        <v>46</v>
      </c>
      <c r="D51" s="247" t="s">
        <v>47</v>
      </c>
      <c r="E51" s="247" t="s">
        <v>108</v>
      </c>
      <c r="F51" s="373" t="s">
        <v>107</v>
      </c>
      <c r="G51" s="373"/>
      <c r="H51" s="373"/>
      <c r="I51" s="373"/>
      <c r="J51" s="373"/>
      <c r="K51" s="373"/>
      <c r="L51" s="373"/>
      <c r="M51" s="374"/>
      <c r="N51" s="73" t="s">
        <v>112</v>
      </c>
      <c r="O51" s="247" t="s">
        <v>46</v>
      </c>
      <c r="P51" s="375" t="s">
        <v>47</v>
      </c>
      <c r="Q51" s="376"/>
      <c r="R51" s="375" t="s">
        <v>38</v>
      </c>
      <c r="S51" s="377"/>
      <c r="T51" s="377"/>
      <c r="U51" s="376"/>
      <c r="V51" s="375" t="s">
        <v>48</v>
      </c>
      <c r="W51" s="377"/>
      <c r="X51" s="377"/>
      <c r="Y51" s="377"/>
      <c r="Z51" s="377"/>
      <c r="AA51" s="377"/>
      <c r="AB51" s="377"/>
      <c r="AC51" s="377"/>
      <c r="AD51" s="378"/>
    </row>
    <row r="52" spans="1:32" ht="27" customHeight="1">
      <c r="A52" s="349" t="s">
        <v>125</v>
      </c>
      <c r="B52" s="350"/>
      <c r="C52" s="249" t="s">
        <v>218</v>
      </c>
      <c r="D52" s="249" t="s">
        <v>152</v>
      </c>
      <c r="E52" s="249" t="s">
        <v>159</v>
      </c>
      <c r="F52" s="341" t="s">
        <v>129</v>
      </c>
      <c r="G52" s="341"/>
      <c r="H52" s="341"/>
      <c r="I52" s="341"/>
      <c r="J52" s="341"/>
      <c r="K52" s="341"/>
      <c r="L52" s="341"/>
      <c r="M52" s="351"/>
      <c r="N52" s="248" t="s">
        <v>125</v>
      </c>
      <c r="O52" s="124" t="s">
        <v>133</v>
      </c>
      <c r="P52" s="358" t="s">
        <v>149</v>
      </c>
      <c r="Q52" s="359"/>
      <c r="R52" s="401" t="s">
        <v>148</v>
      </c>
      <c r="S52" s="350"/>
      <c r="T52" s="350"/>
      <c r="U52" s="350"/>
      <c r="V52" s="341" t="s">
        <v>129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125</v>
      </c>
      <c r="B53" s="350"/>
      <c r="C53" s="249" t="s">
        <v>170</v>
      </c>
      <c r="D53" s="249" t="s">
        <v>123</v>
      </c>
      <c r="E53" s="249" t="s">
        <v>158</v>
      </c>
      <c r="F53" s="341" t="s">
        <v>413</v>
      </c>
      <c r="G53" s="341"/>
      <c r="H53" s="341"/>
      <c r="I53" s="341"/>
      <c r="J53" s="341"/>
      <c r="K53" s="341"/>
      <c r="L53" s="341"/>
      <c r="M53" s="351"/>
      <c r="N53" s="248" t="s">
        <v>114</v>
      </c>
      <c r="O53" s="124" t="s">
        <v>135</v>
      </c>
      <c r="P53" s="358" t="s">
        <v>123</v>
      </c>
      <c r="Q53" s="359"/>
      <c r="R53" s="401" t="s">
        <v>307</v>
      </c>
      <c r="S53" s="350"/>
      <c r="T53" s="350"/>
      <c r="U53" s="350"/>
      <c r="V53" s="341" t="s">
        <v>416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121</v>
      </c>
      <c r="B54" s="350"/>
      <c r="C54" s="249" t="s">
        <v>414</v>
      </c>
      <c r="D54" s="249"/>
      <c r="E54" s="249" t="s">
        <v>151</v>
      </c>
      <c r="F54" s="341" t="s">
        <v>267</v>
      </c>
      <c r="G54" s="341"/>
      <c r="H54" s="341"/>
      <c r="I54" s="341"/>
      <c r="J54" s="341"/>
      <c r="K54" s="341"/>
      <c r="L54" s="341"/>
      <c r="M54" s="351"/>
      <c r="N54" s="248" t="s">
        <v>247</v>
      </c>
      <c r="O54" s="124" t="s">
        <v>185</v>
      </c>
      <c r="P54" s="358"/>
      <c r="Q54" s="359"/>
      <c r="R54" s="350" t="s">
        <v>417</v>
      </c>
      <c r="S54" s="350"/>
      <c r="T54" s="350"/>
      <c r="U54" s="350"/>
      <c r="V54" s="341" t="s">
        <v>129</v>
      </c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/>
      <c r="B55" s="350"/>
      <c r="C55" s="249"/>
      <c r="D55" s="249"/>
      <c r="E55" s="249"/>
      <c r="F55" s="341"/>
      <c r="G55" s="341"/>
      <c r="H55" s="341"/>
      <c r="I55" s="341"/>
      <c r="J55" s="341"/>
      <c r="K55" s="341"/>
      <c r="L55" s="341"/>
      <c r="M55" s="351"/>
      <c r="N55" s="248" t="s">
        <v>121</v>
      </c>
      <c r="O55" s="124" t="s">
        <v>414</v>
      </c>
      <c r="P55" s="350"/>
      <c r="Q55" s="350"/>
      <c r="R55" s="350" t="s">
        <v>418</v>
      </c>
      <c r="S55" s="350"/>
      <c r="T55" s="350"/>
      <c r="U55" s="350"/>
      <c r="V55" s="341" t="s">
        <v>129</v>
      </c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/>
      <c r="B56" s="350"/>
      <c r="C56" s="249"/>
      <c r="D56" s="249"/>
      <c r="E56" s="249"/>
      <c r="F56" s="341"/>
      <c r="G56" s="341"/>
      <c r="H56" s="341"/>
      <c r="I56" s="341"/>
      <c r="J56" s="341"/>
      <c r="K56" s="341"/>
      <c r="L56" s="341"/>
      <c r="M56" s="351"/>
      <c r="N56" s="248"/>
      <c r="O56" s="124"/>
      <c r="P56" s="350"/>
      <c r="Q56" s="350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/>
      <c r="B57" s="350"/>
      <c r="C57" s="249"/>
      <c r="D57" s="249"/>
      <c r="E57" s="249"/>
      <c r="F57" s="341"/>
      <c r="G57" s="341"/>
      <c r="H57" s="341"/>
      <c r="I57" s="341"/>
      <c r="J57" s="341"/>
      <c r="K57" s="341"/>
      <c r="L57" s="341"/>
      <c r="M57" s="351"/>
      <c r="N57" s="248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249"/>
      <c r="D58" s="249"/>
      <c r="E58" s="249"/>
      <c r="F58" s="341"/>
      <c r="G58" s="341"/>
      <c r="H58" s="341"/>
      <c r="I58" s="341"/>
      <c r="J58" s="341"/>
      <c r="K58" s="341"/>
      <c r="L58" s="341"/>
      <c r="M58" s="351"/>
      <c r="N58" s="248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249"/>
      <c r="D59" s="249"/>
      <c r="E59" s="249"/>
      <c r="F59" s="341"/>
      <c r="G59" s="341"/>
      <c r="H59" s="341"/>
      <c r="I59" s="341"/>
      <c r="J59" s="341"/>
      <c r="K59" s="341"/>
      <c r="L59" s="341"/>
      <c r="M59" s="351"/>
      <c r="N59" s="248"/>
      <c r="O59" s="124"/>
      <c r="P59" s="358"/>
      <c r="Q59" s="359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</row>
    <row r="60" spans="1:32" ht="27" customHeight="1">
      <c r="A60" s="349"/>
      <c r="B60" s="350"/>
      <c r="C60" s="249"/>
      <c r="D60" s="249"/>
      <c r="E60" s="249"/>
      <c r="F60" s="341"/>
      <c r="G60" s="341"/>
      <c r="H60" s="341"/>
      <c r="I60" s="341"/>
      <c r="J60" s="341"/>
      <c r="K60" s="341"/>
      <c r="L60" s="341"/>
      <c r="M60" s="351"/>
      <c r="N60" s="248"/>
      <c r="O60" s="124"/>
      <c r="P60" s="350"/>
      <c r="Q60" s="350"/>
      <c r="R60" s="350"/>
      <c r="S60" s="350"/>
      <c r="T60" s="350"/>
      <c r="U60" s="350"/>
      <c r="V60" s="341"/>
      <c r="W60" s="341"/>
      <c r="X60" s="341"/>
      <c r="Y60" s="341"/>
      <c r="Z60" s="341"/>
      <c r="AA60" s="341"/>
      <c r="AB60" s="341"/>
      <c r="AC60" s="341"/>
      <c r="AD60" s="351"/>
      <c r="AF60" s="93">
        <f>8*3000</f>
        <v>24000</v>
      </c>
    </row>
    <row r="61" spans="1:32" ht="27" customHeight="1" thickBot="1">
      <c r="A61" s="352"/>
      <c r="B61" s="353"/>
      <c r="C61" s="251"/>
      <c r="D61" s="251"/>
      <c r="E61" s="251"/>
      <c r="F61" s="354"/>
      <c r="G61" s="354"/>
      <c r="H61" s="354"/>
      <c r="I61" s="354"/>
      <c r="J61" s="354"/>
      <c r="K61" s="354"/>
      <c r="L61" s="354"/>
      <c r="M61" s="355"/>
      <c r="N61" s="250"/>
      <c r="O61" s="120"/>
      <c r="P61" s="353"/>
      <c r="Q61" s="353"/>
      <c r="R61" s="353"/>
      <c r="S61" s="353"/>
      <c r="T61" s="353"/>
      <c r="U61" s="353"/>
      <c r="V61" s="356"/>
      <c r="W61" s="356"/>
      <c r="X61" s="356"/>
      <c r="Y61" s="356"/>
      <c r="Z61" s="356"/>
      <c r="AA61" s="356"/>
      <c r="AB61" s="356"/>
      <c r="AC61" s="356"/>
      <c r="AD61" s="357"/>
      <c r="AF61" s="93">
        <f>16*3000</f>
        <v>48000</v>
      </c>
    </row>
    <row r="62" spans="1:32" ht="27.75" thickBot="1">
      <c r="A62" s="347" t="s">
        <v>419</v>
      </c>
      <c r="B62" s="347"/>
      <c r="C62" s="347"/>
      <c r="D62" s="347"/>
      <c r="E62" s="34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48" t="s">
        <v>113</v>
      </c>
      <c r="B63" s="345"/>
      <c r="C63" s="252" t="s">
        <v>2</v>
      </c>
      <c r="D63" s="252" t="s">
        <v>37</v>
      </c>
      <c r="E63" s="252" t="s">
        <v>3</v>
      </c>
      <c r="F63" s="345" t="s">
        <v>110</v>
      </c>
      <c r="G63" s="345"/>
      <c r="H63" s="345"/>
      <c r="I63" s="345"/>
      <c r="J63" s="345"/>
      <c r="K63" s="345" t="s">
        <v>39</v>
      </c>
      <c r="L63" s="345"/>
      <c r="M63" s="252" t="s">
        <v>40</v>
      </c>
      <c r="N63" s="345" t="s">
        <v>41</v>
      </c>
      <c r="O63" s="345"/>
      <c r="P63" s="342" t="s">
        <v>42</v>
      </c>
      <c r="Q63" s="344"/>
      <c r="R63" s="342" t="s">
        <v>43</v>
      </c>
      <c r="S63" s="343"/>
      <c r="T63" s="343"/>
      <c r="U63" s="343"/>
      <c r="V63" s="343"/>
      <c r="W63" s="343"/>
      <c r="X63" s="343"/>
      <c r="Y63" s="343"/>
      <c r="Z63" s="343"/>
      <c r="AA63" s="344"/>
      <c r="AB63" s="345" t="s">
        <v>44</v>
      </c>
      <c r="AC63" s="345"/>
      <c r="AD63" s="346"/>
      <c r="AF63" s="93">
        <f>SUM(AF60:AF62)</f>
        <v>96000</v>
      </c>
    </row>
    <row r="64" spans="1:32" ht="25.5" customHeight="1">
      <c r="A64" s="337">
        <v>1</v>
      </c>
      <c r="B64" s="338"/>
      <c r="C64" s="123" t="s">
        <v>125</v>
      </c>
      <c r="D64" s="255"/>
      <c r="E64" s="253" t="s">
        <v>285</v>
      </c>
      <c r="F64" s="339" t="s">
        <v>420</v>
      </c>
      <c r="G64" s="331"/>
      <c r="H64" s="331"/>
      <c r="I64" s="331"/>
      <c r="J64" s="331"/>
      <c r="K64" s="331" t="s">
        <v>132</v>
      </c>
      <c r="L64" s="331"/>
      <c r="M64" s="54" t="s">
        <v>282</v>
      </c>
      <c r="N64" s="331">
        <v>11</v>
      </c>
      <c r="O64" s="331"/>
      <c r="P64" s="340">
        <v>50</v>
      </c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2</v>
      </c>
      <c r="B65" s="338"/>
      <c r="C65" s="123"/>
      <c r="D65" s="255"/>
      <c r="E65" s="253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3</v>
      </c>
      <c r="B66" s="338"/>
      <c r="C66" s="123"/>
      <c r="D66" s="255"/>
      <c r="E66" s="253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4</v>
      </c>
      <c r="B67" s="338"/>
      <c r="C67" s="123"/>
      <c r="D67" s="255"/>
      <c r="E67" s="253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5</v>
      </c>
      <c r="B68" s="338"/>
      <c r="C68" s="123"/>
      <c r="D68" s="255"/>
      <c r="E68" s="253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6</v>
      </c>
      <c r="B69" s="338"/>
      <c r="C69" s="123"/>
      <c r="D69" s="255"/>
      <c r="E69" s="253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7</v>
      </c>
      <c r="B70" s="338"/>
      <c r="C70" s="123"/>
      <c r="D70" s="255"/>
      <c r="E70" s="253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5.5" customHeight="1">
      <c r="A71" s="337">
        <v>8</v>
      </c>
      <c r="B71" s="338"/>
      <c r="C71" s="123"/>
      <c r="D71" s="255"/>
      <c r="E71" s="253"/>
      <c r="F71" s="339"/>
      <c r="G71" s="331"/>
      <c r="H71" s="331"/>
      <c r="I71" s="331"/>
      <c r="J71" s="331"/>
      <c r="K71" s="331"/>
      <c r="L71" s="331"/>
      <c r="M71" s="54"/>
      <c r="N71" s="331"/>
      <c r="O71" s="331"/>
      <c r="P71" s="340"/>
      <c r="Q71" s="340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31"/>
      <c r="AC71" s="331"/>
      <c r="AD71" s="332"/>
      <c r="AF71" s="53"/>
    </row>
    <row r="72" spans="1:32" ht="26.25" customHeight="1" thickBot="1">
      <c r="A72" s="311" t="s">
        <v>421</v>
      </c>
      <c r="B72" s="311"/>
      <c r="C72" s="311"/>
      <c r="D72" s="311"/>
      <c r="E72" s="311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12" t="s">
        <v>113</v>
      </c>
      <c r="B73" s="313"/>
      <c r="C73" s="254" t="s">
        <v>2</v>
      </c>
      <c r="D73" s="254" t="s">
        <v>37</v>
      </c>
      <c r="E73" s="254" t="s">
        <v>3</v>
      </c>
      <c r="F73" s="313" t="s">
        <v>38</v>
      </c>
      <c r="G73" s="313"/>
      <c r="H73" s="313"/>
      <c r="I73" s="313"/>
      <c r="J73" s="313"/>
      <c r="K73" s="333" t="s">
        <v>58</v>
      </c>
      <c r="L73" s="334"/>
      <c r="M73" s="334"/>
      <c r="N73" s="334"/>
      <c r="O73" s="334"/>
      <c r="P73" s="334"/>
      <c r="Q73" s="334"/>
      <c r="R73" s="334"/>
      <c r="S73" s="335"/>
      <c r="T73" s="313" t="s">
        <v>49</v>
      </c>
      <c r="U73" s="313"/>
      <c r="V73" s="333" t="s">
        <v>50</v>
      </c>
      <c r="W73" s="335"/>
      <c r="X73" s="334" t="s">
        <v>51</v>
      </c>
      <c r="Y73" s="334"/>
      <c r="Z73" s="334"/>
      <c r="AA73" s="334"/>
      <c r="AB73" s="334"/>
      <c r="AC73" s="334"/>
      <c r="AD73" s="336"/>
      <c r="AF73" s="53"/>
    </row>
    <row r="74" spans="1:32" ht="33.75" customHeight="1">
      <c r="A74" s="305">
        <v>1</v>
      </c>
      <c r="B74" s="306"/>
      <c r="C74" s="256" t="s">
        <v>114</v>
      </c>
      <c r="D74" s="256"/>
      <c r="E74" s="71" t="s">
        <v>246</v>
      </c>
      <c r="F74" s="320" t="s">
        <v>221</v>
      </c>
      <c r="G74" s="321"/>
      <c r="H74" s="321"/>
      <c r="I74" s="321"/>
      <c r="J74" s="322"/>
      <c r="K74" s="323" t="s">
        <v>301</v>
      </c>
      <c r="L74" s="324"/>
      <c r="M74" s="324"/>
      <c r="N74" s="324"/>
      <c r="O74" s="324"/>
      <c r="P74" s="324"/>
      <c r="Q74" s="324"/>
      <c r="R74" s="324"/>
      <c r="S74" s="325"/>
      <c r="T74" s="326">
        <v>43384</v>
      </c>
      <c r="U74" s="327"/>
      <c r="V74" s="328"/>
      <c r="W74" s="328"/>
      <c r="X74" s="329"/>
      <c r="Y74" s="329"/>
      <c r="Z74" s="329"/>
      <c r="AA74" s="329"/>
      <c r="AB74" s="329"/>
      <c r="AC74" s="329"/>
      <c r="AD74" s="330"/>
      <c r="AF74" s="53"/>
    </row>
    <row r="75" spans="1:32" ht="30" customHeight="1">
      <c r="A75" s="298">
        <f>A74+1</f>
        <v>2</v>
      </c>
      <c r="B75" s="299"/>
      <c r="C75" s="255"/>
      <c r="D75" s="255"/>
      <c r="E75" s="35"/>
      <c r="F75" s="299"/>
      <c r="G75" s="299"/>
      <c r="H75" s="299"/>
      <c r="I75" s="299"/>
      <c r="J75" s="299"/>
      <c r="K75" s="314"/>
      <c r="L75" s="315"/>
      <c r="M75" s="315"/>
      <c r="N75" s="315"/>
      <c r="O75" s="315"/>
      <c r="P75" s="315"/>
      <c r="Q75" s="315"/>
      <c r="R75" s="315"/>
      <c r="S75" s="316"/>
      <c r="T75" s="317"/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ref="A76:A82" si="11">A75+1</f>
        <v>3</v>
      </c>
      <c r="B76" s="299"/>
      <c r="C76" s="255"/>
      <c r="D76" s="255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1"/>
        <v>4</v>
      </c>
      <c r="B77" s="299"/>
      <c r="C77" s="255"/>
      <c r="D77" s="255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1"/>
        <v>5</v>
      </c>
      <c r="B78" s="299"/>
      <c r="C78" s="255"/>
      <c r="D78" s="255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1"/>
        <v>6</v>
      </c>
      <c r="B79" s="299"/>
      <c r="C79" s="255"/>
      <c r="D79" s="255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1"/>
        <v>7</v>
      </c>
      <c r="B80" s="299"/>
      <c r="C80" s="255"/>
      <c r="D80" s="255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1"/>
        <v>8</v>
      </c>
      <c r="B81" s="299"/>
      <c r="C81" s="255"/>
      <c r="D81" s="255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0" customHeight="1">
      <c r="A82" s="298">
        <f t="shared" si="11"/>
        <v>9</v>
      </c>
      <c r="B82" s="299"/>
      <c r="C82" s="255"/>
      <c r="D82" s="255"/>
      <c r="E82" s="35"/>
      <c r="F82" s="299"/>
      <c r="G82" s="299"/>
      <c r="H82" s="299"/>
      <c r="I82" s="299"/>
      <c r="J82" s="299"/>
      <c r="K82" s="314"/>
      <c r="L82" s="315"/>
      <c r="M82" s="315"/>
      <c r="N82" s="315"/>
      <c r="O82" s="315"/>
      <c r="P82" s="315"/>
      <c r="Q82" s="315"/>
      <c r="R82" s="315"/>
      <c r="S82" s="316"/>
      <c r="T82" s="317"/>
      <c r="U82" s="317"/>
      <c r="V82" s="317"/>
      <c r="W82" s="317"/>
      <c r="X82" s="318"/>
      <c r="Y82" s="318"/>
      <c r="Z82" s="318"/>
      <c r="AA82" s="318"/>
      <c r="AB82" s="318"/>
      <c r="AC82" s="318"/>
      <c r="AD82" s="319"/>
      <c r="AF82" s="53"/>
    </row>
    <row r="83" spans="1:32" ht="36" thickBot="1">
      <c r="A83" s="311" t="s">
        <v>422</v>
      </c>
      <c r="B83" s="311"/>
      <c r="C83" s="311"/>
      <c r="D83" s="311"/>
      <c r="E83" s="311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12" t="s">
        <v>113</v>
      </c>
      <c r="B84" s="313"/>
      <c r="C84" s="303" t="s">
        <v>52</v>
      </c>
      <c r="D84" s="303"/>
      <c r="E84" s="303" t="s">
        <v>53</v>
      </c>
      <c r="F84" s="303"/>
      <c r="G84" s="303"/>
      <c r="H84" s="303"/>
      <c r="I84" s="303"/>
      <c r="J84" s="303"/>
      <c r="K84" s="303" t="s">
        <v>54</v>
      </c>
      <c r="L84" s="303"/>
      <c r="M84" s="303"/>
      <c r="N84" s="303"/>
      <c r="O84" s="303"/>
      <c r="P84" s="303"/>
      <c r="Q84" s="303"/>
      <c r="R84" s="303"/>
      <c r="S84" s="303"/>
      <c r="T84" s="303" t="s">
        <v>55</v>
      </c>
      <c r="U84" s="303"/>
      <c r="V84" s="303" t="s">
        <v>56</v>
      </c>
      <c r="W84" s="303"/>
      <c r="X84" s="303"/>
      <c r="Y84" s="303" t="s">
        <v>51</v>
      </c>
      <c r="Z84" s="303"/>
      <c r="AA84" s="303"/>
      <c r="AB84" s="303"/>
      <c r="AC84" s="303"/>
      <c r="AD84" s="304"/>
      <c r="AF84" s="53"/>
    </row>
    <row r="85" spans="1:32" ht="30.75" customHeight="1">
      <c r="A85" s="305">
        <v>1</v>
      </c>
      <c r="B85" s="306"/>
      <c r="C85" s="307">
        <v>9</v>
      </c>
      <c r="D85" s="307"/>
      <c r="E85" s="307" t="s">
        <v>141</v>
      </c>
      <c r="F85" s="307"/>
      <c r="G85" s="307"/>
      <c r="H85" s="307"/>
      <c r="I85" s="307"/>
      <c r="J85" s="307"/>
      <c r="K85" s="307" t="s">
        <v>142</v>
      </c>
      <c r="L85" s="307"/>
      <c r="M85" s="307"/>
      <c r="N85" s="307"/>
      <c r="O85" s="307"/>
      <c r="P85" s="307"/>
      <c r="Q85" s="307"/>
      <c r="R85" s="307"/>
      <c r="S85" s="307"/>
      <c r="T85" s="307" t="s">
        <v>143</v>
      </c>
      <c r="U85" s="307"/>
      <c r="V85" s="308">
        <v>11307000</v>
      </c>
      <c r="W85" s="308"/>
      <c r="X85" s="308"/>
      <c r="Y85" s="309"/>
      <c r="Z85" s="309"/>
      <c r="AA85" s="309"/>
      <c r="AB85" s="309"/>
      <c r="AC85" s="309"/>
      <c r="AD85" s="310"/>
      <c r="AF85" s="53"/>
    </row>
    <row r="86" spans="1:32" ht="30.75" customHeight="1">
      <c r="A86" s="298">
        <v>2</v>
      </c>
      <c r="B86" s="299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1"/>
      <c r="U86" s="301"/>
      <c r="V86" s="302"/>
      <c r="W86" s="302"/>
      <c r="X86" s="302"/>
      <c r="Y86" s="291"/>
      <c r="Z86" s="291"/>
      <c r="AA86" s="291"/>
      <c r="AB86" s="291"/>
      <c r="AC86" s="291"/>
      <c r="AD86" s="292"/>
      <c r="AF86" s="53"/>
    </row>
    <row r="87" spans="1:32" ht="30.75" customHeight="1" thickBot="1">
      <c r="A87" s="293">
        <v>3</v>
      </c>
      <c r="B87" s="294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  <c r="Y87" s="296"/>
      <c r="Z87" s="296"/>
      <c r="AA87" s="296"/>
      <c r="AB87" s="296"/>
      <c r="AC87" s="296"/>
      <c r="AD87" s="29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3AF0-08AF-4938-BFD5-7DBE7C106811}">
  <sheetPr>
    <pageSetUpPr fitToPage="1"/>
  </sheetPr>
  <dimension ref="A1:AF86"/>
  <sheetViews>
    <sheetView zoomScale="72" zoomScaleNormal="72" zoomScaleSheetLayoutView="70" workbookViewId="0">
      <selection activeCell="K78" sqref="K78:S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423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267" t="s">
        <v>17</v>
      </c>
      <c r="L5" s="267" t="s">
        <v>18</v>
      </c>
      <c r="M5" s="267" t="s">
        <v>19</v>
      </c>
      <c r="N5" s="26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0.36388888888888887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0.36388888888888887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152</v>
      </c>
      <c r="E8" s="57" t="s">
        <v>159</v>
      </c>
      <c r="F8" s="33" t="s">
        <v>147</v>
      </c>
      <c r="G8" s="36">
        <v>1</v>
      </c>
      <c r="H8" s="38">
        <v>25</v>
      </c>
      <c r="I8" s="7">
        <v>18000</v>
      </c>
      <c r="J8" s="5">
        <v>2564</v>
      </c>
      <c r="K8" s="15">
        <f>L8+4451</f>
        <v>7015</v>
      </c>
      <c r="L8" s="15">
        <v>2564</v>
      </c>
      <c r="M8" s="16">
        <f t="shared" si="0"/>
        <v>2564</v>
      </c>
      <c r="N8" s="16">
        <v>0</v>
      </c>
      <c r="O8" s="62">
        <f t="shared" si="1"/>
        <v>0</v>
      </c>
      <c r="P8" s="42">
        <f t="shared" si="2"/>
        <v>16</v>
      </c>
      <c r="Q8" s="43">
        <f t="shared" si="3"/>
        <v>8</v>
      </c>
      <c r="R8" s="7">
        <v>8</v>
      </c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0.66666666666666663</v>
      </c>
      <c r="AD8" s="10">
        <f t="shared" si="6"/>
        <v>0.66666666666666663</v>
      </c>
      <c r="AE8" s="39">
        <f t="shared" si="7"/>
        <v>0.36388888888888887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125</v>
      </c>
      <c r="D9" s="55" t="s">
        <v>123</v>
      </c>
      <c r="E9" s="57" t="s">
        <v>158</v>
      </c>
      <c r="F9" s="33" t="s">
        <v>146</v>
      </c>
      <c r="G9" s="36">
        <v>1</v>
      </c>
      <c r="H9" s="38">
        <v>25</v>
      </c>
      <c r="I9" s="7">
        <v>18000</v>
      </c>
      <c r="J9" s="5">
        <v>4675</v>
      </c>
      <c r="K9" s="15">
        <f>L9+3346</f>
        <v>8021</v>
      </c>
      <c r="L9" s="15">
        <f>2588+2087</f>
        <v>4675</v>
      </c>
      <c r="M9" s="16">
        <f t="shared" si="0"/>
        <v>4675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1</v>
      </c>
      <c r="AD9" s="10">
        <f t="shared" si="6"/>
        <v>1</v>
      </c>
      <c r="AE9" s="39">
        <f t="shared" si="7"/>
        <v>0.36388888888888887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125</v>
      </c>
      <c r="D10" s="55" t="s">
        <v>149</v>
      </c>
      <c r="E10" s="57" t="s">
        <v>148</v>
      </c>
      <c r="F10" s="12" t="s">
        <v>147</v>
      </c>
      <c r="G10" s="12">
        <v>2</v>
      </c>
      <c r="H10" s="13">
        <v>25</v>
      </c>
      <c r="I10" s="7">
        <v>40000</v>
      </c>
      <c r="J10" s="14">
        <v>10478</v>
      </c>
      <c r="K10" s="15">
        <f>L10</f>
        <v>10478</v>
      </c>
      <c r="L10" s="15">
        <f>3289*2+1950*2</f>
        <v>10478</v>
      </c>
      <c r="M10" s="16">
        <f t="shared" si="0"/>
        <v>10478</v>
      </c>
      <c r="N10" s="16">
        <v>0</v>
      </c>
      <c r="O10" s="62">
        <f t="shared" si="1"/>
        <v>0</v>
      </c>
      <c r="P10" s="42">
        <f t="shared" si="2"/>
        <v>23</v>
      </c>
      <c r="Q10" s="43">
        <f t="shared" si="3"/>
        <v>1</v>
      </c>
      <c r="R10" s="7"/>
      <c r="S10" s="6"/>
      <c r="T10" s="17">
        <v>1</v>
      </c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0.95833333333333337</v>
      </c>
      <c r="AD10" s="10">
        <f t="shared" si="6"/>
        <v>0.95833333333333337</v>
      </c>
      <c r="AE10" s="39">
        <f t="shared" si="7"/>
        <v>0.36388888888888887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6500</v>
      </c>
      <c r="J11" s="5">
        <v>2357</v>
      </c>
      <c r="K11" s="15">
        <f>L11+5687+2357</f>
        <v>8044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0.36388888888888887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130</v>
      </c>
      <c r="E12" s="57" t="s">
        <v>157</v>
      </c>
      <c r="F12" s="12" t="s">
        <v>128</v>
      </c>
      <c r="G12" s="12">
        <v>1</v>
      </c>
      <c r="H12" s="13">
        <v>25</v>
      </c>
      <c r="I12" s="7">
        <v>20000</v>
      </c>
      <c r="J12" s="14">
        <v>4966</v>
      </c>
      <c r="K12" s="15">
        <f>L12+3050+5746</f>
        <v>13762</v>
      </c>
      <c r="L12" s="15">
        <f>2762+2204</f>
        <v>4966</v>
      </c>
      <c r="M12" s="16">
        <f t="shared" si="0"/>
        <v>4966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1</v>
      </c>
      <c r="AD12" s="10">
        <f t="shared" si="6"/>
        <v>1</v>
      </c>
      <c r="AE12" s="39">
        <f t="shared" si="7"/>
        <v>0.36388888888888887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295</v>
      </c>
      <c r="F13" s="12" t="s">
        <v>146</v>
      </c>
      <c r="G13" s="12">
        <v>1</v>
      </c>
      <c r="H13" s="13">
        <v>25</v>
      </c>
      <c r="I13" s="7">
        <v>35000</v>
      </c>
      <c r="J13" s="14">
        <v>5081</v>
      </c>
      <c r="K13" s="15">
        <f>L13+761+4519+1386+1615+5006+5081</f>
        <v>18368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0.36388888888888887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139</v>
      </c>
      <c r="F14" s="33" t="s">
        <v>138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0.36388888888888887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136</v>
      </c>
      <c r="D15" s="55" t="s">
        <v>131</v>
      </c>
      <c r="E15" s="57" t="s">
        <v>195</v>
      </c>
      <c r="F15" s="12" t="s">
        <v>207</v>
      </c>
      <c r="G15" s="12">
        <v>3</v>
      </c>
      <c r="H15" s="13">
        <v>24</v>
      </c>
      <c r="I15" s="34">
        <v>6000</v>
      </c>
      <c r="J15" s="14">
        <v>7454</v>
      </c>
      <c r="K15" s="15">
        <f>L15+7545</f>
        <v>7545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0.36388888888888887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125</v>
      </c>
      <c r="D16" s="55" t="s">
        <v>149</v>
      </c>
      <c r="E16" s="57" t="s">
        <v>353</v>
      </c>
      <c r="F16" s="33" t="s">
        <v>147</v>
      </c>
      <c r="G16" s="36">
        <v>2</v>
      </c>
      <c r="H16" s="38">
        <v>24</v>
      </c>
      <c r="I16" s="7">
        <v>2000</v>
      </c>
      <c r="J16" s="5">
        <v>6912</v>
      </c>
      <c r="K16" s="15">
        <f>L16+6912</f>
        <v>6912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0.36388888888888887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247</v>
      </c>
      <c r="D17" s="55"/>
      <c r="E17" s="57" t="s">
        <v>424</v>
      </c>
      <c r="F17" s="12">
        <v>8301</v>
      </c>
      <c r="G17" s="12" t="s">
        <v>167</v>
      </c>
      <c r="H17" s="13">
        <v>24</v>
      </c>
      <c r="I17" s="34">
        <v>2000</v>
      </c>
      <c r="J17" s="14">
        <v>1660</v>
      </c>
      <c r="K17" s="15">
        <f>L17</f>
        <v>1660</v>
      </c>
      <c r="L17" s="15">
        <f>1660</f>
        <v>1660</v>
      </c>
      <c r="M17" s="16">
        <f t="shared" si="0"/>
        <v>1660</v>
      </c>
      <c r="N17" s="16">
        <v>0</v>
      </c>
      <c r="O17" s="62">
        <f t="shared" si="1"/>
        <v>0</v>
      </c>
      <c r="P17" s="42">
        <f t="shared" si="2"/>
        <v>9</v>
      </c>
      <c r="Q17" s="43">
        <f t="shared" si="3"/>
        <v>15</v>
      </c>
      <c r="R17" s="7"/>
      <c r="S17" s="6"/>
      <c r="T17" s="17"/>
      <c r="U17" s="17"/>
      <c r="V17" s="18"/>
      <c r="W17" s="19">
        <v>15</v>
      </c>
      <c r="X17" s="17"/>
      <c r="Y17" s="20"/>
      <c r="Z17" s="20"/>
      <c r="AA17" s="21"/>
      <c r="AB17" s="8">
        <f t="shared" si="4"/>
        <v>1</v>
      </c>
      <c r="AC17" s="9">
        <f t="shared" si="5"/>
        <v>0.375</v>
      </c>
      <c r="AD17" s="10">
        <f t="shared" si="6"/>
        <v>0.375</v>
      </c>
      <c r="AE17" s="39">
        <f t="shared" si="7"/>
        <v>0.36388888888888887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125</v>
      </c>
      <c r="D18" s="55" t="s">
        <v>131</v>
      </c>
      <c r="E18" s="57" t="s">
        <v>160</v>
      </c>
      <c r="F18" s="12" t="s">
        <v>382</v>
      </c>
      <c r="G18" s="36">
        <v>1</v>
      </c>
      <c r="H18" s="38">
        <v>24</v>
      </c>
      <c r="I18" s="7">
        <v>20000</v>
      </c>
      <c r="J18" s="5">
        <v>5815</v>
      </c>
      <c r="K18" s="15">
        <f>L18+3906+6347</f>
        <v>16068</v>
      </c>
      <c r="L18" s="15">
        <f>3253+2562</f>
        <v>5815</v>
      </c>
      <c r="M18" s="16">
        <f t="shared" si="0"/>
        <v>5815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1</v>
      </c>
      <c r="AD18" s="10">
        <f t="shared" si="6"/>
        <v>1</v>
      </c>
      <c r="AE18" s="39">
        <f t="shared" si="7"/>
        <v>0.36388888888888887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11" t="s">
        <v>114</v>
      </c>
      <c r="D19" s="55" t="s">
        <v>219</v>
      </c>
      <c r="E19" s="57" t="s">
        <v>384</v>
      </c>
      <c r="F19" s="12">
        <v>7301</v>
      </c>
      <c r="G19" s="36">
        <v>1</v>
      </c>
      <c r="H19" s="13">
        <v>24</v>
      </c>
      <c r="I19" s="7">
        <v>6500</v>
      </c>
      <c r="J19" s="14">
        <v>4430</v>
      </c>
      <c r="K19" s="15">
        <f>L19+2390+4430</f>
        <v>6820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0.36388888888888887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151</v>
      </c>
      <c r="F20" s="12" t="s">
        <v>122</v>
      </c>
      <c r="G20" s="12">
        <v>4</v>
      </c>
      <c r="H20" s="38">
        <v>20</v>
      </c>
      <c r="I20" s="7">
        <v>300000</v>
      </c>
      <c r="J20" s="14">
        <v>21192</v>
      </c>
      <c r="K20" s="15">
        <f>L20</f>
        <v>21192</v>
      </c>
      <c r="L20" s="15">
        <f>1556*4+3742*4</f>
        <v>21192</v>
      </c>
      <c r="M20" s="16">
        <f t="shared" si="0"/>
        <v>21192</v>
      </c>
      <c r="N20" s="16">
        <v>0</v>
      </c>
      <c r="O20" s="62">
        <f t="shared" si="1"/>
        <v>0</v>
      </c>
      <c r="P20" s="42">
        <f t="shared" si="2"/>
        <v>11</v>
      </c>
      <c r="Q20" s="43">
        <f t="shared" si="3"/>
        <v>13</v>
      </c>
      <c r="R20" s="7"/>
      <c r="S20" s="6"/>
      <c r="T20" s="17"/>
      <c r="U20" s="17"/>
      <c r="V20" s="18">
        <v>13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0.45833333333333331</v>
      </c>
      <c r="AD20" s="10">
        <f t="shared" si="6"/>
        <v>0.45833333333333331</v>
      </c>
      <c r="AE20" s="39">
        <f t="shared" si="7"/>
        <v>0.36388888888888887</v>
      </c>
      <c r="AF20" s="93">
        <f t="shared" si="8"/>
        <v>15</v>
      </c>
    </row>
    <row r="21" spans="1:32" ht="31.5" customHeight="1" thickBot="1">
      <c r="A21" s="362" t="s">
        <v>34</v>
      </c>
      <c r="B21" s="363"/>
      <c r="C21" s="363"/>
      <c r="D21" s="363"/>
      <c r="E21" s="363"/>
      <c r="F21" s="363"/>
      <c r="G21" s="363"/>
      <c r="H21" s="364"/>
      <c r="I21" s="25">
        <f t="shared" ref="I21:N21" si="9">SUM(I6:I20)</f>
        <v>475000</v>
      </c>
      <c r="J21" s="22">
        <f t="shared" si="9"/>
        <v>78652</v>
      </c>
      <c r="K21" s="23">
        <f t="shared" si="9"/>
        <v>126953</v>
      </c>
      <c r="L21" s="24">
        <f t="shared" si="9"/>
        <v>51350</v>
      </c>
      <c r="M21" s="23">
        <f t="shared" si="9"/>
        <v>51350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131</v>
      </c>
      <c r="Q21" s="46">
        <f t="shared" si="10"/>
        <v>229</v>
      </c>
      <c r="R21" s="26">
        <f t="shared" si="10"/>
        <v>56</v>
      </c>
      <c r="S21" s="27">
        <f t="shared" si="10"/>
        <v>24</v>
      </c>
      <c r="T21" s="27">
        <f t="shared" si="10"/>
        <v>1</v>
      </c>
      <c r="U21" s="27">
        <f t="shared" si="10"/>
        <v>0</v>
      </c>
      <c r="V21" s="28">
        <f t="shared" si="10"/>
        <v>13</v>
      </c>
      <c r="W21" s="29">
        <f t="shared" si="10"/>
        <v>135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0.46666666666666667</v>
      </c>
      <c r="AC21" s="4">
        <f>SUM(AC6:AC20)/15</f>
        <v>0.36388888888888887</v>
      </c>
      <c r="AD21" s="4">
        <f>SUM(AD6:AD20)/15</f>
        <v>0.36388888888888887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5" t="s">
        <v>45</v>
      </c>
      <c r="B48" s="365"/>
      <c r="C48" s="365"/>
      <c r="D48" s="365"/>
      <c r="E48" s="36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66" t="s">
        <v>425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8"/>
      <c r="N49" s="369" t="s">
        <v>426</v>
      </c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1"/>
    </row>
    <row r="50" spans="1:32" ht="27" customHeight="1">
      <c r="A50" s="372" t="s">
        <v>2</v>
      </c>
      <c r="B50" s="373"/>
      <c r="C50" s="266" t="s">
        <v>46</v>
      </c>
      <c r="D50" s="266" t="s">
        <v>47</v>
      </c>
      <c r="E50" s="266" t="s">
        <v>108</v>
      </c>
      <c r="F50" s="373" t="s">
        <v>107</v>
      </c>
      <c r="G50" s="373"/>
      <c r="H50" s="373"/>
      <c r="I50" s="373"/>
      <c r="J50" s="373"/>
      <c r="K50" s="373"/>
      <c r="L50" s="373"/>
      <c r="M50" s="374"/>
      <c r="N50" s="73" t="s">
        <v>112</v>
      </c>
      <c r="O50" s="266" t="s">
        <v>46</v>
      </c>
      <c r="P50" s="375" t="s">
        <v>47</v>
      </c>
      <c r="Q50" s="376"/>
      <c r="R50" s="375" t="s">
        <v>38</v>
      </c>
      <c r="S50" s="377"/>
      <c r="T50" s="377"/>
      <c r="U50" s="376"/>
      <c r="V50" s="375" t="s">
        <v>48</v>
      </c>
      <c r="W50" s="377"/>
      <c r="X50" s="377"/>
      <c r="Y50" s="377"/>
      <c r="Z50" s="377"/>
      <c r="AA50" s="377"/>
      <c r="AB50" s="377"/>
      <c r="AC50" s="377"/>
      <c r="AD50" s="378"/>
    </row>
    <row r="51" spans="1:32" ht="27" customHeight="1">
      <c r="A51" s="349" t="s">
        <v>125</v>
      </c>
      <c r="B51" s="350"/>
      <c r="C51" s="263" t="s">
        <v>133</v>
      </c>
      <c r="D51" s="263" t="s">
        <v>149</v>
      </c>
      <c r="E51" s="263" t="s">
        <v>148</v>
      </c>
      <c r="F51" s="341" t="s">
        <v>129</v>
      </c>
      <c r="G51" s="341"/>
      <c r="H51" s="341"/>
      <c r="I51" s="341"/>
      <c r="J51" s="341"/>
      <c r="K51" s="341"/>
      <c r="L51" s="341"/>
      <c r="M51" s="351"/>
      <c r="N51" s="262" t="s">
        <v>114</v>
      </c>
      <c r="O51" s="124" t="s">
        <v>135</v>
      </c>
      <c r="P51" s="358" t="s">
        <v>123</v>
      </c>
      <c r="Q51" s="359"/>
      <c r="R51" s="401" t="s">
        <v>307</v>
      </c>
      <c r="S51" s="350"/>
      <c r="T51" s="350"/>
      <c r="U51" s="350"/>
      <c r="V51" s="341" t="s">
        <v>416</v>
      </c>
      <c r="W51" s="341"/>
      <c r="X51" s="341"/>
      <c r="Y51" s="341"/>
      <c r="Z51" s="341"/>
      <c r="AA51" s="341"/>
      <c r="AB51" s="341"/>
      <c r="AC51" s="341"/>
      <c r="AD51" s="351"/>
    </row>
    <row r="52" spans="1:32" ht="27" customHeight="1">
      <c r="A52" s="349" t="s">
        <v>314</v>
      </c>
      <c r="B52" s="350"/>
      <c r="C52" s="263" t="s">
        <v>185</v>
      </c>
      <c r="D52" s="263"/>
      <c r="E52" s="263" t="s">
        <v>417</v>
      </c>
      <c r="F52" s="341" t="s">
        <v>129</v>
      </c>
      <c r="G52" s="341"/>
      <c r="H52" s="341"/>
      <c r="I52" s="341"/>
      <c r="J52" s="341"/>
      <c r="K52" s="341"/>
      <c r="L52" s="341"/>
      <c r="M52" s="351"/>
      <c r="N52" s="262" t="s">
        <v>125</v>
      </c>
      <c r="O52" s="124" t="s">
        <v>427</v>
      </c>
      <c r="P52" s="358" t="s">
        <v>285</v>
      </c>
      <c r="Q52" s="359"/>
      <c r="R52" s="401" t="s">
        <v>428</v>
      </c>
      <c r="S52" s="350"/>
      <c r="T52" s="350"/>
      <c r="U52" s="350"/>
      <c r="V52" s="341" t="s">
        <v>129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121</v>
      </c>
      <c r="B53" s="350"/>
      <c r="C53" s="263" t="s">
        <v>414</v>
      </c>
      <c r="D53" s="263"/>
      <c r="E53" s="263" t="s">
        <v>151</v>
      </c>
      <c r="F53" s="341" t="s">
        <v>129</v>
      </c>
      <c r="G53" s="341"/>
      <c r="H53" s="341"/>
      <c r="I53" s="341"/>
      <c r="J53" s="341"/>
      <c r="K53" s="341"/>
      <c r="L53" s="341"/>
      <c r="M53" s="351"/>
      <c r="N53" s="262" t="s">
        <v>136</v>
      </c>
      <c r="O53" s="124" t="s">
        <v>183</v>
      </c>
      <c r="P53" s="358" t="s">
        <v>123</v>
      </c>
      <c r="Q53" s="359"/>
      <c r="R53" s="350" t="s">
        <v>429</v>
      </c>
      <c r="S53" s="350"/>
      <c r="T53" s="350"/>
      <c r="U53" s="350"/>
      <c r="V53" s="341" t="s">
        <v>129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/>
      <c r="B54" s="350"/>
      <c r="C54" s="263"/>
      <c r="D54" s="263"/>
      <c r="E54" s="263"/>
      <c r="F54" s="341"/>
      <c r="G54" s="341"/>
      <c r="H54" s="341"/>
      <c r="I54" s="341"/>
      <c r="J54" s="341"/>
      <c r="K54" s="341"/>
      <c r="L54" s="341"/>
      <c r="M54" s="351"/>
      <c r="N54" s="262"/>
      <c r="O54" s="124"/>
      <c r="P54" s="350"/>
      <c r="Q54" s="350"/>
      <c r="R54" s="350"/>
      <c r="S54" s="350"/>
      <c r="T54" s="350"/>
      <c r="U54" s="350"/>
      <c r="V54" s="341"/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/>
      <c r="B55" s="350"/>
      <c r="C55" s="263"/>
      <c r="D55" s="263"/>
      <c r="E55" s="263"/>
      <c r="F55" s="341"/>
      <c r="G55" s="341"/>
      <c r="H55" s="341"/>
      <c r="I55" s="341"/>
      <c r="J55" s="341"/>
      <c r="K55" s="341"/>
      <c r="L55" s="341"/>
      <c r="M55" s="351"/>
      <c r="N55" s="262"/>
      <c r="O55" s="124"/>
      <c r="P55" s="350"/>
      <c r="Q55" s="350"/>
      <c r="R55" s="350"/>
      <c r="S55" s="350"/>
      <c r="T55" s="350"/>
      <c r="U55" s="350"/>
      <c r="V55" s="341"/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/>
      <c r="B56" s="350"/>
      <c r="C56" s="263"/>
      <c r="D56" s="263"/>
      <c r="E56" s="263"/>
      <c r="F56" s="341"/>
      <c r="G56" s="341"/>
      <c r="H56" s="341"/>
      <c r="I56" s="341"/>
      <c r="J56" s="341"/>
      <c r="K56" s="341"/>
      <c r="L56" s="341"/>
      <c r="M56" s="351"/>
      <c r="N56" s="262"/>
      <c r="O56" s="124"/>
      <c r="P56" s="358"/>
      <c r="Q56" s="359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/>
      <c r="B57" s="350"/>
      <c r="C57" s="263"/>
      <c r="D57" s="263"/>
      <c r="E57" s="263"/>
      <c r="F57" s="341"/>
      <c r="G57" s="341"/>
      <c r="H57" s="341"/>
      <c r="I57" s="341"/>
      <c r="J57" s="341"/>
      <c r="K57" s="341"/>
      <c r="L57" s="341"/>
      <c r="M57" s="351"/>
      <c r="N57" s="262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263"/>
      <c r="D58" s="263"/>
      <c r="E58" s="263"/>
      <c r="F58" s="341"/>
      <c r="G58" s="341"/>
      <c r="H58" s="341"/>
      <c r="I58" s="341"/>
      <c r="J58" s="341"/>
      <c r="K58" s="341"/>
      <c r="L58" s="341"/>
      <c r="M58" s="351"/>
      <c r="N58" s="262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263"/>
      <c r="D59" s="263"/>
      <c r="E59" s="263"/>
      <c r="F59" s="341"/>
      <c r="G59" s="341"/>
      <c r="H59" s="341"/>
      <c r="I59" s="341"/>
      <c r="J59" s="341"/>
      <c r="K59" s="341"/>
      <c r="L59" s="341"/>
      <c r="M59" s="351"/>
      <c r="N59" s="262"/>
      <c r="O59" s="124"/>
      <c r="P59" s="350"/>
      <c r="Q59" s="350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  <c r="AF59" s="93">
        <f>8*3000</f>
        <v>24000</v>
      </c>
    </row>
    <row r="60" spans="1:32" ht="27" customHeight="1" thickBot="1">
      <c r="A60" s="352"/>
      <c r="B60" s="353"/>
      <c r="C60" s="265"/>
      <c r="D60" s="265"/>
      <c r="E60" s="265"/>
      <c r="F60" s="354"/>
      <c r="G60" s="354"/>
      <c r="H60" s="354"/>
      <c r="I60" s="354"/>
      <c r="J60" s="354"/>
      <c r="K60" s="354"/>
      <c r="L60" s="354"/>
      <c r="M60" s="355"/>
      <c r="N60" s="264"/>
      <c r="O60" s="120"/>
      <c r="P60" s="353"/>
      <c r="Q60" s="353"/>
      <c r="R60" s="353"/>
      <c r="S60" s="353"/>
      <c r="T60" s="353"/>
      <c r="U60" s="353"/>
      <c r="V60" s="356"/>
      <c r="W60" s="356"/>
      <c r="X60" s="356"/>
      <c r="Y60" s="356"/>
      <c r="Z60" s="356"/>
      <c r="AA60" s="356"/>
      <c r="AB60" s="356"/>
      <c r="AC60" s="356"/>
      <c r="AD60" s="357"/>
      <c r="AF60" s="93">
        <f>16*3000</f>
        <v>48000</v>
      </c>
    </row>
    <row r="61" spans="1:32" ht="27.75" thickBot="1">
      <c r="A61" s="347" t="s">
        <v>430</v>
      </c>
      <c r="B61" s="347"/>
      <c r="C61" s="347"/>
      <c r="D61" s="347"/>
      <c r="E61" s="34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48" t="s">
        <v>113</v>
      </c>
      <c r="B62" s="345"/>
      <c r="C62" s="261" t="s">
        <v>2</v>
      </c>
      <c r="D62" s="261" t="s">
        <v>37</v>
      </c>
      <c r="E62" s="261" t="s">
        <v>3</v>
      </c>
      <c r="F62" s="345" t="s">
        <v>110</v>
      </c>
      <c r="G62" s="345"/>
      <c r="H62" s="345"/>
      <c r="I62" s="345"/>
      <c r="J62" s="345"/>
      <c r="K62" s="345" t="s">
        <v>39</v>
      </c>
      <c r="L62" s="345"/>
      <c r="M62" s="261" t="s">
        <v>40</v>
      </c>
      <c r="N62" s="345" t="s">
        <v>41</v>
      </c>
      <c r="O62" s="345"/>
      <c r="P62" s="342" t="s">
        <v>42</v>
      </c>
      <c r="Q62" s="344"/>
      <c r="R62" s="342" t="s">
        <v>43</v>
      </c>
      <c r="S62" s="343"/>
      <c r="T62" s="343"/>
      <c r="U62" s="343"/>
      <c r="V62" s="343"/>
      <c r="W62" s="343"/>
      <c r="X62" s="343"/>
      <c r="Y62" s="343"/>
      <c r="Z62" s="343"/>
      <c r="AA62" s="344"/>
      <c r="AB62" s="345" t="s">
        <v>44</v>
      </c>
      <c r="AC62" s="345"/>
      <c r="AD62" s="346"/>
      <c r="AF62" s="93">
        <f>SUM(AF59:AF61)</f>
        <v>96000</v>
      </c>
    </row>
    <row r="63" spans="1:32" ht="25.5" customHeight="1">
      <c r="A63" s="337">
        <v>1</v>
      </c>
      <c r="B63" s="338"/>
      <c r="C63" s="123" t="s">
        <v>125</v>
      </c>
      <c r="D63" s="257"/>
      <c r="E63" s="260" t="s">
        <v>285</v>
      </c>
      <c r="F63" s="339" t="s">
        <v>431</v>
      </c>
      <c r="G63" s="331"/>
      <c r="H63" s="331"/>
      <c r="I63" s="331"/>
      <c r="J63" s="331"/>
      <c r="K63" s="331" t="s">
        <v>354</v>
      </c>
      <c r="L63" s="331"/>
      <c r="M63" s="54" t="s">
        <v>282</v>
      </c>
      <c r="N63" s="331">
        <v>12</v>
      </c>
      <c r="O63" s="331"/>
      <c r="P63" s="340">
        <v>50</v>
      </c>
      <c r="Q63" s="340"/>
      <c r="R63" s="341"/>
      <c r="S63" s="341"/>
      <c r="T63" s="341"/>
      <c r="U63" s="341"/>
      <c r="V63" s="341"/>
      <c r="W63" s="341"/>
      <c r="X63" s="341"/>
      <c r="Y63" s="341"/>
      <c r="Z63" s="341"/>
      <c r="AA63" s="341"/>
      <c r="AB63" s="331"/>
      <c r="AC63" s="331"/>
      <c r="AD63" s="332"/>
      <c r="AF63" s="53"/>
    </row>
    <row r="64" spans="1:32" ht="25.5" customHeight="1">
      <c r="A64" s="337">
        <v>2</v>
      </c>
      <c r="B64" s="338"/>
      <c r="C64" s="123" t="s">
        <v>114</v>
      </c>
      <c r="D64" s="257"/>
      <c r="E64" s="260" t="s">
        <v>152</v>
      </c>
      <c r="F64" s="339" t="s">
        <v>283</v>
      </c>
      <c r="G64" s="331"/>
      <c r="H64" s="331"/>
      <c r="I64" s="331"/>
      <c r="J64" s="331"/>
      <c r="K64" s="331" t="s">
        <v>132</v>
      </c>
      <c r="L64" s="331"/>
      <c r="M64" s="54" t="s">
        <v>227</v>
      </c>
      <c r="N64" s="331">
        <v>11</v>
      </c>
      <c r="O64" s="331"/>
      <c r="P64" s="340">
        <v>850</v>
      </c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3</v>
      </c>
      <c r="B65" s="338"/>
      <c r="C65" s="123"/>
      <c r="D65" s="257"/>
      <c r="E65" s="260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4</v>
      </c>
      <c r="B66" s="338"/>
      <c r="C66" s="123"/>
      <c r="D66" s="257"/>
      <c r="E66" s="260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5</v>
      </c>
      <c r="B67" s="338"/>
      <c r="C67" s="123"/>
      <c r="D67" s="257"/>
      <c r="E67" s="260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6</v>
      </c>
      <c r="B68" s="338"/>
      <c r="C68" s="123"/>
      <c r="D68" s="257"/>
      <c r="E68" s="260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7</v>
      </c>
      <c r="B69" s="338"/>
      <c r="C69" s="123"/>
      <c r="D69" s="257"/>
      <c r="E69" s="260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8</v>
      </c>
      <c r="B70" s="338"/>
      <c r="C70" s="123"/>
      <c r="D70" s="257"/>
      <c r="E70" s="260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6.25" customHeight="1" thickBot="1">
      <c r="A71" s="311" t="s">
        <v>432</v>
      </c>
      <c r="B71" s="311"/>
      <c r="C71" s="311"/>
      <c r="D71" s="311"/>
      <c r="E71" s="311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12" t="s">
        <v>113</v>
      </c>
      <c r="B72" s="313"/>
      <c r="C72" s="259" t="s">
        <v>2</v>
      </c>
      <c r="D72" s="259" t="s">
        <v>37</v>
      </c>
      <c r="E72" s="259" t="s">
        <v>3</v>
      </c>
      <c r="F72" s="313" t="s">
        <v>38</v>
      </c>
      <c r="G72" s="313"/>
      <c r="H72" s="313"/>
      <c r="I72" s="313"/>
      <c r="J72" s="313"/>
      <c r="K72" s="333" t="s">
        <v>58</v>
      </c>
      <c r="L72" s="334"/>
      <c r="M72" s="334"/>
      <c r="N72" s="334"/>
      <c r="O72" s="334"/>
      <c r="P72" s="334"/>
      <c r="Q72" s="334"/>
      <c r="R72" s="334"/>
      <c r="S72" s="335"/>
      <c r="T72" s="313" t="s">
        <v>49</v>
      </c>
      <c r="U72" s="313"/>
      <c r="V72" s="333" t="s">
        <v>50</v>
      </c>
      <c r="W72" s="335"/>
      <c r="X72" s="334" t="s">
        <v>51</v>
      </c>
      <c r="Y72" s="334"/>
      <c r="Z72" s="334"/>
      <c r="AA72" s="334"/>
      <c r="AB72" s="334"/>
      <c r="AC72" s="334"/>
      <c r="AD72" s="336"/>
      <c r="AF72" s="53"/>
    </row>
    <row r="73" spans="1:32" ht="33.75" customHeight="1">
      <c r="A73" s="305">
        <v>1</v>
      </c>
      <c r="B73" s="306"/>
      <c r="C73" s="258" t="s">
        <v>114</v>
      </c>
      <c r="D73" s="258"/>
      <c r="E73" s="71" t="s">
        <v>246</v>
      </c>
      <c r="F73" s="320" t="s">
        <v>221</v>
      </c>
      <c r="G73" s="321"/>
      <c r="H73" s="321"/>
      <c r="I73" s="321"/>
      <c r="J73" s="322"/>
      <c r="K73" s="323" t="s">
        <v>301</v>
      </c>
      <c r="L73" s="324"/>
      <c r="M73" s="324"/>
      <c r="N73" s="324"/>
      <c r="O73" s="324"/>
      <c r="P73" s="324"/>
      <c r="Q73" s="324"/>
      <c r="R73" s="324"/>
      <c r="S73" s="325"/>
      <c r="T73" s="326">
        <v>43384</v>
      </c>
      <c r="U73" s="327"/>
      <c r="V73" s="328"/>
      <c r="W73" s="328"/>
      <c r="X73" s="329"/>
      <c r="Y73" s="329"/>
      <c r="Z73" s="329"/>
      <c r="AA73" s="329"/>
      <c r="AB73" s="329"/>
      <c r="AC73" s="329"/>
      <c r="AD73" s="330"/>
      <c r="AF73" s="53"/>
    </row>
    <row r="74" spans="1:32" ht="30" customHeight="1">
      <c r="A74" s="298">
        <f>A73+1</f>
        <v>2</v>
      </c>
      <c r="B74" s="299"/>
      <c r="C74" s="257"/>
      <c r="D74" s="257"/>
      <c r="E74" s="35"/>
      <c r="F74" s="299"/>
      <c r="G74" s="299"/>
      <c r="H74" s="299"/>
      <c r="I74" s="299"/>
      <c r="J74" s="299"/>
      <c r="K74" s="314"/>
      <c r="L74" s="315"/>
      <c r="M74" s="315"/>
      <c r="N74" s="315"/>
      <c r="O74" s="315"/>
      <c r="P74" s="315"/>
      <c r="Q74" s="315"/>
      <c r="R74" s="315"/>
      <c r="S74" s="316"/>
      <c r="T74" s="317"/>
      <c r="U74" s="317"/>
      <c r="V74" s="317"/>
      <c r="W74" s="317"/>
      <c r="X74" s="318"/>
      <c r="Y74" s="318"/>
      <c r="Z74" s="318"/>
      <c r="AA74" s="318"/>
      <c r="AB74" s="318"/>
      <c r="AC74" s="318"/>
      <c r="AD74" s="319"/>
      <c r="AF74" s="53"/>
    </row>
    <row r="75" spans="1:32" ht="30" customHeight="1">
      <c r="A75" s="298">
        <f t="shared" ref="A75:A81" si="11">A74+1</f>
        <v>3</v>
      </c>
      <c r="B75" s="299"/>
      <c r="C75" s="257"/>
      <c r="D75" s="257"/>
      <c r="E75" s="35"/>
      <c r="F75" s="299"/>
      <c r="G75" s="299"/>
      <c r="H75" s="299"/>
      <c r="I75" s="299"/>
      <c r="J75" s="299"/>
      <c r="K75" s="314"/>
      <c r="L75" s="315"/>
      <c r="M75" s="315"/>
      <c r="N75" s="315"/>
      <c r="O75" s="315"/>
      <c r="P75" s="315"/>
      <c r="Q75" s="315"/>
      <c r="R75" s="315"/>
      <c r="S75" s="316"/>
      <c r="T75" s="317"/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si="11"/>
        <v>4</v>
      </c>
      <c r="B76" s="299"/>
      <c r="C76" s="257"/>
      <c r="D76" s="257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1"/>
        <v>5</v>
      </c>
      <c r="B77" s="299"/>
      <c r="C77" s="257"/>
      <c r="D77" s="257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1"/>
        <v>6</v>
      </c>
      <c r="B78" s="299"/>
      <c r="C78" s="257"/>
      <c r="D78" s="257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1"/>
        <v>7</v>
      </c>
      <c r="B79" s="299"/>
      <c r="C79" s="257"/>
      <c r="D79" s="257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1"/>
        <v>8</v>
      </c>
      <c r="B80" s="299"/>
      <c r="C80" s="257"/>
      <c r="D80" s="257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1"/>
        <v>9</v>
      </c>
      <c r="B81" s="299"/>
      <c r="C81" s="257"/>
      <c r="D81" s="257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6" thickBot="1">
      <c r="A82" s="311" t="s">
        <v>433</v>
      </c>
      <c r="B82" s="311"/>
      <c r="C82" s="311"/>
      <c r="D82" s="311"/>
      <c r="E82" s="311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12" t="s">
        <v>113</v>
      </c>
      <c r="B83" s="313"/>
      <c r="C83" s="303" t="s">
        <v>52</v>
      </c>
      <c r="D83" s="303"/>
      <c r="E83" s="303" t="s">
        <v>53</v>
      </c>
      <c r="F83" s="303"/>
      <c r="G83" s="303"/>
      <c r="H83" s="303"/>
      <c r="I83" s="303"/>
      <c r="J83" s="303"/>
      <c r="K83" s="303" t="s">
        <v>54</v>
      </c>
      <c r="L83" s="303"/>
      <c r="M83" s="303"/>
      <c r="N83" s="303"/>
      <c r="O83" s="303"/>
      <c r="P83" s="303"/>
      <c r="Q83" s="303"/>
      <c r="R83" s="303"/>
      <c r="S83" s="303"/>
      <c r="T83" s="303" t="s">
        <v>55</v>
      </c>
      <c r="U83" s="303"/>
      <c r="V83" s="303" t="s">
        <v>56</v>
      </c>
      <c r="W83" s="303"/>
      <c r="X83" s="303"/>
      <c r="Y83" s="303" t="s">
        <v>51</v>
      </c>
      <c r="Z83" s="303"/>
      <c r="AA83" s="303"/>
      <c r="AB83" s="303"/>
      <c r="AC83" s="303"/>
      <c r="AD83" s="304"/>
      <c r="AF83" s="53"/>
    </row>
    <row r="84" spans="1:32" ht="30.75" customHeight="1">
      <c r="A84" s="305">
        <v>1</v>
      </c>
      <c r="B84" s="306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8"/>
      <c r="W84" s="308"/>
      <c r="X84" s="308"/>
      <c r="Y84" s="309"/>
      <c r="Z84" s="309"/>
      <c r="AA84" s="309"/>
      <c r="AB84" s="309"/>
      <c r="AC84" s="309"/>
      <c r="AD84" s="310"/>
      <c r="AF84" s="53"/>
    </row>
    <row r="85" spans="1:32" ht="30.75" customHeight="1">
      <c r="A85" s="298">
        <v>2</v>
      </c>
      <c r="B85" s="299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1"/>
      <c r="U85" s="301"/>
      <c r="V85" s="302"/>
      <c r="W85" s="302"/>
      <c r="X85" s="302"/>
      <c r="Y85" s="291"/>
      <c r="Z85" s="291"/>
      <c r="AA85" s="291"/>
      <c r="AB85" s="291"/>
      <c r="AC85" s="291"/>
      <c r="AD85" s="292"/>
      <c r="AF85" s="53"/>
    </row>
    <row r="86" spans="1:32" ht="30.75" customHeight="1" thickBot="1">
      <c r="A86" s="293">
        <v>3</v>
      </c>
      <c r="B86" s="294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6"/>
      <c r="Z86" s="296"/>
      <c r="AA86" s="296"/>
      <c r="AB86" s="296"/>
      <c r="AC86" s="296"/>
      <c r="AD86" s="29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24A0-CD53-44F0-98CF-F52EA003568C}">
  <sheetPr>
    <pageSetUpPr fitToPage="1"/>
  </sheetPr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434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268" t="s">
        <v>17</v>
      </c>
      <c r="L5" s="268" t="s">
        <v>18</v>
      </c>
      <c r="M5" s="268" t="s">
        <v>19</v>
      </c>
      <c r="N5" s="26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0.54720931537598205</v>
      </c>
      <c r="AF6" s="93">
        <f t="shared" ref="AF6:AF21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0.54720931537598205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152</v>
      </c>
      <c r="E8" s="57" t="s">
        <v>159</v>
      </c>
      <c r="F8" s="33" t="s">
        <v>147</v>
      </c>
      <c r="G8" s="36">
        <v>1</v>
      </c>
      <c r="H8" s="38">
        <v>25</v>
      </c>
      <c r="I8" s="7">
        <v>18000</v>
      </c>
      <c r="J8" s="5">
        <v>5334</v>
      </c>
      <c r="K8" s="15">
        <f>L8+4451+2564</f>
        <v>12349</v>
      </c>
      <c r="L8" s="15">
        <f>2768+2566</f>
        <v>5334</v>
      </c>
      <c r="M8" s="16">
        <f t="shared" si="0"/>
        <v>5334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0.54720931537598205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125</v>
      </c>
      <c r="D9" s="55" t="s">
        <v>123</v>
      </c>
      <c r="E9" s="57" t="s">
        <v>158</v>
      </c>
      <c r="F9" s="33" t="s">
        <v>146</v>
      </c>
      <c r="G9" s="36">
        <v>1</v>
      </c>
      <c r="H9" s="38">
        <v>25</v>
      </c>
      <c r="I9" s="7">
        <v>18000</v>
      </c>
      <c r="J9" s="5">
        <v>4163</v>
      </c>
      <c r="K9" s="15">
        <f>L9+3346+4675</f>
        <v>12184</v>
      </c>
      <c r="L9" s="15">
        <f>2356+1807</f>
        <v>4163</v>
      </c>
      <c r="M9" s="16">
        <f t="shared" si="0"/>
        <v>4163</v>
      </c>
      <c r="N9" s="16">
        <v>0</v>
      </c>
      <c r="O9" s="62">
        <f t="shared" si="1"/>
        <v>0</v>
      </c>
      <c r="P9" s="42">
        <f t="shared" si="2"/>
        <v>21</v>
      </c>
      <c r="Q9" s="43">
        <f t="shared" si="3"/>
        <v>3</v>
      </c>
      <c r="R9" s="7"/>
      <c r="S9" s="6">
        <v>3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0.875</v>
      </c>
      <c r="AD9" s="10">
        <f t="shared" si="6"/>
        <v>0.875</v>
      </c>
      <c r="AE9" s="39">
        <f t="shared" si="7"/>
        <v>0.54720931537598205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125</v>
      </c>
      <c r="D10" s="55" t="s">
        <v>149</v>
      </c>
      <c r="E10" s="57" t="s">
        <v>148</v>
      </c>
      <c r="F10" s="12" t="s">
        <v>147</v>
      </c>
      <c r="G10" s="12">
        <v>2</v>
      </c>
      <c r="H10" s="13">
        <v>25</v>
      </c>
      <c r="I10" s="7">
        <v>40000</v>
      </c>
      <c r="J10" s="14">
        <v>14576</v>
      </c>
      <c r="K10" s="15">
        <f>L10+10478</f>
        <v>25054</v>
      </c>
      <c r="L10" s="15">
        <f>3875*2+3413*2</f>
        <v>14576</v>
      </c>
      <c r="M10" s="16">
        <f t="shared" si="0"/>
        <v>14576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1</v>
      </c>
      <c r="AD10" s="10">
        <f t="shared" si="6"/>
        <v>1</v>
      </c>
      <c r="AE10" s="39">
        <f t="shared" si="7"/>
        <v>0.54720931537598205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15000</v>
      </c>
      <c r="J11" s="5">
        <v>5375</v>
      </c>
      <c r="K11" s="15">
        <f>L11</f>
        <v>5375</v>
      </c>
      <c r="L11" s="15">
        <f>3166+2209</f>
        <v>5375</v>
      </c>
      <c r="M11" s="16">
        <f t="shared" si="0"/>
        <v>5375</v>
      </c>
      <c r="N11" s="16">
        <v>0</v>
      </c>
      <c r="O11" s="62">
        <f t="shared" si="1"/>
        <v>0</v>
      </c>
      <c r="P11" s="42">
        <f t="shared" si="2"/>
        <v>21</v>
      </c>
      <c r="Q11" s="43">
        <f t="shared" si="3"/>
        <v>3</v>
      </c>
      <c r="R11" s="7"/>
      <c r="S11" s="6"/>
      <c r="T11" s="17">
        <v>3</v>
      </c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0.875</v>
      </c>
      <c r="AD11" s="10">
        <f t="shared" si="6"/>
        <v>0.875</v>
      </c>
      <c r="AE11" s="39">
        <f t="shared" si="7"/>
        <v>0.54720931537598205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130</v>
      </c>
      <c r="E12" s="57" t="s">
        <v>157</v>
      </c>
      <c r="F12" s="12" t="s">
        <v>128</v>
      </c>
      <c r="G12" s="12">
        <v>1</v>
      </c>
      <c r="H12" s="13">
        <v>25</v>
      </c>
      <c r="I12" s="7">
        <v>20000</v>
      </c>
      <c r="J12" s="14">
        <v>5122</v>
      </c>
      <c r="K12" s="15">
        <f>L12+3050+5746+4966</f>
        <v>18884</v>
      </c>
      <c r="L12" s="15">
        <f>2633+2489</f>
        <v>5122</v>
      </c>
      <c r="M12" s="16">
        <f t="shared" si="0"/>
        <v>5122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1</v>
      </c>
      <c r="AD12" s="10">
        <f t="shared" si="6"/>
        <v>1</v>
      </c>
      <c r="AE12" s="39">
        <f t="shared" si="7"/>
        <v>0.54720931537598205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295</v>
      </c>
      <c r="F13" s="12" t="s">
        <v>146</v>
      </c>
      <c r="G13" s="12">
        <v>1</v>
      </c>
      <c r="H13" s="13">
        <v>25</v>
      </c>
      <c r="I13" s="7">
        <v>35000</v>
      </c>
      <c r="J13" s="14">
        <v>5081</v>
      </c>
      <c r="K13" s="15">
        <f>L13+761+4519+1386+1615+5006+5081</f>
        <v>18368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0.54720931537598205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125</v>
      </c>
      <c r="D14" s="55" t="s">
        <v>285</v>
      </c>
      <c r="E14" s="57" t="s">
        <v>428</v>
      </c>
      <c r="F14" s="33" t="s">
        <v>354</v>
      </c>
      <c r="G14" s="36">
        <v>1</v>
      </c>
      <c r="H14" s="38">
        <v>25</v>
      </c>
      <c r="I14" s="7">
        <f>20000</f>
        <v>20000</v>
      </c>
      <c r="J14" s="5">
        <v>4376</v>
      </c>
      <c r="K14" s="15">
        <f>L14</f>
        <v>4376</v>
      </c>
      <c r="L14" s="15">
        <f>1576+2800</f>
        <v>4376</v>
      </c>
      <c r="M14" s="16">
        <f t="shared" si="0"/>
        <v>4376</v>
      </c>
      <c r="N14" s="16">
        <v>0</v>
      </c>
      <c r="O14" s="62">
        <f t="shared" si="1"/>
        <v>0</v>
      </c>
      <c r="P14" s="42">
        <f t="shared" si="2"/>
        <v>21</v>
      </c>
      <c r="Q14" s="43">
        <f t="shared" si="3"/>
        <v>3</v>
      </c>
      <c r="R14" s="7"/>
      <c r="S14" s="6"/>
      <c r="T14" s="17">
        <v>3</v>
      </c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0.875</v>
      </c>
      <c r="AD14" s="10">
        <f t="shared" si="6"/>
        <v>0.875</v>
      </c>
      <c r="AE14" s="39">
        <f t="shared" si="7"/>
        <v>0.54720931537598205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136</v>
      </c>
      <c r="D15" s="55" t="s">
        <v>131</v>
      </c>
      <c r="E15" s="57" t="s">
        <v>195</v>
      </c>
      <c r="F15" s="12" t="s">
        <v>207</v>
      </c>
      <c r="G15" s="12">
        <v>3</v>
      </c>
      <c r="H15" s="13">
        <v>24</v>
      </c>
      <c r="I15" s="34">
        <v>6000</v>
      </c>
      <c r="J15" s="14">
        <v>7454</v>
      </c>
      <c r="K15" s="15">
        <f>L15+7545</f>
        <v>7545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0.54720931537598205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114</v>
      </c>
      <c r="D16" s="55" t="s">
        <v>152</v>
      </c>
      <c r="E16" s="57" t="s">
        <v>283</v>
      </c>
      <c r="F16" s="33" t="s">
        <v>132</v>
      </c>
      <c r="G16" s="36">
        <v>1</v>
      </c>
      <c r="H16" s="38">
        <v>24</v>
      </c>
      <c r="I16" s="7">
        <v>850</v>
      </c>
      <c r="J16" s="5">
        <v>957</v>
      </c>
      <c r="K16" s="15">
        <f>L16</f>
        <v>957</v>
      </c>
      <c r="L16" s="15">
        <f>957</f>
        <v>957</v>
      </c>
      <c r="M16" s="16">
        <f t="shared" si="0"/>
        <v>957</v>
      </c>
      <c r="N16" s="16">
        <v>0</v>
      </c>
      <c r="O16" s="62">
        <f t="shared" si="1"/>
        <v>0</v>
      </c>
      <c r="P16" s="42">
        <f t="shared" si="2"/>
        <v>6</v>
      </c>
      <c r="Q16" s="43">
        <f t="shared" si="3"/>
        <v>18</v>
      </c>
      <c r="R16" s="7"/>
      <c r="S16" s="6"/>
      <c r="T16" s="17"/>
      <c r="U16" s="17"/>
      <c r="V16" s="18"/>
      <c r="W16" s="19">
        <v>18</v>
      </c>
      <c r="X16" s="17"/>
      <c r="Y16" s="20"/>
      <c r="Z16" s="20"/>
      <c r="AA16" s="21"/>
      <c r="AB16" s="8">
        <f t="shared" si="4"/>
        <v>1</v>
      </c>
      <c r="AC16" s="9">
        <f t="shared" si="5"/>
        <v>0.25</v>
      </c>
      <c r="AD16" s="10">
        <f t="shared" si="6"/>
        <v>0.25</v>
      </c>
      <c r="AE16" s="39">
        <f t="shared" si="7"/>
        <v>0.54720931537598205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247</v>
      </c>
      <c r="D17" s="55"/>
      <c r="E17" s="57" t="s">
        <v>424</v>
      </c>
      <c r="F17" s="12">
        <v>8301</v>
      </c>
      <c r="G17" s="12" t="s">
        <v>167</v>
      </c>
      <c r="H17" s="13">
        <v>24</v>
      </c>
      <c r="I17" s="34">
        <v>2000</v>
      </c>
      <c r="J17" s="14">
        <v>1660</v>
      </c>
      <c r="K17" s="15">
        <f>L17+1660</f>
        <v>1660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0.54720931537598205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125</v>
      </c>
      <c r="D18" s="55" t="s">
        <v>131</v>
      </c>
      <c r="E18" s="57" t="s">
        <v>160</v>
      </c>
      <c r="F18" s="12" t="s">
        <v>382</v>
      </c>
      <c r="G18" s="36">
        <v>1</v>
      </c>
      <c r="H18" s="38">
        <v>24</v>
      </c>
      <c r="I18" s="7">
        <v>20000</v>
      </c>
      <c r="J18" s="5">
        <v>1959</v>
      </c>
      <c r="K18" s="15">
        <f>L18+3906+6347+5815</f>
        <v>18027</v>
      </c>
      <c r="L18" s="15">
        <f>1959</f>
        <v>1959</v>
      </c>
      <c r="M18" s="16">
        <f t="shared" ref="M18" si="9">L18-N18</f>
        <v>1959</v>
      </c>
      <c r="N18" s="16">
        <v>0</v>
      </c>
      <c r="O18" s="62">
        <f t="shared" ref="O18" si="10">IF(L18=0,"0",N18/L18)</f>
        <v>0</v>
      </c>
      <c r="P18" s="42">
        <f t="shared" ref="P18" si="11">IF(L18=0,"0",(24-Q18))</f>
        <v>6</v>
      </c>
      <c r="Q18" s="43">
        <f t="shared" ref="Q18" si="12">SUM(R18:AA18)</f>
        <v>18</v>
      </c>
      <c r="R18" s="7"/>
      <c r="S18" s="6"/>
      <c r="T18" s="17"/>
      <c r="U18" s="17"/>
      <c r="V18" s="18"/>
      <c r="W18" s="19">
        <v>18</v>
      </c>
      <c r="X18" s="17"/>
      <c r="Y18" s="20"/>
      <c r="Z18" s="20"/>
      <c r="AA18" s="21"/>
      <c r="AB18" s="8">
        <f t="shared" ref="AB18" si="13">IF(J18=0,"0",(L18/J18))</f>
        <v>1</v>
      </c>
      <c r="AC18" s="9">
        <f t="shared" ref="AC18" si="14">IF(P18=0,"0",(P18/24))</f>
        <v>0.25</v>
      </c>
      <c r="AD18" s="10">
        <f t="shared" ref="AD18" si="15">AC18*AB18*(1-O18)</f>
        <v>0.25</v>
      </c>
      <c r="AE18" s="39">
        <f t="shared" si="7"/>
        <v>0.54720931537598205</v>
      </c>
      <c r="AF18" s="93">
        <f t="shared" ref="AF18" si="16">A18</f>
        <v>13</v>
      </c>
    </row>
    <row r="19" spans="1:32" ht="27" customHeight="1">
      <c r="A19" s="109">
        <v>13</v>
      </c>
      <c r="B19" s="11" t="s">
        <v>57</v>
      </c>
      <c r="C19" s="37" t="s">
        <v>136</v>
      </c>
      <c r="D19" s="55" t="s">
        <v>130</v>
      </c>
      <c r="E19" s="57" t="s">
        <v>435</v>
      </c>
      <c r="F19" s="12">
        <v>7301</v>
      </c>
      <c r="G19" s="36">
        <v>1</v>
      </c>
      <c r="H19" s="38">
        <v>24</v>
      </c>
      <c r="I19" s="7">
        <v>25000</v>
      </c>
      <c r="J19" s="5">
        <v>3536</v>
      </c>
      <c r="K19" s="15">
        <f>L19</f>
        <v>3536</v>
      </c>
      <c r="L19" s="15">
        <f>3004+532</f>
        <v>3536</v>
      </c>
      <c r="M19" s="16">
        <f t="shared" si="0"/>
        <v>3536</v>
      </c>
      <c r="N19" s="16">
        <v>0</v>
      </c>
      <c r="O19" s="62">
        <f t="shared" si="1"/>
        <v>0</v>
      </c>
      <c r="P19" s="42">
        <f t="shared" si="2"/>
        <v>16</v>
      </c>
      <c r="Q19" s="43">
        <f t="shared" si="3"/>
        <v>8</v>
      </c>
      <c r="R19" s="7"/>
      <c r="S19" s="6"/>
      <c r="T19" s="17">
        <v>8</v>
      </c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0.66666666666666663</v>
      </c>
      <c r="AD19" s="10">
        <f t="shared" si="6"/>
        <v>0.66666666666666663</v>
      </c>
      <c r="AE19" s="39">
        <f t="shared" si="7"/>
        <v>0.54720931537598205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11" t="s">
        <v>136</v>
      </c>
      <c r="D20" s="55" t="s">
        <v>123</v>
      </c>
      <c r="E20" s="57" t="s">
        <v>429</v>
      </c>
      <c r="F20" s="12" t="s">
        <v>210</v>
      </c>
      <c r="G20" s="36">
        <v>1</v>
      </c>
      <c r="H20" s="13">
        <v>24</v>
      </c>
      <c r="I20" s="7">
        <v>15000</v>
      </c>
      <c r="J20" s="14">
        <v>4950</v>
      </c>
      <c r="K20" s="15">
        <f>L20</f>
        <v>4949</v>
      </c>
      <c r="L20" s="15">
        <f>2125+2824</f>
        <v>4949</v>
      </c>
      <c r="M20" s="16">
        <f t="shared" si="0"/>
        <v>4949</v>
      </c>
      <c r="N20" s="16">
        <v>0</v>
      </c>
      <c r="O20" s="62">
        <f t="shared" si="1"/>
        <v>0</v>
      </c>
      <c r="P20" s="42">
        <f t="shared" si="2"/>
        <v>23</v>
      </c>
      <c r="Q20" s="43">
        <f t="shared" si="3"/>
        <v>1</v>
      </c>
      <c r="R20" s="7"/>
      <c r="S20" s="6"/>
      <c r="T20" s="17">
        <v>1</v>
      </c>
      <c r="U20" s="17"/>
      <c r="V20" s="18"/>
      <c r="W20" s="19"/>
      <c r="X20" s="17"/>
      <c r="Y20" s="20"/>
      <c r="Z20" s="20"/>
      <c r="AA20" s="21"/>
      <c r="AB20" s="8">
        <f t="shared" si="4"/>
        <v>0.9997979797979798</v>
      </c>
      <c r="AC20" s="9">
        <f t="shared" si="5"/>
        <v>0.95833333333333337</v>
      </c>
      <c r="AD20" s="10">
        <f t="shared" si="6"/>
        <v>0.95813973063973068</v>
      </c>
      <c r="AE20" s="39">
        <f t="shared" si="7"/>
        <v>0.54720931537598205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151</v>
      </c>
      <c r="F21" s="12" t="s">
        <v>122</v>
      </c>
      <c r="G21" s="12">
        <v>4</v>
      </c>
      <c r="H21" s="38">
        <v>20</v>
      </c>
      <c r="I21" s="7">
        <v>300000</v>
      </c>
      <c r="J21" s="14">
        <v>22576</v>
      </c>
      <c r="K21" s="15">
        <f>L21+21192</f>
        <v>43768</v>
      </c>
      <c r="L21" s="15">
        <f>5644*4</f>
        <v>22576</v>
      </c>
      <c r="M21" s="16">
        <f t="shared" si="0"/>
        <v>22576</v>
      </c>
      <c r="N21" s="16">
        <v>0</v>
      </c>
      <c r="O21" s="62">
        <f t="shared" si="1"/>
        <v>0</v>
      </c>
      <c r="P21" s="42">
        <f t="shared" si="2"/>
        <v>11</v>
      </c>
      <c r="Q21" s="43">
        <f t="shared" si="3"/>
        <v>13</v>
      </c>
      <c r="R21" s="7"/>
      <c r="S21" s="6"/>
      <c r="T21" s="17"/>
      <c r="U21" s="17"/>
      <c r="V21" s="18">
        <v>13</v>
      </c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0.45833333333333331</v>
      </c>
      <c r="AD21" s="10">
        <f t="shared" si="6"/>
        <v>0.45833333333333331</v>
      </c>
      <c r="AE21" s="39">
        <f t="shared" si="7"/>
        <v>0.54720931537598205</v>
      </c>
      <c r="AF21" s="93">
        <f t="shared" si="8"/>
        <v>15</v>
      </c>
    </row>
    <row r="22" spans="1:32" ht="31.5" customHeight="1" thickBot="1">
      <c r="A22" s="362" t="s">
        <v>34</v>
      </c>
      <c r="B22" s="363"/>
      <c r="C22" s="363"/>
      <c r="D22" s="363"/>
      <c r="E22" s="363"/>
      <c r="F22" s="363"/>
      <c r="G22" s="363"/>
      <c r="H22" s="364"/>
      <c r="I22" s="25">
        <f t="shared" ref="I22:N22" si="17">SUM(I6:I21)</f>
        <v>534850</v>
      </c>
      <c r="J22" s="22">
        <f t="shared" si="17"/>
        <v>87119</v>
      </c>
      <c r="K22" s="23">
        <f t="shared" si="17"/>
        <v>177032</v>
      </c>
      <c r="L22" s="24">
        <f t="shared" si="17"/>
        <v>72923</v>
      </c>
      <c r="M22" s="23">
        <f t="shared" si="17"/>
        <v>72923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197</v>
      </c>
      <c r="Q22" s="46">
        <f t="shared" si="18"/>
        <v>187</v>
      </c>
      <c r="R22" s="26">
        <f t="shared" si="18"/>
        <v>24</v>
      </c>
      <c r="S22" s="27">
        <f t="shared" si="18"/>
        <v>3</v>
      </c>
      <c r="T22" s="27">
        <f t="shared" si="18"/>
        <v>15</v>
      </c>
      <c r="U22" s="27">
        <f t="shared" si="18"/>
        <v>0</v>
      </c>
      <c r="V22" s="28">
        <f t="shared" si="18"/>
        <v>13</v>
      </c>
      <c r="W22" s="29">
        <f t="shared" si="18"/>
        <v>132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0.73331986531986537</v>
      </c>
      <c r="AC22" s="4">
        <f>SUM(AC6:AC21)/15</f>
        <v>0.54722222222222228</v>
      </c>
      <c r="AD22" s="4">
        <f>SUM(AD6:AD21)/15</f>
        <v>0.54720931537598205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65" t="s">
        <v>45</v>
      </c>
      <c r="B49" s="365"/>
      <c r="C49" s="365"/>
      <c r="D49" s="365"/>
      <c r="E49" s="365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66" t="s">
        <v>436</v>
      </c>
      <c r="B50" s="367"/>
      <c r="C50" s="367"/>
      <c r="D50" s="367"/>
      <c r="E50" s="367"/>
      <c r="F50" s="367"/>
      <c r="G50" s="367"/>
      <c r="H50" s="367"/>
      <c r="I50" s="367"/>
      <c r="J50" s="367"/>
      <c r="K50" s="367"/>
      <c r="L50" s="367"/>
      <c r="M50" s="368"/>
      <c r="N50" s="369" t="s">
        <v>439</v>
      </c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1"/>
    </row>
    <row r="51" spans="1:32" ht="27" customHeight="1">
      <c r="A51" s="372" t="s">
        <v>2</v>
      </c>
      <c r="B51" s="373"/>
      <c r="C51" s="269" t="s">
        <v>46</v>
      </c>
      <c r="D51" s="269" t="s">
        <v>47</v>
      </c>
      <c r="E51" s="269" t="s">
        <v>108</v>
      </c>
      <c r="F51" s="373" t="s">
        <v>107</v>
      </c>
      <c r="G51" s="373"/>
      <c r="H51" s="373"/>
      <c r="I51" s="373"/>
      <c r="J51" s="373"/>
      <c r="K51" s="373"/>
      <c r="L51" s="373"/>
      <c r="M51" s="374"/>
      <c r="N51" s="73" t="s">
        <v>112</v>
      </c>
      <c r="O51" s="269" t="s">
        <v>46</v>
      </c>
      <c r="P51" s="375" t="s">
        <v>47</v>
      </c>
      <c r="Q51" s="376"/>
      <c r="R51" s="375" t="s">
        <v>38</v>
      </c>
      <c r="S51" s="377"/>
      <c r="T51" s="377"/>
      <c r="U51" s="376"/>
      <c r="V51" s="375" t="s">
        <v>48</v>
      </c>
      <c r="W51" s="377"/>
      <c r="X51" s="377"/>
      <c r="Y51" s="377"/>
      <c r="Z51" s="377"/>
      <c r="AA51" s="377"/>
      <c r="AB51" s="377"/>
      <c r="AC51" s="377"/>
      <c r="AD51" s="378"/>
    </row>
    <row r="52" spans="1:32" ht="27" customHeight="1">
      <c r="A52" s="349" t="s">
        <v>125</v>
      </c>
      <c r="B52" s="350"/>
      <c r="C52" s="271" t="s">
        <v>170</v>
      </c>
      <c r="D52" s="271" t="s">
        <v>123</v>
      </c>
      <c r="E52" s="271" t="s">
        <v>158</v>
      </c>
      <c r="F52" s="341" t="s">
        <v>437</v>
      </c>
      <c r="G52" s="341"/>
      <c r="H52" s="341"/>
      <c r="I52" s="341"/>
      <c r="J52" s="341"/>
      <c r="K52" s="341"/>
      <c r="L52" s="341"/>
      <c r="M52" s="351"/>
      <c r="N52" s="270" t="s">
        <v>114</v>
      </c>
      <c r="O52" s="124" t="s">
        <v>135</v>
      </c>
      <c r="P52" s="358" t="s">
        <v>123</v>
      </c>
      <c r="Q52" s="359"/>
      <c r="R52" s="401" t="s">
        <v>440</v>
      </c>
      <c r="S52" s="350"/>
      <c r="T52" s="350"/>
      <c r="U52" s="350"/>
      <c r="V52" s="341" t="s">
        <v>129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136</v>
      </c>
      <c r="B53" s="350"/>
      <c r="C53" s="271" t="s">
        <v>349</v>
      </c>
      <c r="D53" s="271" t="s">
        <v>131</v>
      </c>
      <c r="E53" s="271" t="s">
        <v>154</v>
      </c>
      <c r="F53" s="341" t="s">
        <v>129</v>
      </c>
      <c r="G53" s="341"/>
      <c r="H53" s="341"/>
      <c r="I53" s="341"/>
      <c r="J53" s="341"/>
      <c r="K53" s="341"/>
      <c r="L53" s="341"/>
      <c r="M53" s="351"/>
      <c r="N53" s="270" t="s">
        <v>136</v>
      </c>
      <c r="O53" s="124" t="s">
        <v>145</v>
      </c>
      <c r="P53" s="358" t="s">
        <v>219</v>
      </c>
      <c r="Q53" s="359"/>
      <c r="R53" s="350" t="s">
        <v>441</v>
      </c>
      <c r="S53" s="350"/>
      <c r="T53" s="350"/>
      <c r="U53" s="350"/>
      <c r="V53" s="341" t="s">
        <v>129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125</v>
      </c>
      <c r="B54" s="350"/>
      <c r="C54" s="271" t="s">
        <v>427</v>
      </c>
      <c r="D54" s="271" t="s">
        <v>285</v>
      </c>
      <c r="E54" s="271" t="s">
        <v>428</v>
      </c>
      <c r="F54" s="341" t="s">
        <v>129</v>
      </c>
      <c r="G54" s="341"/>
      <c r="H54" s="341"/>
      <c r="I54" s="341"/>
      <c r="J54" s="341"/>
      <c r="K54" s="341"/>
      <c r="L54" s="341"/>
      <c r="M54" s="351"/>
      <c r="N54" s="270" t="s">
        <v>114</v>
      </c>
      <c r="O54" s="124" t="s">
        <v>223</v>
      </c>
      <c r="P54" s="358" t="s">
        <v>443</v>
      </c>
      <c r="Q54" s="359"/>
      <c r="R54" s="350" t="s">
        <v>442</v>
      </c>
      <c r="S54" s="350"/>
      <c r="T54" s="350"/>
      <c r="U54" s="350"/>
      <c r="V54" s="341" t="s">
        <v>129</v>
      </c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114</v>
      </c>
      <c r="B55" s="350"/>
      <c r="C55" s="271" t="s">
        <v>223</v>
      </c>
      <c r="D55" s="271" t="s">
        <v>152</v>
      </c>
      <c r="E55" s="271" t="s">
        <v>283</v>
      </c>
      <c r="F55" s="341" t="s">
        <v>438</v>
      </c>
      <c r="G55" s="341"/>
      <c r="H55" s="341"/>
      <c r="I55" s="341"/>
      <c r="J55" s="341"/>
      <c r="K55" s="341"/>
      <c r="L55" s="341"/>
      <c r="M55" s="351"/>
      <c r="N55" s="270" t="s">
        <v>314</v>
      </c>
      <c r="O55" s="124" t="s">
        <v>197</v>
      </c>
      <c r="P55" s="350"/>
      <c r="Q55" s="350"/>
      <c r="R55" s="350" t="s">
        <v>444</v>
      </c>
      <c r="S55" s="350"/>
      <c r="T55" s="350"/>
      <c r="U55" s="350"/>
      <c r="V55" s="341" t="s">
        <v>129</v>
      </c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 t="s">
        <v>136</v>
      </c>
      <c r="B56" s="350"/>
      <c r="C56" s="271" t="s">
        <v>214</v>
      </c>
      <c r="D56" s="271" t="s">
        <v>130</v>
      </c>
      <c r="E56" s="271" t="s">
        <v>435</v>
      </c>
      <c r="F56" s="341" t="s">
        <v>129</v>
      </c>
      <c r="G56" s="341"/>
      <c r="H56" s="341"/>
      <c r="I56" s="341"/>
      <c r="J56" s="341"/>
      <c r="K56" s="341"/>
      <c r="L56" s="341"/>
      <c r="M56" s="351"/>
      <c r="N56" s="270"/>
      <c r="O56" s="124"/>
      <c r="P56" s="350"/>
      <c r="Q56" s="350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 t="s">
        <v>136</v>
      </c>
      <c r="B57" s="350"/>
      <c r="C57" s="271" t="s">
        <v>183</v>
      </c>
      <c r="D57" s="271" t="s">
        <v>123</v>
      </c>
      <c r="E57" s="271" t="s">
        <v>429</v>
      </c>
      <c r="F57" s="341" t="s">
        <v>129</v>
      </c>
      <c r="G57" s="341"/>
      <c r="H57" s="341"/>
      <c r="I57" s="341"/>
      <c r="J57" s="341"/>
      <c r="K57" s="341"/>
      <c r="L57" s="341"/>
      <c r="M57" s="351"/>
      <c r="N57" s="270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271"/>
      <c r="D58" s="271"/>
      <c r="E58" s="271"/>
      <c r="F58" s="341"/>
      <c r="G58" s="341"/>
      <c r="H58" s="341"/>
      <c r="I58" s="341"/>
      <c r="J58" s="341"/>
      <c r="K58" s="341"/>
      <c r="L58" s="341"/>
      <c r="M58" s="351"/>
      <c r="N58" s="270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271"/>
      <c r="D59" s="271"/>
      <c r="E59" s="271"/>
      <c r="F59" s="341"/>
      <c r="G59" s="341"/>
      <c r="H59" s="341"/>
      <c r="I59" s="341"/>
      <c r="J59" s="341"/>
      <c r="K59" s="341"/>
      <c r="L59" s="341"/>
      <c r="M59" s="351"/>
      <c r="N59" s="270"/>
      <c r="O59" s="124"/>
      <c r="P59" s="358"/>
      <c r="Q59" s="359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</row>
    <row r="60" spans="1:32" ht="27" customHeight="1">
      <c r="A60" s="349"/>
      <c r="B60" s="350"/>
      <c r="C60" s="271"/>
      <c r="D60" s="271"/>
      <c r="E60" s="271"/>
      <c r="F60" s="341"/>
      <c r="G60" s="341"/>
      <c r="H60" s="341"/>
      <c r="I60" s="341"/>
      <c r="J60" s="341"/>
      <c r="K60" s="341"/>
      <c r="L60" s="341"/>
      <c r="M60" s="351"/>
      <c r="N60" s="270"/>
      <c r="O60" s="124"/>
      <c r="P60" s="350"/>
      <c r="Q60" s="350"/>
      <c r="R60" s="350"/>
      <c r="S60" s="350"/>
      <c r="T60" s="350"/>
      <c r="U60" s="350"/>
      <c r="V60" s="341"/>
      <c r="W60" s="341"/>
      <c r="X60" s="341"/>
      <c r="Y60" s="341"/>
      <c r="Z60" s="341"/>
      <c r="AA60" s="341"/>
      <c r="AB60" s="341"/>
      <c r="AC60" s="341"/>
      <c r="AD60" s="351"/>
      <c r="AF60" s="93">
        <f>8*3000</f>
        <v>24000</v>
      </c>
    </row>
    <row r="61" spans="1:32" ht="27" customHeight="1" thickBot="1">
      <c r="A61" s="352"/>
      <c r="B61" s="353"/>
      <c r="C61" s="273"/>
      <c r="D61" s="273"/>
      <c r="E61" s="273"/>
      <c r="F61" s="354"/>
      <c r="G61" s="354"/>
      <c r="H61" s="354"/>
      <c r="I61" s="354"/>
      <c r="J61" s="354"/>
      <c r="K61" s="354"/>
      <c r="L61" s="354"/>
      <c r="M61" s="355"/>
      <c r="N61" s="272"/>
      <c r="O61" s="120"/>
      <c r="P61" s="353"/>
      <c r="Q61" s="353"/>
      <c r="R61" s="353"/>
      <c r="S61" s="353"/>
      <c r="T61" s="353"/>
      <c r="U61" s="353"/>
      <c r="V61" s="356"/>
      <c r="W61" s="356"/>
      <c r="X61" s="356"/>
      <c r="Y61" s="356"/>
      <c r="Z61" s="356"/>
      <c r="AA61" s="356"/>
      <c r="AB61" s="356"/>
      <c r="AC61" s="356"/>
      <c r="AD61" s="357"/>
      <c r="AF61" s="93">
        <f>16*3000</f>
        <v>48000</v>
      </c>
    </row>
    <row r="62" spans="1:32" ht="27.75" thickBot="1">
      <c r="A62" s="347" t="s">
        <v>445</v>
      </c>
      <c r="B62" s="347"/>
      <c r="C62" s="347"/>
      <c r="D62" s="347"/>
      <c r="E62" s="34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48" t="s">
        <v>113</v>
      </c>
      <c r="B63" s="345"/>
      <c r="C63" s="274" t="s">
        <v>2</v>
      </c>
      <c r="D63" s="274" t="s">
        <v>37</v>
      </c>
      <c r="E63" s="274" t="s">
        <v>3</v>
      </c>
      <c r="F63" s="345" t="s">
        <v>110</v>
      </c>
      <c r="G63" s="345"/>
      <c r="H63" s="345"/>
      <c r="I63" s="345"/>
      <c r="J63" s="345"/>
      <c r="K63" s="345" t="s">
        <v>39</v>
      </c>
      <c r="L63" s="345"/>
      <c r="M63" s="274" t="s">
        <v>40</v>
      </c>
      <c r="N63" s="345" t="s">
        <v>41</v>
      </c>
      <c r="O63" s="345"/>
      <c r="P63" s="342" t="s">
        <v>42</v>
      </c>
      <c r="Q63" s="344"/>
      <c r="R63" s="342" t="s">
        <v>43</v>
      </c>
      <c r="S63" s="343"/>
      <c r="T63" s="343"/>
      <c r="U63" s="343"/>
      <c r="V63" s="343"/>
      <c r="W63" s="343"/>
      <c r="X63" s="343"/>
      <c r="Y63" s="343"/>
      <c r="Z63" s="343"/>
      <c r="AA63" s="344"/>
      <c r="AB63" s="345" t="s">
        <v>44</v>
      </c>
      <c r="AC63" s="345"/>
      <c r="AD63" s="346"/>
      <c r="AF63" s="93">
        <f>SUM(AF60:AF62)</f>
        <v>96000</v>
      </c>
    </row>
    <row r="64" spans="1:32" ht="25.5" customHeight="1">
      <c r="A64" s="337">
        <v>1</v>
      </c>
      <c r="B64" s="338"/>
      <c r="C64" s="123"/>
      <c r="D64" s="277"/>
      <c r="E64" s="275"/>
      <c r="F64" s="339"/>
      <c r="G64" s="331"/>
      <c r="H64" s="331"/>
      <c r="I64" s="331"/>
      <c r="J64" s="331"/>
      <c r="K64" s="331"/>
      <c r="L64" s="331"/>
      <c r="M64" s="54"/>
      <c r="N64" s="331"/>
      <c r="O64" s="331"/>
      <c r="P64" s="340"/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2</v>
      </c>
      <c r="B65" s="338"/>
      <c r="C65" s="123"/>
      <c r="D65" s="277"/>
      <c r="E65" s="275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3</v>
      </c>
      <c r="B66" s="338"/>
      <c r="C66" s="123"/>
      <c r="D66" s="277"/>
      <c r="E66" s="275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4</v>
      </c>
      <c r="B67" s="338"/>
      <c r="C67" s="123"/>
      <c r="D67" s="277"/>
      <c r="E67" s="275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5</v>
      </c>
      <c r="B68" s="338"/>
      <c r="C68" s="123"/>
      <c r="D68" s="277"/>
      <c r="E68" s="275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6</v>
      </c>
      <c r="B69" s="338"/>
      <c r="C69" s="123"/>
      <c r="D69" s="277"/>
      <c r="E69" s="275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7</v>
      </c>
      <c r="B70" s="338"/>
      <c r="C70" s="123"/>
      <c r="D70" s="277"/>
      <c r="E70" s="275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5.5" customHeight="1">
      <c r="A71" s="337">
        <v>8</v>
      </c>
      <c r="B71" s="338"/>
      <c r="C71" s="123"/>
      <c r="D71" s="277"/>
      <c r="E71" s="275"/>
      <c r="F71" s="339"/>
      <c r="G71" s="331"/>
      <c r="H71" s="331"/>
      <c r="I71" s="331"/>
      <c r="J71" s="331"/>
      <c r="K71" s="331"/>
      <c r="L71" s="331"/>
      <c r="M71" s="54"/>
      <c r="N71" s="331"/>
      <c r="O71" s="331"/>
      <c r="P71" s="340"/>
      <c r="Q71" s="340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31"/>
      <c r="AC71" s="331"/>
      <c r="AD71" s="332"/>
      <c r="AF71" s="53"/>
    </row>
    <row r="72" spans="1:32" ht="26.25" customHeight="1" thickBot="1">
      <c r="A72" s="311" t="s">
        <v>446</v>
      </c>
      <c r="B72" s="311"/>
      <c r="C72" s="311"/>
      <c r="D72" s="311"/>
      <c r="E72" s="311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12" t="s">
        <v>113</v>
      </c>
      <c r="B73" s="313"/>
      <c r="C73" s="276" t="s">
        <v>2</v>
      </c>
      <c r="D73" s="276" t="s">
        <v>37</v>
      </c>
      <c r="E73" s="276" t="s">
        <v>3</v>
      </c>
      <c r="F73" s="313" t="s">
        <v>38</v>
      </c>
      <c r="G73" s="313"/>
      <c r="H73" s="313"/>
      <c r="I73" s="313"/>
      <c r="J73" s="313"/>
      <c r="K73" s="333" t="s">
        <v>58</v>
      </c>
      <c r="L73" s="334"/>
      <c r="M73" s="334"/>
      <c r="N73" s="334"/>
      <c r="O73" s="334"/>
      <c r="P73" s="334"/>
      <c r="Q73" s="334"/>
      <c r="R73" s="334"/>
      <c r="S73" s="335"/>
      <c r="T73" s="313" t="s">
        <v>49</v>
      </c>
      <c r="U73" s="313"/>
      <c r="V73" s="333" t="s">
        <v>50</v>
      </c>
      <c r="W73" s="335"/>
      <c r="X73" s="334" t="s">
        <v>51</v>
      </c>
      <c r="Y73" s="334"/>
      <c r="Z73" s="334"/>
      <c r="AA73" s="334"/>
      <c r="AB73" s="334"/>
      <c r="AC73" s="334"/>
      <c r="AD73" s="336"/>
      <c r="AF73" s="53"/>
    </row>
    <row r="74" spans="1:32" ht="33.75" customHeight="1">
      <c r="A74" s="305">
        <v>1</v>
      </c>
      <c r="B74" s="306"/>
      <c r="C74" s="278" t="s">
        <v>114</v>
      </c>
      <c r="D74" s="278"/>
      <c r="E74" s="71" t="s">
        <v>246</v>
      </c>
      <c r="F74" s="320" t="s">
        <v>221</v>
      </c>
      <c r="G74" s="321"/>
      <c r="H74" s="321"/>
      <c r="I74" s="321"/>
      <c r="J74" s="322"/>
      <c r="K74" s="323" t="s">
        <v>301</v>
      </c>
      <c r="L74" s="324"/>
      <c r="M74" s="324"/>
      <c r="N74" s="324"/>
      <c r="O74" s="324"/>
      <c r="P74" s="324"/>
      <c r="Q74" s="324"/>
      <c r="R74" s="324"/>
      <c r="S74" s="325"/>
      <c r="T74" s="326">
        <v>43384</v>
      </c>
      <c r="U74" s="327"/>
      <c r="V74" s="328"/>
      <c r="W74" s="328"/>
      <c r="X74" s="329"/>
      <c r="Y74" s="329"/>
      <c r="Z74" s="329"/>
      <c r="AA74" s="329"/>
      <c r="AB74" s="329"/>
      <c r="AC74" s="329"/>
      <c r="AD74" s="330"/>
      <c r="AF74" s="53"/>
    </row>
    <row r="75" spans="1:32" ht="30" customHeight="1">
      <c r="A75" s="298">
        <f>A74+1</f>
        <v>2</v>
      </c>
      <c r="B75" s="299"/>
      <c r="C75" s="277"/>
      <c r="D75" s="277"/>
      <c r="E75" s="35"/>
      <c r="F75" s="299"/>
      <c r="G75" s="299"/>
      <c r="H75" s="299"/>
      <c r="I75" s="299"/>
      <c r="J75" s="299"/>
      <c r="K75" s="314"/>
      <c r="L75" s="315"/>
      <c r="M75" s="315"/>
      <c r="N75" s="315"/>
      <c r="O75" s="315"/>
      <c r="P75" s="315"/>
      <c r="Q75" s="315"/>
      <c r="R75" s="315"/>
      <c r="S75" s="316"/>
      <c r="T75" s="317"/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ref="A76:A82" si="19">A75+1</f>
        <v>3</v>
      </c>
      <c r="B76" s="299"/>
      <c r="C76" s="277"/>
      <c r="D76" s="277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9"/>
        <v>4</v>
      </c>
      <c r="B77" s="299"/>
      <c r="C77" s="277"/>
      <c r="D77" s="277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9"/>
        <v>5</v>
      </c>
      <c r="B78" s="299"/>
      <c r="C78" s="277"/>
      <c r="D78" s="277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9"/>
        <v>6</v>
      </c>
      <c r="B79" s="299"/>
      <c r="C79" s="277"/>
      <c r="D79" s="277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9"/>
        <v>7</v>
      </c>
      <c r="B80" s="299"/>
      <c r="C80" s="277"/>
      <c r="D80" s="277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9"/>
        <v>8</v>
      </c>
      <c r="B81" s="299"/>
      <c r="C81" s="277"/>
      <c r="D81" s="277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0" customHeight="1">
      <c r="A82" s="298">
        <f t="shared" si="19"/>
        <v>9</v>
      </c>
      <c r="B82" s="299"/>
      <c r="C82" s="277"/>
      <c r="D82" s="277"/>
      <c r="E82" s="35"/>
      <c r="F82" s="299"/>
      <c r="G82" s="299"/>
      <c r="H82" s="299"/>
      <c r="I82" s="299"/>
      <c r="J82" s="299"/>
      <c r="K82" s="314"/>
      <c r="L82" s="315"/>
      <c r="M82" s="315"/>
      <c r="N82" s="315"/>
      <c r="O82" s="315"/>
      <c r="P82" s="315"/>
      <c r="Q82" s="315"/>
      <c r="R82" s="315"/>
      <c r="S82" s="316"/>
      <c r="T82" s="317"/>
      <c r="U82" s="317"/>
      <c r="V82" s="317"/>
      <c r="W82" s="317"/>
      <c r="X82" s="318"/>
      <c r="Y82" s="318"/>
      <c r="Z82" s="318"/>
      <c r="AA82" s="318"/>
      <c r="AB82" s="318"/>
      <c r="AC82" s="318"/>
      <c r="AD82" s="319"/>
      <c r="AF82" s="53"/>
    </row>
    <row r="83" spans="1:32" ht="36" thickBot="1">
      <c r="A83" s="311" t="s">
        <v>447</v>
      </c>
      <c r="B83" s="311"/>
      <c r="C83" s="311"/>
      <c r="D83" s="311"/>
      <c r="E83" s="311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12" t="s">
        <v>113</v>
      </c>
      <c r="B84" s="313"/>
      <c r="C84" s="303" t="s">
        <v>52</v>
      </c>
      <c r="D84" s="303"/>
      <c r="E84" s="303" t="s">
        <v>53</v>
      </c>
      <c r="F84" s="303"/>
      <c r="G84" s="303"/>
      <c r="H84" s="303"/>
      <c r="I84" s="303"/>
      <c r="J84" s="303"/>
      <c r="K84" s="303" t="s">
        <v>54</v>
      </c>
      <c r="L84" s="303"/>
      <c r="M84" s="303"/>
      <c r="N84" s="303"/>
      <c r="O84" s="303"/>
      <c r="P84" s="303"/>
      <c r="Q84" s="303"/>
      <c r="R84" s="303"/>
      <c r="S84" s="303"/>
      <c r="T84" s="303" t="s">
        <v>55</v>
      </c>
      <c r="U84" s="303"/>
      <c r="V84" s="303" t="s">
        <v>56</v>
      </c>
      <c r="W84" s="303"/>
      <c r="X84" s="303"/>
      <c r="Y84" s="303" t="s">
        <v>51</v>
      </c>
      <c r="Z84" s="303"/>
      <c r="AA84" s="303"/>
      <c r="AB84" s="303"/>
      <c r="AC84" s="303"/>
      <c r="AD84" s="304"/>
      <c r="AF84" s="53"/>
    </row>
    <row r="85" spans="1:32" ht="30.75" customHeight="1">
      <c r="A85" s="305">
        <v>1</v>
      </c>
      <c r="B85" s="306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8"/>
      <c r="W85" s="308"/>
      <c r="X85" s="308"/>
      <c r="Y85" s="309"/>
      <c r="Z85" s="309"/>
      <c r="AA85" s="309"/>
      <c r="AB85" s="309"/>
      <c r="AC85" s="309"/>
      <c r="AD85" s="310"/>
      <c r="AF85" s="53"/>
    </row>
    <row r="86" spans="1:32" ht="30.75" customHeight="1">
      <c r="A86" s="298">
        <v>2</v>
      </c>
      <c r="B86" s="299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1"/>
      <c r="U86" s="301"/>
      <c r="V86" s="302"/>
      <c r="W86" s="302"/>
      <c r="X86" s="302"/>
      <c r="Y86" s="291"/>
      <c r="Z86" s="291"/>
      <c r="AA86" s="291"/>
      <c r="AB86" s="291"/>
      <c r="AC86" s="291"/>
      <c r="AD86" s="292"/>
      <c r="AF86" s="53"/>
    </row>
    <row r="87" spans="1:32" ht="30.75" customHeight="1" thickBot="1">
      <c r="A87" s="293">
        <v>3</v>
      </c>
      <c r="B87" s="294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  <c r="Y87" s="296"/>
      <c r="Z87" s="296"/>
      <c r="AA87" s="296"/>
      <c r="AB87" s="296"/>
      <c r="AC87" s="296"/>
      <c r="AD87" s="29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B450-C9FB-4EEB-A5D6-5AC049FF9C4E}">
  <sheetPr>
    <pageSetUpPr fitToPage="1"/>
  </sheetPr>
  <dimension ref="A1:AF86"/>
  <sheetViews>
    <sheetView tabSelected="1" zoomScale="72" zoomScaleNormal="72" zoomScaleSheetLayoutView="70" workbookViewId="0">
      <selection activeCell="T11" sqref="T1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448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289" t="s">
        <v>17</v>
      </c>
      <c r="L5" s="289" t="s">
        <v>18</v>
      </c>
      <c r="M5" s="289" t="s">
        <v>19</v>
      </c>
      <c r="N5" s="28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0.68055555555555558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0.68055555555555558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152</v>
      </c>
      <c r="E8" s="57" t="s">
        <v>159</v>
      </c>
      <c r="F8" s="33" t="s">
        <v>147</v>
      </c>
      <c r="G8" s="36">
        <v>1</v>
      </c>
      <c r="H8" s="38">
        <v>25</v>
      </c>
      <c r="I8" s="7">
        <v>18000</v>
      </c>
      <c r="J8" s="5">
        <v>5151</v>
      </c>
      <c r="K8" s="15">
        <f>L8+4451+2564+5334</f>
        <v>17500</v>
      </c>
      <c r="L8" s="15">
        <f>2784+2367</f>
        <v>5151</v>
      </c>
      <c r="M8" s="16">
        <f t="shared" si="0"/>
        <v>5151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0.68055555555555558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125</v>
      </c>
      <c r="D9" s="55" t="s">
        <v>123</v>
      </c>
      <c r="E9" s="57" t="s">
        <v>158</v>
      </c>
      <c r="F9" s="33" t="s">
        <v>146</v>
      </c>
      <c r="G9" s="36">
        <v>1</v>
      </c>
      <c r="H9" s="38">
        <v>25</v>
      </c>
      <c r="I9" s="7">
        <v>18000</v>
      </c>
      <c r="J9" s="5">
        <v>4691</v>
      </c>
      <c r="K9" s="15">
        <f>L9+3346+4675+4163</f>
        <v>16875</v>
      </c>
      <c r="L9" s="15">
        <f>2416+2275</f>
        <v>4691</v>
      </c>
      <c r="M9" s="16">
        <f t="shared" si="0"/>
        <v>4691</v>
      </c>
      <c r="N9" s="16">
        <v>0</v>
      </c>
      <c r="O9" s="62">
        <f t="shared" si="1"/>
        <v>0</v>
      </c>
      <c r="P9" s="42">
        <f t="shared" si="2"/>
        <v>22</v>
      </c>
      <c r="Q9" s="43">
        <f t="shared" si="3"/>
        <v>2</v>
      </c>
      <c r="R9" s="7"/>
      <c r="S9" s="6">
        <v>2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0.91666666666666663</v>
      </c>
      <c r="AD9" s="10">
        <f t="shared" si="6"/>
        <v>0.91666666666666663</v>
      </c>
      <c r="AE9" s="39">
        <f t="shared" si="7"/>
        <v>0.68055555555555558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125</v>
      </c>
      <c r="D10" s="55" t="s">
        <v>149</v>
      </c>
      <c r="E10" s="57" t="s">
        <v>148</v>
      </c>
      <c r="F10" s="12" t="s">
        <v>147</v>
      </c>
      <c r="G10" s="12">
        <v>2</v>
      </c>
      <c r="H10" s="13">
        <v>25</v>
      </c>
      <c r="I10" s="7">
        <v>40000</v>
      </c>
      <c r="J10" s="14">
        <v>14436</v>
      </c>
      <c r="K10" s="15">
        <f>L10+10478+14576</f>
        <v>39490</v>
      </c>
      <c r="L10" s="15">
        <f>3963*2+3255*2</f>
        <v>14436</v>
      </c>
      <c r="M10" s="16">
        <f t="shared" si="0"/>
        <v>14436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1</v>
      </c>
      <c r="AD10" s="10">
        <f t="shared" si="6"/>
        <v>1</v>
      </c>
      <c r="AE10" s="39">
        <f t="shared" si="7"/>
        <v>0.68055555555555558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15000</v>
      </c>
      <c r="J11" s="5">
        <v>6082</v>
      </c>
      <c r="K11" s="15">
        <f>L11+5375</f>
        <v>11457</v>
      </c>
      <c r="L11" s="15">
        <f>3250+2832</f>
        <v>6082</v>
      </c>
      <c r="M11" s="16">
        <f t="shared" si="0"/>
        <v>6082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0.68055555555555558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136</v>
      </c>
      <c r="D12" s="55" t="s">
        <v>219</v>
      </c>
      <c r="E12" s="57" t="s">
        <v>441</v>
      </c>
      <c r="F12" s="12">
        <v>7301</v>
      </c>
      <c r="G12" s="12">
        <v>1</v>
      </c>
      <c r="H12" s="13">
        <v>25</v>
      </c>
      <c r="I12" s="7">
        <v>25000</v>
      </c>
      <c r="J12" s="14">
        <v>4854</v>
      </c>
      <c r="K12" s="15">
        <f>L12</f>
        <v>4854</v>
      </c>
      <c r="L12" s="15">
        <f>2826+2028</f>
        <v>4854</v>
      </c>
      <c r="M12" s="16">
        <f t="shared" si="0"/>
        <v>4854</v>
      </c>
      <c r="N12" s="16">
        <v>0</v>
      </c>
      <c r="O12" s="62">
        <f t="shared" si="1"/>
        <v>0</v>
      </c>
      <c r="P12" s="42">
        <f t="shared" si="2"/>
        <v>22</v>
      </c>
      <c r="Q12" s="43">
        <f t="shared" si="3"/>
        <v>2</v>
      </c>
      <c r="R12" s="7"/>
      <c r="S12" s="6"/>
      <c r="T12" s="17">
        <v>2</v>
      </c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0.91666666666666663</v>
      </c>
      <c r="AD12" s="10">
        <f t="shared" si="6"/>
        <v>0.91666666666666663</v>
      </c>
      <c r="AE12" s="39">
        <f t="shared" si="7"/>
        <v>0.68055555555555558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114</v>
      </c>
      <c r="D13" s="55" t="s">
        <v>123</v>
      </c>
      <c r="E13" s="57" t="s">
        <v>440</v>
      </c>
      <c r="F13" s="12" t="s">
        <v>332</v>
      </c>
      <c r="G13" s="12">
        <v>1</v>
      </c>
      <c r="H13" s="13">
        <v>25</v>
      </c>
      <c r="I13" s="7">
        <v>500</v>
      </c>
      <c r="J13" s="14">
        <v>820</v>
      </c>
      <c r="K13" s="15">
        <f>L13</f>
        <v>820</v>
      </c>
      <c r="L13" s="15">
        <f>820</f>
        <v>820</v>
      </c>
      <c r="M13" s="16">
        <f t="shared" si="0"/>
        <v>820</v>
      </c>
      <c r="N13" s="16">
        <v>0</v>
      </c>
      <c r="O13" s="62">
        <f t="shared" si="1"/>
        <v>0</v>
      </c>
      <c r="P13" s="42">
        <f t="shared" si="2"/>
        <v>12</v>
      </c>
      <c r="Q13" s="43">
        <f t="shared" si="3"/>
        <v>12</v>
      </c>
      <c r="R13" s="7"/>
      <c r="S13" s="6">
        <v>2</v>
      </c>
      <c r="T13" s="17">
        <v>2</v>
      </c>
      <c r="U13" s="17"/>
      <c r="V13" s="18"/>
      <c r="W13" s="19">
        <v>8</v>
      </c>
      <c r="X13" s="17"/>
      <c r="Y13" s="20"/>
      <c r="Z13" s="20"/>
      <c r="AA13" s="21"/>
      <c r="AB13" s="8">
        <f t="shared" si="4"/>
        <v>1</v>
      </c>
      <c r="AC13" s="9">
        <f t="shared" si="5"/>
        <v>0.5</v>
      </c>
      <c r="AD13" s="10">
        <f t="shared" si="6"/>
        <v>0.5</v>
      </c>
      <c r="AE13" s="39">
        <f t="shared" si="7"/>
        <v>0.68055555555555558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125</v>
      </c>
      <c r="D14" s="55" t="s">
        <v>285</v>
      </c>
      <c r="E14" s="57" t="s">
        <v>428</v>
      </c>
      <c r="F14" s="33" t="s">
        <v>354</v>
      </c>
      <c r="G14" s="36">
        <v>1</v>
      </c>
      <c r="H14" s="38">
        <v>25</v>
      </c>
      <c r="I14" s="7">
        <f>20000</f>
        <v>20000</v>
      </c>
      <c r="J14" s="5">
        <v>5256</v>
      </c>
      <c r="K14" s="15">
        <f>L14+4376</f>
        <v>9632</v>
      </c>
      <c r="L14" s="15">
        <f>2848+2408</f>
        <v>5256</v>
      </c>
      <c r="M14" s="16">
        <f t="shared" si="0"/>
        <v>5256</v>
      </c>
      <c r="N14" s="16">
        <v>0</v>
      </c>
      <c r="O14" s="62">
        <f t="shared" si="1"/>
        <v>0</v>
      </c>
      <c r="P14" s="42">
        <f t="shared" si="2"/>
        <v>24</v>
      </c>
      <c r="Q14" s="43">
        <f t="shared" si="3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1</v>
      </c>
      <c r="AD14" s="10">
        <f t="shared" si="6"/>
        <v>1</v>
      </c>
      <c r="AE14" s="39">
        <f t="shared" si="7"/>
        <v>0.68055555555555558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37" t="s">
        <v>247</v>
      </c>
      <c r="D15" s="55" t="s">
        <v>131</v>
      </c>
      <c r="E15" s="57" t="s">
        <v>424</v>
      </c>
      <c r="F15" s="12">
        <v>8301</v>
      </c>
      <c r="G15" s="12" t="s">
        <v>167</v>
      </c>
      <c r="H15" s="13">
        <v>24</v>
      </c>
      <c r="I15" s="34">
        <v>2000</v>
      </c>
      <c r="J15" s="14">
        <v>2150</v>
      </c>
      <c r="K15" s="15">
        <f>L15</f>
        <v>2150</v>
      </c>
      <c r="L15" s="15">
        <f>2150</f>
        <v>2150</v>
      </c>
      <c r="M15" s="16">
        <f t="shared" si="0"/>
        <v>2150</v>
      </c>
      <c r="N15" s="16">
        <v>0</v>
      </c>
      <c r="O15" s="62">
        <f t="shared" si="1"/>
        <v>0</v>
      </c>
      <c r="P15" s="42">
        <f t="shared" si="2"/>
        <v>12</v>
      </c>
      <c r="Q15" s="43">
        <f t="shared" si="3"/>
        <v>12</v>
      </c>
      <c r="R15" s="7"/>
      <c r="S15" s="6">
        <v>8</v>
      </c>
      <c r="T15" s="17">
        <v>4</v>
      </c>
      <c r="U15" s="17"/>
      <c r="V15" s="18"/>
      <c r="W15" s="19"/>
      <c r="X15" s="17"/>
      <c r="Y15" s="20"/>
      <c r="Z15" s="20"/>
      <c r="AA15" s="21"/>
      <c r="AB15" s="8">
        <f t="shared" si="4"/>
        <v>1</v>
      </c>
      <c r="AC15" s="9">
        <f t="shared" si="5"/>
        <v>0.5</v>
      </c>
      <c r="AD15" s="10">
        <f t="shared" si="6"/>
        <v>0.5</v>
      </c>
      <c r="AE15" s="39">
        <f t="shared" si="7"/>
        <v>0.68055555555555558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114</v>
      </c>
      <c r="D16" s="55" t="s">
        <v>443</v>
      </c>
      <c r="E16" s="57" t="s">
        <v>442</v>
      </c>
      <c r="F16" s="33" t="s">
        <v>147</v>
      </c>
      <c r="G16" s="36">
        <v>2</v>
      </c>
      <c r="H16" s="38">
        <v>24</v>
      </c>
      <c r="I16" s="7">
        <v>5000</v>
      </c>
      <c r="J16" s="5">
        <v>11556</v>
      </c>
      <c r="K16" s="15">
        <f>L16</f>
        <v>11556</v>
      </c>
      <c r="L16" s="15">
        <f>3701*2+2077*2</f>
        <v>11556</v>
      </c>
      <c r="M16" s="16">
        <f t="shared" si="0"/>
        <v>11556</v>
      </c>
      <c r="N16" s="16">
        <v>0</v>
      </c>
      <c r="O16" s="62">
        <f t="shared" si="1"/>
        <v>0</v>
      </c>
      <c r="P16" s="42">
        <f t="shared" si="2"/>
        <v>22</v>
      </c>
      <c r="Q16" s="43">
        <f t="shared" si="3"/>
        <v>2</v>
      </c>
      <c r="R16" s="7"/>
      <c r="S16" s="6"/>
      <c r="T16" s="17">
        <v>2</v>
      </c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0.91666666666666663</v>
      </c>
      <c r="AD16" s="10">
        <f t="shared" si="6"/>
        <v>0.91666666666666663</v>
      </c>
      <c r="AE16" s="39">
        <f t="shared" si="7"/>
        <v>0.68055555555555558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37" t="s">
        <v>247</v>
      </c>
      <c r="D17" s="55"/>
      <c r="E17" s="57" t="s">
        <v>424</v>
      </c>
      <c r="F17" s="12">
        <v>8301</v>
      </c>
      <c r="G17" s="12" t="s">
        <v>167</v>
      </c>
      <c r="H17" s="13">
        <v>24</v>
      </c>
      <c r="I17" s="34">
        <v>2000</v>
      </c>
      <c r="J17" s="14">
        <v>1660</v>
      </c>
      <c r="K17" s="15">
        <f>L17+1660</f>
        <v>1660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0.68055555555555558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136</v>
      </c>
      <c r="D18" s="55" t="s">
        <v>130</v>
      </c>
      <c r="E18" s="57" t="s">
        <v>435</v>
      </c>
      <c r="F18" s="12">
        <v>7301</v>
      </c>
      <c r="G18" s="36">
        <v>1</v>
      </c>
      <c r="H18" s="38">
        <v>24</v>
      </c>
      <c r="I18" s="7">
        <v>25000</v>
      </c>
      <c r="J18" s="5">
        <v>5741</v>
      </c>
      <c r="K18" s="15">
        <f>L18+3536</f>
        <v>9277</v>
      </c>
      <c r="L18" s="15">
        <f>2693+3048</f>
        <v>5741</v>
      </c>
      <c r="M18" s="16">
        <f t="shared" si="0"/>
        <v>5741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1</v>
      </c>
      <c r="AD18" s="10">
        <f t="shared" si="6"/>
        <v>1</v>
      </c>
      <c r="AE18" s="39">
        <f t="shared" si="7"/>
        <v>0.68055555555555558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11" t="s">
        <v>136</v>
      </c>
      <c r="D19" s="55" t="s">
        <v>123</v>
      </c>
      <c r="E19" s="57" t="s">
        <v>429</v>
      </c>
      <c r="F19" s="12" t="s">
        <v>210</v>
      </c>
      <c r="G19" s="36">
        <v>1</v>
      </c>
      <c r="H19" s="13">
        <v>24</v>
      </c>
      <c r="I19" s="7">
        <v>15000</v>
      </c>
      <c r="J19" s="14">
        <v>5750</v>
      </c>
      <c r="K19" s="15">
        <f>L19+4949</f>
        <v>10699</v>
      </c>
      <c r="L19" s="15">
        <f>2843+390+2517</f>
        <v>5750</v>
      </c>
      <c r="M19" s="16">
        <f t="shared" si="0"/>
        <v>5750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1</v>
      </c>
      <c r="AD19" s="10">
        <f t="shared" si="6"/>
        <v>1</v>
      </c>
      <c r="AE19" s="39">
        <f t="shared" si="7"/>
        <v>0.68055555555555558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151</v>
      </c>
      <c r="F20" s="12" t="s">
        <v>122</v>
      </c>
      <c r="G20" s="12">
        <v>4</v>
      </c>
      <c r="H20" s="38">
        <v>20</v>
      </c>
      <c r="I20" s="7">
        <v>300000</v>
      </c>
      <c r="J20" s="14">
        <v>21736</v>
      </c>
      <c r="K20" s="15">
        <f>L20+21192+22576</f>
        <v>65504</v>
      </c>
      <c r="L20" s="15">
        <f>5434*4</f>
        <v>21736</v>
      </c>
      <c r="M20" s="16">
        <f t="shared" si="0"/>
        <v>21736</v>
      </c>
      <c r="N20" s="16">
        <v>0</v>
      </c>
      <c r="O20" s="62">
        <f t="shared" si="1"/>
        <v>0</v>
      </c>
      <c r="P20" s="42">
        <f t="shared" si="2"/>
        <v>11</v>
      </c>
      <c r="Q20" s="43">
        <f t="shared" si="3"/>
        <v>13</v>
      </c>
      <c r="R20" s="7"/>
      <c r="S20" s="6"/>
      <c r="T20" s="17"/>
      <c r="U20" s="17"/>
      <c r="V20" s="18">
        <v>13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0.45833333333333331</v>
      </c>
      <c r="AD20" s="10">
        <f t="shared" si="6"/>
        <v>0.45833333333333331</v>
      </c>
      <c r="AE20" s="39">
        <f t="shared" si="7"/>
        <v>0.68055555555555558</v>
      </c>
      <c r="AF20" s="93">
        <f t="shared" si="8"/>
        <v>15</v>
      </c>
    </row>
    <row r="21" spans="1:32" ht="31.5" customHeight="1" thickBot="1">
      <c r="A21" s="362" t="s">
        <v>34</v>
      </c>
      <c r="B21" s="363"/>
      <c r="C21" s="363"/>
      <c r="D21" s="363"/>
      <c r="E21" s="363"/>
      <c r="F21" s="363"/>
      <c r="G21" s="363"/>
      <c r="H21" s="364"/>
      <c r="I21" s="25">
        <f t="shared" ref="I21:N21" si="9">SUM(I6:I20)</f>
        <v>485500</v>
      </c>
      <c r="J21" s="22">
        <f t="shared" si="9"/>
        <v>89883</v>
      </c>
      <c r="K21" s="23">
        <f t="shared" si="9"/>
        <v>201474</v>
      </c>
      <c r="L21" s="24">
        <f t="shared" si="9"/>
        <v>88223</v>
      </c>
      <c r="M21" s="23">
        <f t="shared" si="9"/>
        <v>88223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245</v>
      </c>
      <c r="Q21" s="46">
        <f t="shared" si="10"/>
        <v>115</v>
      </c>
      <c r="R21" s="26">
        <f t="shared" si="10"/>
        <v>24</v>
      </c>
      <c r="S21" s="27">
        <f t="shared" si="10"/>
        <v>12</v>
      </c>
      <c r="T21" s="27">
        <f t="shared" si="10"/>
        <v>10</v>
      </c>
      <c r="U21" s="27">
        <f t="shared" si="10"/>
        <v>0</v>
      </c>
      <c r="V21" s="28">
        <f t="shared" si="10"/>
        <v>13</v>
      </c>
      <c r="W21" s="29">
        <f t="shared" si="10"/>
        <v>56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0.8</v>
      </c>
      <c r="AC21" s="4">
        <f>SUM(AC6:AC20)/15</f>
        <v>0.68055555555555558</v>
      </c>
      <c r="AD21" s="4">
        <f>SUM(AD6:AD20)/15</f>
        <v>0.68055555555555558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5" t="s">
        <v>45</v>
      </c>
      <c r="B48" s="365"/>
      <c r="C48" s="365"/>
      <c r="D48" s="365"/>
      <c r="E48" s="36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66" t="s">
        <v>449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8"/>
      <c r="N49" s="369" t="s">
        <v>452</v>
      </c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1"/>
    </row>
    <row r="50" spans="1:32" ht="27" customHeight="1">
      <c r="A50" s="372" t="s">
        <v>2</v>
      </c>
      <c r="B50" s="373"/>
      <c r="C50" s="288" t="s">
        <v>46</v>
      </c>
      <c r="D50" s="288" t="s">
        <v>47</v>
      </c>
      <c r="E50" s="288" t="s">
        <v>108</v>
      </c>
      <c r="F50" s="373" t="s">
        <v>107</v>
      </c>
      <c r="G50" s="373"/>
      <c r="H50" s="373"/>
      <c r="I50" s="373"/>
      <c r="J50" s="373"/>
      <c r="K50" s="373"/>
      <c r="L50" s="373"/>
      <c r="M50" s="374"/>
      <c r="N50" s="73" t="s">
        <v>112</v>
      </c>
      <c r="O50" s="288" t="s">
        <v>46</v>
      </c>
      <c r="P50" s="375" t="s">
        <v>47</v>
      </c>
      <c r="Q50" s="376"/>
      <c r="R50" s="375" t="s">
        <v>38</v>
      </c>
      <c r="S50" s="377"/>
      <c r="T50" s="377"/>
      <c r="U50" s="376"/>
      <c r="V50" s="375" t="s">
        <v>48</v>
      </c>
      <c r="W50" s="377"/>
      <c r="X50" s="377"/>
      <c r="Y50" s="377"/>
      <c r="Z50" s="377"/>
      <c r="AA50" s="377"/>
      <c r="AB50" s="377"/>
      <c r="AC50" s="377"/>
      <c r="AD50" s="378"/>
    </row>
    <row r="51" spans="1:32" ht="27" customHeight="1">
      <c r="A51" s="349" t="s">
        <v>125</v>
      </c>
      <c r="B51" s="350"/>
      <c r="C51" s="285" t="s">
        <v>170</v>
      </c>
      <c r="D51" s="285" t="s">
        <v>123</v>
      </c>
      <c r="E51" s="285" t="s">
        <v>158</v>
      </c>
      <c r="F51" s="341" t="s">
        <v>450</v>
      </c>
      <c r="G51" s="341"/>
      <c r="H51" s="341"/>
      <c r="I51" s="341"/>
      <c r="J51" s="341"/>
      <c r="K51" s="341"/>
      <c r="L51" s="341"/>
      <c r="M51" s="351"/>
      <c r="N51" s="284" t="s">
        <v>125</v>
      </c>
      <c r="O51" s="124" t="s">
        <v>170</v>
      </c>
      <c r="P51" s="358" t="s">
        <v>123</v>
      </c>
      <c r="Q51" s="359"/>
      <c r="R51" s="401" t="s">
        <v>158</v>
      </c>
      <c r="S51" s="350"/>
      <c r="T51" s="350"/>
      <c r="U51" s="350"/>
      <c r="V51" s="341" t="s">
        <v>134</v>
      </c>
      <c r="W51" s="341"/>
      <c r="X51" s="341"/>
      <c r="Y51" s="341"/>
      <c r="Z51" s="341"/>
      <c r="AA51" s="341"/>
      <c r="AB51" s="341"/>
      <c r="AC51" s="341"/>
      <c r="AD51" s="351"/>
    </row>
    <row r="52" spans="1:32" ht="27" customHeight="1">
      <c r="A52" s="349" t="s">
        <v>136</v>
      </c>
      <c r="B52" s="350"/>
      <c r="C52" s="285" t="s">
        <v>145</v>
      </c>
      <c r="D52" s="285" t="s">
        <v>219</v>
      </c>
      <c r="E52" s="285" t="s">
        <v>441</v>
      </c>
      <c r="F52" s="341" t="s">
        <v>129</v>
      </c>
      <c r="G52" s="341"/>
      <c r="H52" s="341"/>
      <c r="I52" s="341"/>
      <c r="J52" s="341"/>
      <c r="K52" s="341"/>
      <c r="L52" s="341"/>
      <c r="M52" s="351"/>
      <c r="N52" s="284" t="s">
        <v>114</v>
      </c>
      <c r="O52" s="124" t="s">
        <v>135</v>
      </c>
      <c r="P52" s="358" t="s">
        <v>224</v>
      </c>
      <c r="Q52" s="359"/>
      <c r="R52" s="350" t="s">
        <v>453</v>
      </c>
      <c r="S52" s="350"/>
      <c r="T52" s="350"/>
      <c r="U52" s="350"/>
      <c r="V52" s="341" t="s">
        <v>129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314</v>
      </c>
      <c r="B53" s="350"/>
      <c r="C53" s="285" t="s">
        <v>197</v>
      </c>
      <c r="D53" s="285"/>
      <c r="E53" s="285" t="s">
        <v>451</v>
      </c>
      <c r="F53" s="341" t="s">
        <v>278</v>
      </c>
      <c r="G53" s="341"/>
      <c r="H53" s="341"/>
      <c r="I53" s="341"/>
      <c r="J53" s="341"/>
      <c r="K53" s="341"/>
      <c r="L53" s="341"/>
      <c r="M53" s="351"/>
      <c r="N53" s="284" t="s">
        <v>114</v>
      </c>
      <c r="O53" s="124" t="s">
        <v>183</v>
      </c>
      <c r="P53" s="358" t="s">
        <v>219</v>
      </c>
      <c r="Q53" s="359"/>
      <c r="R53" s="350" t="s">
        <v>384</v>
      </c>
      <c r="S53" s="350"/>
      <c r="T53" s="350"/>
      <c r="U53" s="350"/>
      <c r="V53" s="341" t="s">
        <v>129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114</v>
      </c>
      <c r="B54" s="350"/>
      <c r="C54" s="285" t="s">
        <v>223</v>
      </c>
      <c r="D54" s="285" t="s">
        <v>149</v>
      </c>
      <c r="E54" s="285" t="s">
        <v>442</v>
      </c>
      <c r="F54" s="341" t="s">
        <v>129</v>
      </c>
      <c r="G54" s="341"/>
      <c r="H54" s="341"/>
      <c r="I54" s="341"/>
      <c r="J54" s="341"/>
      <c r="K54" s="341"/>
      <c r="L54" s="341"/>
      <c r="M54" s="351"/>
      <c r="N54" s="284"/>
      <c r="O54" s="124"/>
      <c r="P54" s="350"/>
      <c r="Q54" s="350"/>
      <c r="R54" s="350"/>
      <c r="S54" s="350"/>
      <c r="T54" s="350"/>
      <c r="U54" s="350"/>
      <c r="V54" s="341"/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114</v>
      </c>
      <c r="B55" s="350"/>
      <c r="C55" s="285" t="s">
        <v>135</v>
      </c>
      <c r="D55" s="285" t="s">
        <v>123</v>
      </c>
      <c r="E55" s="285" t="s">
        <v>440</v>
      </c>
      <c r="F55" s="341" t="s">
        <v>129</v>
      </c>
      <c r="G55" s="341"/>
      <c r="H55" s="341"/>
      <c r="I55" s="341"/>
      <c r="J55" s="341"/>
      <c r="K55" s="341"/>
      <c r="L55" s="341"/>
      <c r="M55" s="351"/>
      <c r="N55" s="284"/>
      <c r="O55" s="124"/>
      <c r="P55" s="350"/>
      <c r="Q55" s="350"/>
      <c r="R55" s="350"/>
      <c r="S55" s="350"/>
      <c r="T55" s="350"/>
      <c r="U55" s="350"/>
      <c r="V55" s="341"/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/>
      <c r="B56" s="350"/>
      <c r="C56" s="285"/>
      <c r="D56" s="285"/>
      <c r="E56" s="285"/>
      <c r="F56" s="341"/>
      <c r="G56" s="341"/>
      <c r="H56" s="341"/>
      <c r="I56" s="341"/>
      <c r="J56" s="341"/>
      <c r="K56" s="341"/>
      <c r="L56" s="341"/>
      <c r="M56" s="351"/>
      <c r="N56" s="284"/>
      <c r="O56" s="124"/>
      <c r="P56" s="358"/>
      <c r="Q56" s="359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/>
      <c r="B57" s="350"/>
      <c r="C57" s="285"/>
      <c r="D57" s="285"/>
      <c r="E57" s="285"/>
      <c r="F57" s="341"/>
      <c r="G57" s="341"/>
      <c r="H57" s="341"/>
      <c r="I57" s="341"/>
      <c r="J57" s="341"/>
      <c r="K57" s="341"/>
      <c r="L57" s="341"/>
      <c r="M57" s="351"/>
      <c r="N57" s="284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285"/>
      <c r="D58" s="285"/>
      <c r="E58" s="285"/>
      <c r="F58" s="341"/>
      <c r="G58" s="341"/>
      <c r="H58" s="341"/>
      <c r="I58" s="341"/>
      <c r="J58" s="341"/>
      <c r="K58" s="341"/>
      <c r="L58" s="341"/>
      <c r="M58" s="351"/>
      <c r="N58" s="284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285"/>
      <c r="D59" s="285"/>
      <c r="E59" s="285"/>
      <c r="F59" s="341"/>
      <c r="G59" s="341"/>
      <c r="H59" s="341"/>
      <c r="I59" s="341"/>
      <c r="J59" s="341"/>
      <c r="K59" s="341"/>
      <c r="L59" s="341"/>
      <c r="M59" s="351"/>
      <c r="N59" s="284"/>
      <c r="O59" s="124"/>
      <c r="P59" s="350"/>
      <c r="Q59" s="350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  <c r="AF59" s="93">
        <f>8*3000</f>
        <v>24000</v>
      </c>
    </row>
    <row r="60" spans="1:32" ht="27" customHeight="1" thickBot="1">
      <c r="A60" s="352"/>
      <c r="B60" s="353"/>
      <c r="C60" s="287"/>
      <c r="D60" s="287"/>
      <c r="E60" s="287"/>
      <c r="F60" s="354"/>
      <c r="G60" s="354"/>
      <c r="H60" s="354"/>
      <c r="I60" s="354"/>
      <c r="J60" s="354"/>
      <c r="K60" s="354"/>
      <c r="L60" s="354"/>
      <c r="M60" s="355"/>
      <c r="N60" s="286"/>
      <c r="O60" s="120"/>
      <c r="P60" s="353"/>
      <c r="Q60" s="353"/>
      <c r="R60" s="353"/>
      <c r="S60" s="353"/>
      <c r="T60" s="353"/>
      <c r="U60" s="353"/>
      <c r="V60" s="356"/>
      <c r="W60" s="356"/>
      <c r="X60" s="356"/>
      <c r="Y60" s="356"/>
      <c r="Z60" s="356"/>
      <c r="AA60" s="356"/>
      <c r="AB60" s="356"/>
      <c r="AC60" s="356"/>
      <c r="AD60" s="357"/>
      <c r="AF60" s="93">
        <f>16*3000</f>
        <v>48000</v>
      </c>
    </row>
    <row r="61" spans="1:32" ht="27.75" thickBot="1">
      <c r="A61" s="347" t="s">
        <v>454</v>
      </c>
      <c r="B61" s="347"/>
      <c r="C61" s="347"/>
      <c r="D61" s="347"/>
      <c r="E61" s="34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48" t="s">
        <v>113</v>
      </c>
      <c r="B62" s="345"/>
      <c r="C62" s="283" t="s">
        <v>2</v>
      </c>
      <c r="D62" s="283" t="s">
        <v>37</v>
      </c>
      <c r="E62" s="283" t="s">
        <v>3</v>
      </c>
      <c r="F62" s="345" t="s">
        <v>110</v>
      </c>
      <c r="G62" s="345"/>
      <c r="H62" s="345"/>
      <c r="I62" s="345"/>
      <c r="J62" s="345"/>
      <c r="K62" s="345" t="s">
        <v>39</v>
      </c>
      <c r="L62" s="345"/>
      <c r="M62" s="283" t="s">
        <v>40</v>
      </c>
      <c r="N62" s="345" t="s">
        <v>41</v>
      </c>
      <c r="O62" s="345"/>
      <c r="P62" s="342" t="s">
        <v>42</v>
      </c>
      <c r="Q62" s="344"/>
      <c r="R62" s="342" t="s">
        <v>43</v>
      </c>
      <c r="S62" s="343"/>
      <c r="T62" s="343"/>
      <c r="U62" s="343"/>
      <c r="V62" s="343"/>
      <c r="W62" s="343"/>
      <c r="X62" s="343"/>
      <c r="Y62" s="343"/>
      <c r="Z62" s="343"/>
      <c r="AA62" s="344"/>
      <c r="AB62" s="345" t="s">
        <v>44</v>
      </c>
      <c r="AC62" s="345"/>
      <c r="AD62" s="346"/>
      <c r="AF62" s="93">
        <f>SUM(AF59:AF61)</f>
        <v>96000</v>
      </c>
    </row>
    <row r="63" spans="1:32" ht="25.5" customHeight="1">
      <c r="A63" s="337">
        <v>1</v>
      </c>
      <c r="B63" s="338"/>
      <c r="C63" s="123"/>
      <c r="D63" s="279"/>
      <c r="E63" s="282"/>
      <c r="F63" s="339"/>
      <c r="G63" s="331"/>
      <c r="H63" s="331"/>
      <c r="I63" s="331"/>
      <c r="J63" s="331"/>
      <c r="K63" s="331"/>
      <c r="L63" s="331"/>
      <c r="M63" s="54"/>
      <c r="N63" s="331"/>
      <c r="O63" s="331"/>
      <c r="P63" s="340"/>
      <c r="Q63" s="340"/>
      <c r="R63" s="341"/>
      <c r="S63" s="341"/>
      <c r="T63" s="341"/>
      <c r="U63" s="341"/>
      <c r="V63" s="341"/>
      <c r="W63" s="341"/>
      <c r="X63" s="341"/>
      <c r="Y63" s="341"/>
      <c r="Z63" s="341"/>
      <c r="AA63" s="341"/>
      <c r="AB63" s="331"/>
      <c r="AC63" s="331"/>
      <c r="AD63" s="332"/>
      <c r="AF63" s="53"/>
    </row>
    <row r="64" spans="1:32" ht="25.5" customHeight="1">
      <c r="A64" s="337">
        <v>2</v>
      </c>
      <c r="B64" s="338"/>
      <c r="C64" s="123"/>
      <c r="D64" s="279"/>
      <c r="E64" s="282"/>
      <c r="F64" s="339"/>
      <c r="G64" s="331"/>
      <c r="H64" s="331"/>
      <c r="I64" s="331"/>
      <c r="J64" s="331"/>
      <c r="K64" s="331"/>
      <c r="L64" s="331"/>
      <c r="M64" s="54"/>
      <c r="N64" s="331"/>
      <c r="O64" s="331"/>
      <c r="P64" s="340"/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3</v>
      </c>
      <c r="B65" s="338"/>
      <c r="C65" s="123"/>
      <c r="D65" s="279"/>
      <c r="E65" s="282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4</v>
      </c>
      <c r="B66" s="338"/>
      <c r="C66" s="123"/>
      <c r="D66" s="279"/>
      <c r="E66" s="282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5</v>
      </c>
      <c r="B67" s="338"/>
      <c r="C67" s="123"/>
      <c r="D67" s="279"/>
      <c r="E67" s="282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6</v>
      </c>
      <c r="B68" s="338"/>
      <c r="C68" s="123"/>
      <c r="D68" s="279"/>
      <c r="E68" s="282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7</v>
      </c>
      <c r="B69" s="338"/>
      <c r="C69" s="123"/>
      <c r="D69" s="279"/>
      <c r="E69" s="282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8</v>
      </c>
      <c r="B70" s="338"/>
      <c r="C70" s="123"/>
      <c r="D70" s="279"/>
      <c r="E70" s="282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6.25" customHeight="1" thickBot="1">
      <c r="A71" s="311" t="s">
        <v>455</v>
      </c>
      <c r="B71" s="311"/>
      <c r="C71" s="311"/>
      <c r="D71" s="311"/>
      <c r="E71" s="311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12" t="s">
        <v>113</v>
      </c>
      <c r="B72" s="313"/>
      <c r="C72" s="281" t="s">
        <v>2</v>
      </c>
      <c r="D72" s="281" t="s">
        <v>37</v>
      </c>
      <c r="E72" s="281" t="s">
        <v>3</v>
      </c>
      <c r="F72" s="313" t="s">
        <v>38</v>
      </c>
      <c r="G72" s="313"/>
      <c r="H72" s="313"/>
      <c r="I72" s="313"/>
      <c r="J72" s="313"/>
      <c r="K72" s="333" t="s">
        <v>58</v>
      </c>
      <c r="L72" s="334"/>
      <c r="M72" s="334"/>
      <c r="N72" s="334"/>
      <c r="O72" s="334"/>
      <c r="P72" s="334"/>
      <c r="Q72" s="334"/>
      <c r="R72" s="334"/>
      <c r="S72" s="335"/>
      <c r="T72" s="313" t="s">
        <v>49</v>
      </c>
      <c r="U72" s="313"/>
      <c r="V72" s="333" t="s">
        <v>50</v>
      </c>
      <c r="W72" s="335"/>
      <c r="X72" s="334" t="s">
        <v>51</v>
      </c>
      <c r="Y72" s="334"/>
      <c r="Z72" s="334"/>
      <c r="AA72" s="334"/>
      <c r="AB72" s="334"/>
      <c r="AC72" s="334"/>
      <c r="AD72" s="336"/>
      <c r="AF72" s="53"/>
    </row>
    <row r="73" spans="1:32" ht="33.75" customHeight="1">
      <c r="A73" s="305">
        <v>1</v>
      </c>
      <c r="B73" s="306"/>
      <c r="C73" s="280" t="s">
        <v>114</v>
      </c>
      <c r="D73" s="280"/>
      <c r="E73" s="71" t="s">
        <v>246</v>
      </c>
      <c r="F73" s="320" t="s">
        <v>221</v>
      </c>
      <c r="G73" s="321"/>
      <c r="H73" s="321"/>
      <c r="I73" s="321"/>
      <c r="J73" s="322"/>
      <c r="K73" s="323" t="s">
        <v>301</v>
      </c>
      <c r="L73" s="324"/>
      <c r="M73" s="324"/>
      <c r="N73" s="324"/>
      <c r="O73" s="324"/>
      <c r="P73" s="324"/>
      <c r="Q73" s="324"/>
      <c r="R73" s="324"/>
      <c r="S73" s="325"/>
      <c r="T73" s="326">
        <v>43384</v>
      </c>
      <c r="U73" s="327"/>
      <c r="V73" s="328"/>
      <c r="W73" s="328"/>
      <c r="X73" s="329"/>
      <c r="Y73" s="329"/>
      <c r="Z73" s="329"/>
      <c r="AA73" s="329"/>
      <c r="AB73" s="329"/>
      <c r="AC73" s="329"/>
      <c r="AD73" s="330"/>
      <c r="AF73" s="53"/>
    </row>
    <row r="74" spans="1:32" ht="30" customHeight="1">
      <c r="A74" s="298">
        <f>A73+1</f>
        <v>2</v>
      </c>
      <c r="B74" s="299"/>
      <c r="C74" s="279"/>
      <c r="D74" s="279"/>
      <c r="E74" s="35"/>
      <c r="F74" s="299"/>
      <c r="G74" s="299"/>
      <c r="H74" s="299"/>
      <c r="I74" s="299"/>
      <c r="J74" s="299"/>
      <c r="K74" s="314"/>
      <c r="L74" s="315"/>
      <c r="M74" s="315"/>
      <c r="N74" s="315"/>
      <c r="O74" s="315"/>
      <c r="P74" s="315"/>
      <c r="Q74" s="315"/>
      <c r="R74" s="315"/>
      <c r="S74" s="316"/>
      <c r="T74" s="317"/>
      <c r="U74" s="317"/>
      <c r="V74" s="317"/>
      <c r="W74" s="317"/>
      <c r="X74" s="318"/>
      <c r="Y74" s="318"/>
      <c r="Z74" s="318"/>
      <c r="AA74" s="318"/>
      <c r="AB74" s="318"/>
      <c r="AC74" s="318"/>
      <c r="AD74" s="319"/>
      <c r="AF74" s="53"/>
    </row>
    <row r="75" spans="1:32" ht="30" customHeight="1">
      <c r="A75" s="298">
        <f t="shared" ref="A75:A81" si="11">A74+1</f>
        <v>3</v>
      </c>
      <c r="B75" s="299"/>
      <c r="C75" s="279"/>
      <c r="D75" s="279"/>
      <c r="E75" s="35"/>
      <c r="F75" s="299"/>
      <c r="G75" s="299"/>
      <c r="H75" s="299"/>
      <c r="I75" s="299"/>
      <c r="J75" s="299"/>
      <c r="K75" s="314"/>
      <c r="L75" s="315"/>
      <c r="M75" s="315"/>
      <c r="N75" s="315"/>
      <c r="O75" s="315"/>
      <c r="P75" s="315"/>
      <c r="Q75" s="315"/>
      <c r="R75" s="315"/>
      <c r="S75" s="316"/>
      <c r="T75" s="317"/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si="11"/>
        <v>4</v>
      </c>
      <c r="B76" s="299"/>
      <c r="C76" s="279"/>
      <c r="D76" s="279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1"/>
        <v>5</v>
      </c>
      <c r="B77" s="299"/>
      <c r="C77" s="279"/>
      <c r="D77" s="279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1"/>
        <v>6</v>
      </c>
      <c r="B78" s="299"/>
      <c r="C78" s="279"/>
      <c r="D78" s="279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1"/>
        <v>7</v>
      </c>
      <c r="B79" s="299"/>
      <c r="C79" s="279"/>
      <c r="D79" s="279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1"/>
        <v>8</v>
      </c>
      <c r="B80" s="299"/>
      <c r="C80" s="279"/>
      <c r="D80" s="279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1"/>
        <v>9</v>
      </c>
      <c r="B81" s="299"/>
      <c r="C81" s="279"/>
      <c r="D81" s="279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6" thickBot="1">
      <c r="A82" s="311" t="s">
        <v>456</v>
      </c>
      <c r="B82" s="311"/>
      <c r="C82" s="311"/>
      <c r="D82" s="311"/>
      <c r="E82" s="311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12" t="s">
        <v>113</v>
      </c>
      <c r="B83" s="313"/>
      <c r="C83" s="303" t="s">
        <v>52</v>
      </c>
      <c r="D83" s="303"/>
      <c r="E83" s="303" t="s">
        <v>53</v>
      </c>
      <c r="F83" s="303"/>
      <c r="G83" s="303"/>
      <c r="H83" s="303"/>
      <c r="I83" s="303"/>
      <c r="J83" s="303"/>
      <c r="K83" s="303" t="s">
        <v>54</v>
      </c>
      <c r="L83" s="303"/>
      <c r="M83" s="303"/>
      <c r="N83" s="303"/>
      <c r="O83" s="303"/>
      <c r="P83" s="303"/>
      <c r="Q83" s="303"/>
      <c r="R83" s="303"/>
      <c r="S83" s="303"/>
      <c r="T83" s="303" t="s">
        <v>55</v>
      </c>
      <c r="U83" s="303"/>
      <c r="V83" s="303" t="s">
        <v>56</v>
      </c>
      <c r="W83" s="303"/>
      <c r="X83" s="303"/>
      <c r="Y83" s="303" t="s">
        <v>51</v>
      </c>
      <c r="Z83" s="303"/>
      <c r="AA83" s="303"/>
      <c r="AB83" s="303"/>
      <c r="AC83" s="303"/>
      <c r="AD83" s="304"/>
      <c r="AF83" s="53"/>
    </row>
    <row r="84" spans="1:32" ht="30.75" customHeight="1">
      <c r="A84" s="305">
        <v>1</v>
      </c>
      <c r="B84" s="306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8"/>
      <c r="W84" s="308"/>
      <c r="X84" s="308"/>
      <c r="Y84" s="309"/>
      <c r="Z84" s="309"/>
      <c r="AA84" s="309"/>
      <c r="AB84" s="309"/>
      <c r="AC84" s="309"/>
      <c r="AD84" s="310"/>
      <c r="AF84" s="53"/>
    </row>
    <row r="85" spans="1:32" ht="30.75" customHeight="1">
      <c r="A85" s="298">
        <v>2</v>
      </c>
      <c r="B85" s="299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1"/>
      <c r="U85" s="301"/>
      <c r="V85" s="302"/>
      <c r="W85" s="302"/>
      <c r="X85" s="302"/>
      <c r="Y85" s="291"/>
      <c r="Z85" s="291"/>
      <c r="AA85" s="291"/>
      <c r="AB85" s="291"/>
      <c r="AC85" s="291"/>
      <c r="AD85" s="292"/>
      <c r="AF85" s="53"/>
    </row>
    <row r="86" spans="1:32" ht="30.75" customHeight="1" thickBot="1">
      <c r="A86" s="293">
        <v>3</v>
      </c>
      <c r="B86" s="294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6"/>
      <c r="Z86" s="296"/>
      <c r="AA86" s="296"/>
      <c r="AB86" s="296"/>
      <c r="AC86" s="296"/>
      <c r="AD86" s="29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C721-4190-40EE-B366-90E5030B2ECB}">
  <sheetPr>
    <pageSetUpPr fitToPage="1"/>
  </sheetPr>
  <dimension ref="A1:AF87"/>
  <sheetViews>
    <sheetView zoomScale="72" zoomScaleNormal="72" zoomScaleSheetLayoutView="70" workbookViewId="0">
      <selection activeCell="T11" sqref="T1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161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125" t="s">
        <v>17</v>
      </c>
      <c r="L5" s="125" t="s">
        <v>18</v>
      </c>
      <c r="M5" s="125" t="s">
        <v>19</v>
      </c>
      <c r="N5" s="12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0.37777777777777782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126</v>
      </c>
      <c r="D7" s="55"/>
      <c r="E7" s="57" t="s">
        <v>127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0.37777777777777782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149</v>
      </c>
      <c r="E8" s="57" t="s">
        <v>148</v>
      </c>
      <c r="F8" s="33" t="s">
        <v>147</v>
      </c>
      <c r="G8" s="36">
        <v>2</v>
      </c>
      <c r="H8" s="38">
        <v>25</v>
      </c>
      <c r="I8" s="7">
        <v>51000</v>
      </c>
      <c r="J8" s="5">
        <v>11580</v>
      </c>
      <c r="K8" s="15">
        <f>L8+10132+11782+13156</f>
        <v>46650</v>
      </c>
      <c r="L8" s="15">
        <f>3217*2+2573*2</f>
        <v>11580</v>
      </c>
      <c r="M8" s="16">
        <f t="shared" si="0"/>
        <v>11580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0.37777777777777782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162</v>
      </c>
      <c r="E9" s="57">
        <v>3159016</v>
      </c>
      <c r="F9" s="12" t="s">
        <v>132</v>
      </c>
      <c r="G9" s="12">
        <v>4</v>
      </c>
      <c r="H9" s="13">
        <v>25</v>
      </c>
      <c r="I9" s="7">
        <v>500</v>
      </c>
      <c r="J9" s="14">
        <v>784</v>
      </c>
      <c r="K9" s="15">
        <f>L9</f>
        <v>784</v>
      </c>
      <c r="L9" s="15">
        <f>196*4</f>
        <v>784</v>
      </c>
      <c r="M9" s="16">
        <f t="shared" si="0"/>
        <v>784</v>
      </c>
      <c r="N9" s="16">
        <v>0</v>
      </c>
      <c r="O9" s="62">
        <f t="shared" si="1"/>
        <v>0</v>
      </c>
      <c r="P9" s="42">
        <f t="shared" si="2"/>
        <v>3</v>
      </c>
      <c r="Q9" s="43">
        <f t="shared" si="3"/>
        <v>21</v>
      </c>
      <c r="R9" s="7"/>
      <c r="S9" s="6"/>
      <c r="T9" s="17"/>
      <c r="U9" s="17"/>
      <c r="V9" s="18"/>
      <c r="W9" s="19">
        <v>21</v>
      </c>
      <c r="X9" s="17"/>
      <c r="Y9" s="20"/>
      <c r="Z9" s="20"/>
      <c r="AA9" s="21"/>
      <c r="AB9" s="8">
        <f t="shared" si="4"/>
        <v>1</v>
      </c>
      <c r="AC9" s="9">
        <f t="shared" si="5"/>
        <v>0.125</v>
      </c>
      <c r="AD9" s="10">
        <f t="shared" si="6"/>
        <v>0.125</v>
      </c>
      <c r="AE9" s="39">
        <f t="shared" si="7"/>
        <v>0.37777777777777782</v>
      </c>
      <c r="AF9" s="93">
        <f t="shared" si="8"/>
        <v>4</v>
      </c>
    </row>
    <row r="10" spans="1:32" ht="27" customHeight="1">
      <c r="A10" s="109">
        <v>4</v>
      </c>
      <c r="B10" s="11" t="s">
        <v>57</v>
      </c>
      <c r="C10" s="11" t="s">
        <v>114</v>
      </c>
      <c r="D10" s="55" t="s">
        <v>149</v>
      </c>
      <c r="E10" s="57" t="s">
        <v>163</v>
      </c>
      <c r="F10" s="12" t="s">
        <v>147</v>
      </c>
      <c r="G10" s="12">
        <v>2</v>
      </c>
      <c r="H10" s="13">
        <v>25</v>
      </c>
      <c r="I10" s="7">
        <v>1000</v>
      </c>
      <c r="J10" s="14">
        <v>1160</v>
      </c>
      <c r="K10" s="15">
        <f>L10</f>
        <v>1160</v>
      </c>
      <c r="L10" s="15">
        <f>580*2</f>
        <v>1160</v>
      </c>
      <c r="M10" s="16">
        <f t="shared" ref="M10" si="9">L10-N10</f>
        <v>1160</v>
      </c>
      <c r="N10" s="16">
        <v>0</v>
      </c>
      <c r="O10" s="62">
        <f t="shared" ref="O10" si="10">IF(L10=0,"0",N10/L10)</f>
        <v>0</v>
      </c>
      <c r="P10" s="42">
        <f t="shared" ref="P10" si="11">IF(L10=0,"0",(24-Q10))</f>
        <v>4</v>
      </c>
      <c r="Q10" s="43">
        <f t="shared" ref="Q10" si="12">SUM(R10:AA10)</f>
        <v>20</v>
      </c>
      <c r="R10" s="7"/>
      <c r="S10" s="6"/>
      <c r="T10" s="17"/>
      <c r="U10" s="17"/>
      <c r="V10" s="18"/>
      <c r="W10" s="19">
        <v>20</v>
      </c>
      <c r="X10" s="17"/>
      <c r="Y10" s="20"/>
      <c r="Z10" s="20"/>
      <c r="AA10" s="21"/>
      <c r="AB10" s="8">
        <f t="shared" ref="AB10" si="13">IF(J10=0,"0",(L10/J10))</f>
        <v>1</v>
      </c>
      <c r="AC10" s="9">
        <f t="shared" ref="AC10" si="14">IF(P10=0,"0",(P10/24))</f>
        <v>0.16666666666666666</v>
      </c>
      <c r="AD10" s="10">
        <f t="shared" ref="AD10" si="15">AC10*AB10*(1-O10)</f>
        <v>0.16666666666666666</v>
      </c>
      <c r="AE10" s="39">
        <f t="shared" si="7"/>
        <v>0.37777777777777782</v>
      </c>
      <c r="AF10" s="93">
        <f t="shared" ref="AF10" si="16">A10</f>
        <v>4</v>
      </c>
    </row>
    <row r="11" spans="1:32" ht="27" customHeight="1">
      <c r="A11" s="109">
        <v>5</v>
      </c>
      <c r="B11" s="11" t="s">
        <v>57</v>
      </c>
      <c r="C11" s="11" t="s">
        <v>137</v>
      </c>
      <c r="D11" s="55" t="s">
        <v>150</v>
      </c>
      <c r="E11" s="57" t="s">
        <v>155</v>
      </c>
      <c r="F11" s="12" t="s">
        <v>146</v>
      </c>
      <c r="G11" s="12">
        <v>1</v>
      </c>
      <c r="H11" s="13">
        <v>25</v>
      </c>
      <c r="I11" s="7">
        <v>65000</v>
      </c>
      <c r="J11" s="14">
        <v>17546</v>
      </c>
      <c r="K11" s="15">
        <f>L11+18476+20620+17546</f>
        <v>56642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0.37777777777777782</v>
      </c>
      <c r="AF11" s="93">
        <f t="shared" si="8"/>
        <v>5</v>
      </c>
    </row>
    <row r="12" spans="1:32" ht="27" customHeight="1">
      <c r="A12" s="109">
        <v>6</v>
      </c>
      <c r="B12" s="11" t="s">
        <v>57</v>
      </c>
      <c r="C12" s="37" t="s">
        <v>136</v>
      </c>
      <c r="D12" s="55" t="s">
        <v>131</v>
      </c>
      <c r="E12" s="57" t="s">
        <v>154</v>
      </c>
      <c r="F12" s="12" t="s">
        <v>144</v>
      </c>
      <c r="G12" s="12">
        <v>1</v>
      </c>
      <c r="H12" s="13">
        <v>25</v>
      </c>
      <c r="I12" s="34">
        <v>6500</v>
      </c>
      <c r="J12" s="5">
        <v>2357</v>
      </c>
      <c r="K12" s="15">
        <f>L12+5687+2357</f>
        <v>8044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0.37777777777777782</v>
      </c>
      <c r="AF12" s="93">
        <f t="shared" si="8"/>
        <v>6</v>
      </c>
    </row>
    <row r="13" spans="1:32" ht="27" customHeight="1">
      <c r="A13" s="109">
        <v>7</v>
      </c>
      <c r="B13" s="11" t="s">
        <v>57</v>
      </c>
      <c r="C13" s="11" t="s">
        <v>125</v>
      </c>
      <c r="D13" s="55" t="s">
        <v>130</v>
      </c>
      <c r="E13" s="57" t="s">
        <v>157</v>
      </c>
      <c r="F13" s="12" t="s">
        <v>128</v>
      </c>
      <c r="G13" s="12">
        <v>1</v>
      </c>
      <c r="H13" s="13">
        <v>25</v>
      </c>
      <c r="I13" s="7">
        <v>17000</v>
      </c>
      <c r="J13" s="14">
        <v>3453</v>
      </c>
      <c r="K13" s="15">
        <f>L13+5543+2850</f>
        <v>11846</v>
      </c>
      <c r="L13" s="15">
        <f>1795+1658</f>
        <v>3453</v>
      </c>
      <c r="M13" s="16">
        <f t="shared" si="0"/>
        <v>3453</v>
      </c>
      <c r="N13" s="16">
        <v>0</v>
      </c>
      <c r="O13" s="62">
        <f t="shared" si="1"/>
        <v>0</v>
      </c>
      <c r="P13" s="42">
        <f t="shared" si="2"/>
        <v>19</v>
      </c>
      <c r="Q13" s="43">
        <f t="shared" si="3"/>
        <v>5</v>
      </c>
      <c r="R13" s="7"/>
      <c r="S13" s="6">
        <v>5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0.79166666666666663</v>
      </c>
      <c r="AD13" s="10">
        <f t="shared" si="6"/>
        <v>0.79166666666666663</v>
      </c>
      <c r="AE13" s="39">
        <f t="shared" si="7"/>
        <v>0.37777777777777782</v>
      </c>
      <c r="AF13" s="93">
        <f t="shared" si="8"/>
        <v>7</v>
      </c>
    </row>
    <row r="14" spans="1:32" ht="27" customHeight="1">
      <c r="A14" s="109">
        <v>8</v>
      </c>
      <c r="B14" s="11" t="s">
        <v>57</v>
      </c>
      <c r="C14" s="11" t="s">
        <v>125</v>
      </c>
      <c r="D14" s="55" t="s">
        <v>123</v>
      </c>
      <c r="E14" s="57" t="s">
        <v>158</v>
      </c>
      <c r="F14" s="12" t="s">
        <v>146</v>
      </c>
      <c r="G14" s="12">
        <v>1</v>
      </c>
      <c r="H14" s="13">
        <v>25</v>
      </c>
      <c r="I14" s="7">
        <v>17000</v>
      </c>
      <c r="J14" s="14">
        <v>1550</v>
      </c>
      <c r="K14" s="15">
        <f>L14+4333+5489</f>
        <v>11372</v>
      </c>
      <c r="L14" s="15">
        <f>768+782</f>
        <v>1550</v>
      </c>
      <c r="M14" s="16">
        <f t="shared" si="0"/>
        <v>1550</v>
      </c>
      <c r="N14" s="16">
        <v>0</v>
      </c>
      <c r="O14" s="62">
        <f t="shared" si="1"/>
        <v>0</v>
      </c>
      <c r="P14" s="42">
        <f t="shared" si="2"/>
        <v>9</v>
      </c>
      <c r="Q14" s="43">
        <f t="shared" si="3"/>
        <v>15</v>
      </c>
      <c r="R14" s="7"/>
      <c r="S14" s="6">
        <v>15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0.375</v>
      </c>
      <c r="AD14" s="10">
        <f t="shared" si="6"/>
        <v>0.375</v>
      </c>
      <c r="AE14" s="39">
        <f t="shared" si="7"/>
        <v>0.37777777777777782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139</v>
      </c>
      <c r="F15" s="33" t="s">
        <v>138</v>
      </c>
      <c r="G15" s="36">
        <v>1</v>
      </c>
      <c r="H15" s="38">
        <v>25</v>
      </c>
      <c r="I15" s="7">
        <v>1000</v>
      </c>
      <c r="J15" s="5">
        <v>1068</v>
      </c>
      <c r="K15" s="15">
        <f>L15+1068</f>
        <v>1068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>
        <v>24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0.37777777777777782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137</v>
      </c>
      <c r="D16" s="55"/>
      <c r="E16" s="57" t="s">
        <v>153</v>
      </c>
      <c r="F16" s="12" t="s">
        <v>140</v>
      </c>
      <c r="G16" s="12">
        <v>1</v>
      </c>
      <c r="H16" s="13">
        <v>24</v>
      </c>
      <c r="I16" s="34">
        <v>250</v>
      </c>
      <c r="J16" s="14">
        <v>305</v>
      </c>
      <c r="K16" s="15">
        <f>L16+305</f>
        <v>305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0.37777777777777782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125</v>
      </c>
      <c r="D17" s="55" t="s">
        <v>152</v>
      </c>
      <c r="E17" s="57" t="s">
        <v>159</v>
      </c>
      <c r="F17" s="33" t="s">
        <v>147</v>
      </c>
      <c r="G17" s="36">
        <v>1</v>
      </c>
      <c r="H17" s="38">
        <v>25</v>
      </c>
      <c r="I17" s="7">
        <v>19000</v>
      </c>
      <c r="J17" s="5">
        <v>5463</v>
      </c>
      <c r="K17" s="15">
        <f>L17+3687+5870</f>
        <v>15020</v>
      </c>
      <c r="L17" s="15">
        <f>3034+2429</f>
        <v>5463</v>
      </c>
      <c r="M17" s="16">
        <f t="shared" si="0"/>
        <v>5463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1</v>
      </c>
      <c r="AC17" s="9">
        <f t="shared" si="5"/>
        <v>1</v>
      </c>
      <c r="AD17" s="10">
        <f t="shared" si="6"/>
        <v>1</v>
      </c>
      <c r="AE17" s="39">
        <f t="shared" si="7"/>
        <v>0.37777777777777782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11" t="s">
        <v>114</v>
      </c>
      <c r="D18" s="55" t="s">
        <v>156</v>
      </c>
      <c r="E18" s="57" t="s">
        <v>164</v>
      </c>
      <c r="F18" s="12">
        <v>8301</v>
      </c>
      <c r="G18" s="12">
        <v>1</v>
      </c>
      <c r="H18" s="13">
        <v>24</v>
      </c>
      <c r="I18" s="34">
        <v>1500</v>
      </c>
      <c r="J18" s="14">
        <v>1846</v>
      </c>
      <c r="K18" s="15">
        <f>L18</f>
        <v>1846</v>
      </c>
      <c r="L18" s="15">
        <f>1428+418</f>
        <v>1846</v>
      </c>
      <c r="M18" s="16">
        <f t="shared" si="0"/>
        <v>1846</v>
      </c>
      <c r="N18" s="16">
        <v>0</v>
      </c>
      <c r="O18" s="62">
        <f t="shared" si="1"/>
        <v>0</v>
      </c>
      <c r="P18" s="42">
        <f t="shared" si="2"/>
        <v>8</v>
      </c>
      <c r="Q18" s="43">
        <f t="shared" si="3"/>
        <v>16</v>
      </c>
      <c r="R18" s="7"/>
      <c r="S18" s="6"/>
      <c r="T18" s="17"/>
      <c r="U18" s="17"/>
      <c r="V18" s="18"/>
      <c r="W18" s="19">
        <v>16</v>
      </c>
      <c r="X18" s="17"/>
      <c r="Y18" s="20"/>
      <c r="Z18" s="20"/>
      <c r="AA18" s="21"/>
      <c r="AB18" s="8">
        <f t="shared" si="4"/>
        <v>1</v>
      </c>
      <c r="AC18" s="9">
        <f t="shared" si="5"/>
        <v>0.33333333333333331</v>
      </c>
      <c r="AD18" s="10">
        <f t="shared" si="6"/>
        <v>0.33333333333333331</v>
      </c>
      <c r="AE18" s="39">
        <f t="shared" si="7"/>
        <v>0.37777777777777782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125</v>
      </c>
      <c r="D19" s="55" t="s">
        <v>131</v>
      </c>
      <c r="E19" s="57" t="s">
        <v>160</v>
      </c>
      <c r="F19" s="12" t="s">
        <v>132</v>
      </c>
      <c r="G19" s="36">
        <v>1</v>
      </c>
      <c r="H19" s="38">
        <v>30</v>
      </c>
      <c r="I19" s="7">
        <v>16000</v>
      </c>
      <c r="J19" s="5">
        <v>5097</v>
      </c>
      <c r="K19" s="15">
        <f>L19+4340+5496</f>
        <v>14933</v>
      </c>
      <c r="L19" s="15">
        <f>2849+2248</f>
        <v>5097</v>
      </c>
      <c r="M19" s="16">
        <f t="shared" si="0"/>
        <v>5097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1</v>
      </c>
      <c r="AD19" s="10">
        <f t="shared" si="6"/>
        <v>1</v>
      </c>
      <c r="AE19" s="39">
        <f t="shared" si="7"/>
        <v>0.37777777777777782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136</v>
      </c>
      <c r="D20" s="55" t="s">
        <v>149</v>
      </c>
      <c r="E20" s="57" t="s">
        <v>165</v>
      </c>
      <c r="F20" s="12" t="s">
        <v>166</v>
      </c>
      <c r="G20" s="36" t="s">
        <v>167</v>
      </c>
      <c r="H20" s="38">
        <v>30</v>
      </c>
      <c r="I20" s="7">
        <v>3000</v>
      </c>
      <c r="J20" s="5">
        <v>3101</v>
      </c>
      <c r="K20" s="15">
        <f>L20</f>
        <v>3101</v>
      </c>
      <c r="L20" s="15">
        <f>1765+1336</f>
        <v>3101</v>
      </c>
      <c r="M20" s="16">
        <f t="shared" si="0"/>
        <v>3101</v>
      </c>
      <c r="N20" s="16">
        <v>0</v>
      </c>
      <c r="O20" s="62">
        <f t="shared" si="1"/>
        <v>0</v>
      </c>
      <c r="P20" s="42">
        <f t="shared" si="2"/>
        <v>21</v>
      </c>
      <c r="Q20" s="43">
        <f t="shared" si="3"/>
        <v>3</v>
      </c>
      <c r="R20" s="7"/>
      <c r="S20" s="6"/>
      <c r="T20" s="17"/>
      <c r="U20" s="17"/>
      <c r="V20" s="18"/>
      <c r="W20" s="19">
        <v>3</v>
      </c>
      <c r="X20" s="17"/>
      <c r="Y20" s="20"/>
      <c r="Z20" s="20"/>
      <c r="AA20" s="21"/>
      <c r="AB20" s="8">
        <f t="shared" si="4"/>
        <v>1</v>
      </c>
      <c r="AC20" s="9">
        <f t="shared" si="5"/>
        <v>0.875</v>
      </c>
      <c r="AD20" s="10">
        <f t="shared" si="6"/>
        <v>0.875</v>
      </c>
      <c r="AE20" s="39">
        <f t="shared" si="7"/>
        <v>0.37777777777777782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151</v>
      </c>
      <c r="F21" s="12" t="s">
        <v>122</v>
      </c>
      <c r="G21" s="12">
        <v>4</v>
      </c>
      <c r="H21" s="38">
        <v>20</v>
      </c>
      <c r="I21" s="7">
        <v>300000</v>
      </c>
      <c r="J21" s="14">
        <v>4524</v>
      </c>
      <c r="K21" s="15">
        <f>L21+20068+24564+48544+43996+30716+19196+21560+23324+19612+4524</f>
        <v>256104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0.37777777777777782</v>
      </c>
      <c r="AF21" s="93">
        <f t="shared" si="8"/>
        <v>15</v>
      </c>
    </row>
    <row r="22" spans="1:32" ht="31.5" customHeight="1" thickBot="1">
      <c r="A22" s="362" t="s">
        <v>34</v>
      </c>
      <c r="B22" s="363"/>
      <c r="C22" s="363"/>
      <c r="D22" s="363"/>
      <c r="E22" s="363"/>
      <c r="F22" s="363"/>
      <c r="G22" s="363"/>
      <c r="H22" s="364"/>
      <c r="I22" s="25">
        <f t="shared" ref="I22:N22" si="17">SUM(I6:I21)</f>
        <v>699750</v>
      </c>
      <c r="J22" s="22">
        <f t="shared" si="17"/>
        <v>97474</v>
      </c>
      <c r="K22" s="23">
        <f t="shared" si="17"/>
        <v>616153</v>
      </c>
      <c r="L22" s="24">
        <f t="shared" si="17"/>
        <v>34034</v>
      </c>
      <c r="M22" s="23">
        <f t="shared" si="17"/>
        <v>34034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136</v>
      </c>
      <c r="Q22" s="46">
        <f t="shared" si="18"/>
        <v>248</v>
      </c>
      <c r="R22" s="26">
        <f t="shared" si="18"/>
        <v>48</v>
      </c>
      <c r="S22" s="27">
        <f t="shared" si="18"/>
        <v>68</v>
      </c>
      <c r="T22" s="27">
        <f t="shared" si="18"/>
        <v>0</v>
      </c>
      <c r="U22" s="27">
        <f t="shared" si="18"/>
        <v>0</v>
      </c>
      <c r="V22" s="28">
        <f t="shared" si="18"/>
        <v>0</v>
      </c>
      <c r="W22" s="29">
        <f t="shared" si="18"/>
        <v>132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</v>
      </c>
      <c r="AC22" s="4">
        <f>SUM(AC6:AC21)/15</f>
        <v>0.37777777777777782</v>
      </c>
      <c r="AD22" s="4">
        <f>SUM(AD6:AD21)/15</f>
        <v>0.37777777777777782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65" t="s">
        <v>45</v>
      </c>
      <c r="B49" s="365"/>
      <c r="C49" s="365"/>
      <c r="D49" s="365"/>
      <c r="E49" s="365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66" t="s">
        <v>169</v>
      </c>
      <c r="B50" s="367"/>
      <c r="C50" s="367"/>
      <c r="D50" s="367"/>
      <c r="E50" s="367"/>
      <c r="F50" s="367"/>
      <c r="G50" s="367"/>
      <c r="H50" s="367"/>
      <c r="I50" s="367"/>
      <c r="J50" s="367"/>
      <c r="K50" s="367"/>
      <c r="L50" s="367"/>
      <c r="M50" s="368"/>
      <c r="N50" s="369" t="s">
        <v>193</v>
      </c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1"/>
    </row>
    <row r="51" spans="1:32" ht="27" customHeight="1">
      <c r="A51" s="372" t="s">
        <v>2</v>
      </c>
      <c r="B51" s="373"/>
      <c r="C51" s="126" t="s">
        <v>46</v>
      </c>
      <c r="D51" s="126" t="s">
        <v>47</v>
      </c>
      <c r="E51" s="126" t="s">
        <v>108</v>
      </c>
      <c r="F51" s="373" t="s">
        <v>107</v>
      </c>
      <c r="G51" s="373"/>
      <c r="H51" s="373"/>
      <c r="I51" s="373"/>
      <c r="J51" s="373"/>
      <c r="K51" s="373"/>
      <c r="L51" s="373"/>
      <c r="M51" s="374"/>
      <c r="N51" s="73" t="s">
        <v>112</v>
      </c>
      <c r="O51" s="126" t="s">
        <v>46</v>
      </c>
      <c r="P51" s="375" t="s">
        <v>47</v>
      </c>
      <c r="Q51" s="376"/>
      <c r="R51" s="375" t="s">
        <v>38</v>
      </c>
      <c r="S51" s="377"/>
      <c r="T51" s="377"/>
      <c r="U51" s="376"/>
      <c r="V51" s="375" t="s">
        <v>48</v>
      </c>
      <c r="W51" s="377"/>
      <c r="X51" s="377"/>
      <c r="Y51" s="377"/>
      <c r="Z51" s="377"/>
      <c r="AA51" s="377"/>
      <c r="AB51" s="377"/>
      <c r="AC51" s="377"/>
      <c r="AD51" s="378"/>
    </row>
    <row r="52" spans="1:32" ht="27" customHeight="1">
      <c r="A52" s="349" t="s">
        <v>125</v>
      </c>
      <c r="B52" s="350"/>
      <c r="C52" s="128" t="s">
        <v>170</v>
      </c>
      <c r="D52" s="128" t="s">
        <v>162</v>
      </c>
      <c r="E52" s="128" t="s">
        <v>171</v>
      </c>
      <c r="F52" s="341" t="s">
        <v>172</v>
      </c>
      <c r="G52" s="341"/>
      <c r="H52" s="341"/>
      <c r="I52" s="341"/>
      <c r="J52" s="341"/>
      <c r="K52" s="341"/>
      <c r="L52" s="341"/>
      <c r="M52" s="351"/>
      <c r="N52" s="127" t="s">
        <v>125</v>
      </c>
      <c r="O52" s="124" t="s">
        <v>145</v>
      </c>
      <c r="P52" s="350" t="s">
        <v>130</v>
      </c>
      <c r="Q52" s="350"/>
      <c r="R52" s="350" t="s">
        <v>157</v>
      </c>
      <c r="S52" s="350"/>
      <c r="T52" s="350"/>
      <c r="U52" s="350"/>
      <c r="V52" s="341" t="s">
        <v>134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114</v>
      </c>
      <c r="B53" s="350"/>
      <c r="C53" s="128" t="s">
        <v>170</v>
      </c>
      <c r="D53" s="128" t="s">
        <v>149</v>
      </c>
      <c r="E53" s="128" t="s">
        <v>173</v>
      </c>
      <c r="F53" s="341" t="s">
        <v>172</v>
      </c>
      <c r="G53" s="341"/>
      <c r="H53" s="341"/>
      <c r="I53" s="341"/>
      <c r="J53" s="341"/>
      <c r="K53" s="341"/>
      <c r="L53" s="341"/>
      <c r="M53" s="351"/>
      <c r="N53" s="127" t="s">
        <v>125</v>
      </c>
      <c r="O53" s="124" t="s">
        <v>135</v>
      </c>
      <c r="P53" s="358" t="s">
        <v>123</v>
      </c>
      <c r="Q53" s="359"/>
      <c r="R53" s="350" t="s">
        <v>158</v>
      </c>
      <c r="S53" s="350"/>
      <c r="T53" s="350"/>
      <c r="U53" s="350"/>
      <c r="V53" s="341" t="s">
        <v>134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125</v>
      </c>
      <c r="B54" s="350"/>
      <c r="C54" s="128" t="s">
        <v>174</v>
      </c>
      <c r="D54" s="128" t="s">
        <v>175</v>
      </c>
      <c r="E54" s="128" t="s">
        <v>176</v>
      </c>
      <c r="F54" s="341" t="s">
        <v>177</v>
      </c>
      <c r="G54" s="341"/>
      <c r="H54" s="341"/>
      <c r="I54" s="341"/>
      <c r="J54" s="341"/>
      <c r="K54" s="341"/>
      <c r="L54" s="341"/>
      <c r="M54" s="351"/>
      <c r="N54" s="127" t="s">
        <v>137</v>
      </c>
      <c r="O54" s="124" t="s">
        <v>133</v>
      </c>
      <c r="P54" s="358"/>
      <c r="Q54" s="359"/>
      <c r="R54" s="350" t="s">
        <v>155</v>
      </c>
      <c r="S54" s="350"/>
      <c r="T54" s="350"/>
      <c r="U54" s="350"/>
      <c r="V54" s="341" t="s">
        <v>134</v>
      </c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125</v>
      </c>
      <c r="B55" s="350"/>
      <c r="C55" s="128" t="s">
        <v>178</v>
      </c>
      <c r="D55" s="128" t="s">
        <v>179</v>
      </c>
      <c r="E55" s="128" t="s">
        <v>180</v>
      </c>
      <c r="F55" s="341" t="s">
        <v>181</v>
      </c>
      <c r="G55" s="341"/>
      <c r="H55" s="341"/>
      <c r="I55" s="341"/>
      <c r="J55" s="341"/>
      <c r="K55" s="341"/>
      <c r="L55" s="341"/>
      <c r="M55" s="351"/>
      <c r="N55" s="127" t="s">
        <v>136</v>
      </c>
      <c r="O55" s="124" t="s">
        <v>170</v>
      </c>
      <c r="P55" s="350" t="s">
        <v>130</v>
      </c>
      <c r="Q55" s="350"/>
      <c r="R55" s="350" t="s">
        <v>194</v>
      </c>
      <c r="S55" s="350"/>
      <c r="T55" s="350"/>
      <c r="U55" s="350"/>
      <c r="V55" s="341" t="s">
        <v>129</v>
      </c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 t="s">
        <v>182</v>
      </c>
      <c r="B56" s="350"/>
      <c r="C56" s="128" t="s">
        <v>183</v>
      </c>
      <c r="D56" s="128" t="s">
        <v>149</v>
      </c>
      <c r="E56" s="128" t="s">
        <v>184</v>
      </c>
      <c r="F56" s="341" t="s">
        <v>172</v>
      </c>
      <c r="G56" s="341"/>
      <c r="H56" s="341"/>
      <c r="I56" s="341"/>
      <c r="J56" s="341"/>
      <c r="K56" s="341"/>
      <c r="L56" s="341"/>
      <c r="M56" s="351"/>
      <c r="N56" s="127" t="s">
        <v>136</v>
      </c>
      <c r="O56" s="124" t="s">
        <v>197</v>
      </c>
      <c r="P56" s="350" t="s">
        <v>198</v>
      </c>
      <c r="Q56" s="350"/>
      <c r="R56" s="350" t="s">
        <v>195</v>
      </c>
      <c r="S56" s="350"/>
      <c r="T56" s="350"/>
      <c r="U56" s="350"/>
      <c r="V56" s="341" t="s">
        <v>129</v>
      </c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 t="s">
        <v>114</v>
      </c>
      <c r="B57" s="350"/>
      <c r="C57" s="128" t="s">
        <v>185</v>
      </c>
      <c r="D57" s="128" t="s">
        <v>186</v>
      </c>
      <c r="E57" s="128" t="s">
        <v>187</v>
      </c>
      <c r="F57" s="341" t="s">
        <v>172</v>
      </c>
      <c r="G57" s="341"/>
      <c r="H57" s="341"/>
      <c r="I57" s="341"/>
      <c r="J57" s="341"/>
      <c r="K57" s="341"/>
      <c r="L57" s="341"/>
      <c r="M57" s="351"/>
      <c r="N57" s="127" t="s">
        <v>136</v>
      </c>
      <c r="O57" s="124" t="s">
        <v>183</v>
      </c>
      <c r="P57" s="358" t="s">
        <v>123</v>
      </c>
      <c r="Q57" s="359"/>
      <c r="R57" s="350" t="s">
        <v>196</v>
      </c>
      <c r="S57" s="350"/>
      <c r="T57" s="350"/>
      <c r="U57" s="350"/>
      <c r="V57" s="341" t="s">
        <v>129</v>
      </c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 t="s">
        <v>188</v>
      </c>
      <c r="B58" s="350"/>
      <c r="C58" s="128" t="s">
        <v>189</v>
      </c>
      <c r="D58" s="128" t="s">
        <v>190</v>
      </c>
      <c r="E58" s="128" t="s">
        <v>191</v>
      </c>
      <c r="F58" s="341" t="s">
        <v>192</v>
      </c>
      <c r="G58" s="341"/>
      <c r="H58" s="341"/>
      <c r="I58" s="341"/>
      <c r="J58" s="341"/>
      <c r="K58" s="341"/>
      <c r="L58" s="341"/>
      <c r="M58" s="351"/>
      <c r="N58" s="127" t="s">
        <v>125</v>
      </c>
      <c r="O58" s="124" t="s">
        <v>199</v>
      </c>
      <c r="P58" s="358" t="s">
        <v>200</v>
      </c>
      <c r="Q58" s="359"/>
      <c r="R58" s="350" t="s">
        <v>201</v>
      </c>
      <c r="S58" s="350"/>
      <c r="T58" s="350"/>
      <c r="U58" s="350"/>
      <c r="V58" s="341" t="s">
        <v>129</v>
      </c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128"/>
      <c r="D59" s="128"/>
      <c r="E59" s="128"/>
      <c r="F59" s="341"/>
      <c r="G59" s="341"/>
      <c r="H59" s="341"/>
      <c r="I59" s="341"/>
      <c r="J59" s="341"/>
      <c r="K59" s="341"/>
      <c r="L59" s="341"/>
      <c r="M59" s="351"/>
      <c r="N59" s="127"/>
      <c r="O59" s="124"/>
      <c r="P59" s="358"/>
      <c r="Q59" s="359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</row>
    <row r="60" spans="1:32" ht="27" customHeight="1">
      <c r="A60" s="349"/>
      <c r="B60" s="350"/>
      <c r="C60" s="128"/>
      <c r="D60" s="128"/>
      <c r="E60" s="128"/>
      <c r="F60" s="341"/>
      <c r="G60" s="341"/>
      <c r="H60" s="341"/>
      <c r="I60" s="341"/>
      <c r="J60" s="341"/>
      <c r="K60" s="341"/>
      <c r="L60" s="341"/>
      <c r="M60" s="351"/>
      <c r="N60" s="127"/>
      <c r="O60" s="124"/>
      <c r="P60" s="350"/>
      <c r="Q60" s="350"/>
      <c r="R60" s="350"/>
      <c r="S60" s="350"/>
      <c r="T60" s="350"/>
      <c r="U60" s="350"/>
      <c r="V60" s="341"/>
      <c r="W60" s="341"/>
      <c r="X60" s="341"/>
      <c r="Y60" s="341"/>
      <c r="Z60" s="341"/>
      <c r="AA60" s="341"/>
      <c r="AB60" s="341"/>
      <c r="AC60" s="341"/>
      <c r="AD60" s="351"/>
      <c r="AF60" s="93">
        <f>8*3000</f>
        <v>24000</v>
      </c>
    </row>
    <row r="61" spans="1:32" ht="27" customHeight="1" thickBot="1">
      <c r="A61" s="352"/>
      <c r="B61" s="353"/>
      <c r="C61" s="130"/>
      <c r="D61" s="130"/>
      <c r="E61" s="130"/>
      <c r="F61" s="354"/>
      <c r="G61" s="354"/>
      <c r="H61" s="354"/>
      <c r="I61" s="354"/>
      <c r="J61" s="354"/>
      <c r="K61" s="354"/>
      <c r="L61" s="354"/>
      <c r="M61" s="355"/>
      <c r="N61" s="129"/>
      <c r="O61" s="120"/>
      <c r="P61" s="353"/>
      <c r="Q61" s="353"/>
      <c r="R61" s="353"/>
      <c r="S61" s="353"/>
      <c r="T61" s="353"/>
      <c r="U61" s="353"/>
      <c r="V61" s="356"/>
      <c r="W61" s="356"/>
      <c r="X61" s="356"/>
      <c r="Y61" s="356"/>
      <c r="Z61" s="356"/>
      <c r="AA61" s="356"/>
      <c r="AB61" s="356"/>
      <c r="AC61" s="356"/>
      <c r="AD61" s="357"/>
      <c r="AF61" s="93">
        <f>16*3000</f>
        <v>48000</v>
      </c>
    </row>
    <row r="62" spans="1:32" ht="27.75" thickBot="1">
      <c r="A62" s="347" t="s">
        <v>202</v>
      </c>
      <c r="B62" s="347"/>
      <c r="C62" s="347"/>
      <c r="D62" s="347"/>
      <c r="E62" s="34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48" t="s">
        <v>113</v>
      </c>
      <c r="B63" s="345"/>
      <c r="C63" s="131" t="s">
        <v>2</v>
      </c>
      <c r="D63" s="131" t="s">
        <v>37</v>
      </c>
      <c r="E63" s="131" t="s">
        <v>3</v>
      </c>
      <c r="F63" s="345" t="s">
        <v>110</v>
      </c>
      <c r="G63" s="345"/>
      <c r="H63" s="345"/>
      <c r="I63" s="345"/>
      <c r="J63" s="345"/>
      <c r="K63" s="345" t="s">
        <v>39</v>
      </c>
      <c r="L63" s="345"/>
      <c r="M63" s="131" t="s">
        <v>40</v>
      </c>
      <c r="N63" s="345" t="s">
        <v>41</v>
      </c>
      <c r="O63" s="345"/>
      <c r="P63" s="342" t="s">
        <v>42</v>
      </c>
      <c r="Q63" s="344"/>
      <c r="R63" s="342" t="s">
        <v>43</v>
      </c>
      <c r="S63" s="343"/>
      <c r="T63" s="343"/>
      <c r="U63" s="343"/>
      <c r="V63" s="343"/>
      <c r="W63" s="343"/>
      <c r="X63" s="343"/>
      <c r="Y63" s="343"/>
      <c r="Z63" s="343"/>
      <c r="AA63" s="344"/>
      <c r="AB63" s="345" t="s">
        <v>44</v>
      </c>
      <c r="AC63" s="345"/>
      <c r="AD63" s="346"/>
      <c r="AF63" s="93">
        <f>SUM(AF60:AF62)</f>
        <v>96000</v>
      </c>
    </row>
    <row r="64" spans="1:32" ht="25.5" customHeight="1">
      <c r="A64" s="337">
        <v>1</v>
      </c>
      <c r="B64" s="338"/>
      <c r="C64" s="123"/>
      <c r="D64" s="134"/>
      <c r="E64" s="132"/>
      <c r="F64" s="339"/>
      <c r="G64" s="331"/>
      <c r="H64" s="331"/>
      <c r="I64" s="331"/>
      <c r="J64" s="331"/>
      <c r="K64" s="331"/>
      <c r="L64" s="331"/>
      <c r="M64" s="54"/>
      <c r="N64" s="331"/>
      <c r="O64" s="331"/>
      <c r="P64" s="340"/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2</v>
      </c>
      <c r="B65" s="338"/>
      <c r="C65" s="123"/>
      <c r="D65" s="134"/>
      <c r="E65" s="132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3</v>
      </c>
      <c r="B66" s="338"/>
      <c r="C66" s="123"/>
      <c r="D66" s="134"/>
      <c r="E66" s="132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4</v>
      </c>
      <c r="B67" s="338"/>
      <c r="C67" s="123"/>
      <c r="D67" s="134"/>
      <c r="E67" s="132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5</v>
      </c>
      <c r="B68" s="338"/>
      <c r="C68" s="123"/>
      <c r="D68" s="134"/>
      <c r="E68" s="132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6</v>
      </c>
      <c r="B69" s="338"/>
      <c r="C69" s="123"/>
      <c r="D69" s="134"/>
      <c r="E69" s="132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7</v>
      </c>
      <c r="B70" s="338"/>
      <c r="C70" s="123"/>
      <c r="D70" s="134"/>
      <c r="E70" s="132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5.5" customHeight="1">
      <c r="A71" s="337">
        <v>8</v>
      </c>
      <c r="B71" s="338"/>
      <c r="C71" s="123"/>
      <c r="D71" s="134"/>
      <c r="E71" s="132"/>
      <c r="F71" s="339"/>
      <c r="G71" s="331"/>
      <c r="H71" s="331"/>
      <c r="I71" s="331"/>
      <c r="J71" s="331"/>
      <c r="K71" s="331"/>
      <c r="L71" s="331"/>
      <c r="M71" s="54"/>
      <c r="N71" s="331"/>
      <c r="O71" s="331"/>
      <c r="P71" s="340"/>
      <c r="Q71" s="340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31"/>
      <c r="AC71" s="331"/>
      <c r="AD71" s="332"/>
      <c r="AF71" s="53"/>
    </row>
    <row r="72" spans="1:32" ht="26.25" customHeight="1" thickBot="1">
      <c r="A72" s="311" t="s">
        <v>203</v>
      </c>
      <c r="B72" s="311"/>
      <c r="C72" s="311"/>
      <c r="D72" s="311"/>
      <c r="E72" s="311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12" t="s">
        <v>113</v>
      </c>
      <c r="B73" s="313"/>
      <c r="C73" s="133" t="s">
        <v>2</v>
      </c>
      <c r="D73" s="133" t="s">
        <v>37</v>
      </c>
      <c r="E73" s="133" t="s">
        <v>3</v>
      </c>
      <c r="F73" s="313" t="s">
        <v>38</v>
      </c>
      <c r="G73" s="313"/>
      <c r="H73" s="313"/>
      <c r="I73" s="313"/>
      <c r="J73" s="313"/>
      <c r="K73" s="333" t="s">
        <v>58</v>
      </c>
      <c r="L73" s="334"/>
      <c r="M73" s="334"/>
      <c r="N73" s="334"/>
      <c r="O73" s="334"/>
      <c r="P73" s="334"/>
      <c r="Q73" s="334"/>
      <c r="R73" s="334"/>
      <c r="S73" s="335"/>
      <c r="T73" s="313" t="s">
        <v>49</v>
      </c>
      <c r="U73" s="313"/>
      <c r="V73" s="333" t="s">
        <v>50</v>
      </c>
      <c r="W73" s="335"/>
      <c r="X73" s="334" t="s">
        <v>51</v>
      </c>
      <c r="Y73" s="334"/>
      <c r="Z73" s="334"/>
      <c r="AA73" s="334"/>
      <c r="AB73" s="334"/>
      <c r="AC73" s="334"/>
      <c r="AD73" s="336"/>
      <c r="AF73" s="53"/>
    </row>
    <row r="74" spans="1:32" ht="33.75" customHeight="1">
      <c r="A74" s="305">
        <v>1</v>
      </c>
      <c r="B74" s="306"/>
      <c r="C74" s="135" t="s">
        <v>114</v>
      </c>
      <c r="D74" s="135"/>
      <c r="E74" s="71" t="s">
        <v>119</v>
      </c>
      <c r="F74" s="320" t="s">
        <v>120</v>
      </c>
      <c r="G74" s="321"/>
      <c r="H74" s="321"/>
      <c r="I74" s="321"/>
      <c r="J74" s="322"/>
      <c r="K74" s="323" t="s">
        <v>115</v>
      </c>
      <c r="L74" s="324"/>
      <c r="M74" s="324"/>
      <c r="N74" s="324"/>
      <c r="O74" s="324"/>
      <c r="P74" s="324"/>
      <c r="Q74" s="324"/>
      <c r="R74" s="324"/>
      <c r="S74" s="325"/>
      <c r="T74" s="326">
        <v>42901</v>
      </c>
      <c r="U74" s="327"/>
      <c r="V74" s="328"/>
      <c r="W74" s="328"/>
      <c r="X74" s="329"/>
      <c r="Y74" s="329"/>
      <c r="Z74" s="329"/>
      <c r="AA74" s="329"/>
      <c r="AB74" s="329"/>
      <c r="AC74" s="329"/>
      <c r="AD74" s="330"/>
      <c r="AF74" s="53"/>
    </row>
    <row r="75" spans="1:32" ht="30" customHeight="1">
      <c r="A75" s="298">
        <f>A74+1</f>
        <v>2</v>
      </c>
      <c r="B75" s="299"/>
      <c r="C75" s="134" t="s">
        <v>114</v>
      </c>
      <c r="D75" s="134"/>
      <c r="E75" s="35" t="s">
        <v>116</v>
      </c>
      <c r="F75" s="299" t="s">
        <v>117</v>
      </c>
      <c r="G75" s="299"/>
      <c r="H75" s="299"/>
      <c r="I75" s="299"/>
      <c r="J75" s="299"/>
      <c r="K75" s="314" t="s">
        <v>118</v>
      </c>
      <c r="L75" s="315"/>
      <c r="M75" s="315"/>
      <c r="N75" s="315"/>
      <c r="O75" s="315"/>
      <c r="P75" s="315"/>
      <c r="Q75" s="315"/>
      <c r="R75" s="315"/>
      <c r="S75" s="316"/>
      <c r="T75" s="317">
        <v>42867</v>
      </c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ref="A76:A82" si="19">A75+1</f>
        <v>3</v>
      </c>
      <c r="B76" s="299"/>
      <c r="C76" s="134"/>
      <c r="D76" s="134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9"/>
        <v>4</v>
      </c>
      <c r="B77" s="299"/>
      <c r="C77" s="134"/>
      <c r="D77" s="134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9"/>
        <v>5</v>
      </c>
      <c r="B78" s="299"/>
      <c r="C78" s="134"/>
      <c r="D78" s="134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9"/>
        <v>6</v>
      </c>
      <c r="B79" s="299"/>
      <c r="C79" s="134"/>
      <c r="D79" s="134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9"/>
        <v>7</v>
      </c>
      <c r="B80" s="299"/>
      <c r="C80" s="134"/>
      <c r="D80" s="134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9"/>
        <v>8</v>
      </c>
      <c r="B81" s="299"/>
      <c r="C81" s="134"/>
      <c r="D81" s="134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0" customHeight="1">
      <c r="A82" s="298">
        <f t="shared" si="19"/>
        <v>9</v>
      </c>
      <c r="B82" s="299"/>
      <c r="C82" s="134"/>
      <c r="D82" s="134"/>
      <c r="E82" s="35"/>
      <c r="F82" s="299"/>
      <c r="G82" s="299"/>
      <c r="H82" s="299"/>
      <c r="I82" s="299"/>
      <c r="J82" s="299"/>
      <c r="K82" s="314"/>
      <c r="L82" s="315"/>
      <c r="M82" s="315"/>
      <c r="N82" s="315"/>
      <c r="O82" s="315"/>
      <c r="P82" s="315"/>
      <c r="Q82" s="315"/>
      <c r="R82" s="315"/>
      <c r="S82" s="316"/>
      <c r="T82" s="317"/>
      <c r="U82" s="317"/>
      <c r="V82" s="317"/>
      <c r="W82" s="317"/>
      <c r="X82" s="318"/>
      <c r="Y82" s="318"/>
      <c r="Z82" s="318"/>
      <c r="AA82" s="318"/>
      <c r="AB82" s="318"/>
      <c r="AC82" s="318"/>
      <c r="AD82" s="319"/>
      <c r="AF82" s="53"/>
    </row>
    <row r="83" spans="1:32" ht="36" thickBot="1">
      <c r="A83" s="311" t="s">
        <v>204</v>
      </c>
      <c r="B83" s="311"/>
      <c r="C83" s="311"/>
      <c r="D83" s="311"/>
      <c r="E83" s="311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12" t="s">
        <v>113</v>
      </c>
      <c r="B84" s="313"/>
      <c r="C84" s="303" t="s">
        <v>52</v>
      </c>
      <c r="D84" s="303"/>
      <c r="E84" s="303" t="s">
        <v>53</v>
      </c>
      <c r="F84" s="303"/>
      <c r="G84" s="303"/>
      <c r="H84" s="303"/>
      <c r="I84" s="303"/>
      <c r="J84" s="303"/>
      <c r="K84" s="303" t="s">
        <v>54</v>
      </c>
      <c r="L84" s="303"/>
      <c r="M84" s="303"/>
      <c r="N84" s="303"/>
      <c r="O84" s="303"/>
      <c r="P84" s="303"/>
      <c r="Q84" s="303"/>
      <c r="R84" s="303"/>
      <c r="S84" s="303"/>
      <c r="T84" s="303" t="s">
        <v>55</v>
      </c>
      <c r="U84" s="303"/>
      <c r="V84" s="303" t="s">
        <v>56</v>
      </c>
      <c r="W84" s="303"/>
      <c r="X84" s="303"/>
      <c r="Y84" s="303" t="s">
        <v>51</v>
      </c>
      <c r="Z84" s="303"/>
      <c r="AA84" s="303"/>
      <c r="AB84" s="303"/>
      <c r="AC84" s="303"/>
      <c r="AD84" s="304"/>
      <c r="AF84" s="53"/>
    </row>
    <row r="85" spans="1:32" ht="30.75" customHeight="1">
      <c r="A85" s="305">
        <v>1</v>
      </c>
      <c r="B85" s="306"/>
      <c r="C85" s="307">
        <v>9</v>
      </c>
      <c r="D85" s="307"/>
      <c r="E85" s="307" t="s">
        <v>141</v>
      </c>
      <c r="F85" s="307"/>
      <c r="G85" s="307"/>
      <c r="H85" s="307"/>
      <c r="I85" s="307"/>
      <c r="J85" s="307"/>
      <c r="K85" s="307" t="s">
        <v>142</v>
      </c>
      <c r="L85" s="307"/>
      <c r="M85" s="307"/>
      <c r="N85" s="307"/>
      <c r="O85" s="307"/>
      <c r="P85" s="307"/>
      <c r="Q85" s="307"/>
      <c r="R85" s="307"/>
      <c r="S85" s="307"/>
      <c r="T85" s="307" t="s">
        <v>143</v>
      </c>
      <c r="U85" s="307"/>
      <c r="V85" s="308">
        <v>11307000</v>
      </c>
      <c r="W85" s="308"/>
      <c r="X85" s="308"/>
      <c r="Y85" s="309"/>
      <c r="Z85" s="309"/>
      <c r="AA85" s="309"/>
      <c r="AB85" s="309"/>
      <c r="AC85" s="309"/>
      <c r="AD85" s="310"/>
      <c r="AF85" s="53"/>
    </row>
    <row r="86" spans="1:32" ht="30.75" customHeight="1">
      <c r="A86" s="298">
        <v>2</v>
      </c>
      <c r="B86" s="299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1"/>
      <c r="U86" s="301"/>
      <c r="V86" s="302"/>
      <c r="W86" s="302"/>
      <c r="X86" s="302"/>
      <c r="Y86" s="291"/>
      <c r="Z86" s="291"/>
      <c r="AA86" s="291"/>
      <c r="AB86" s="291"/>
      <c r="AC86" s="291"/>
      <c r="AD86" s="292"/>
      <c r="AF86" s="53"/>
    </row>
    <row r="87" spans="1:32" ht="30.75" customHeight="1" thickBot="1">
      <c r="A87" s="293">
        <v>3</v>
      </c>
      <c r="B87" s="294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  <c r="Y87" s="296"/>
      <c r="Z87" s="296"/>
      <c r="AA87" s="296"/>
      <c r="AB87" s="296"/>
      <c r="AC87" s="296"/>
      <c r="AD87" s="297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4F45-4278-4FCB-B438-C0298C2BC519}">
  <sheetPr>
    <pageSetUpPr fitToPage="1"/>
  </sheetPr>
  <dimension ref="A1:AF88"/>
  <sheetViews>
    <sheetView zoomScale="72" zoomScaleNormal="72" zoomScaleSheetLayoutView="70" workbookViewId="0">
      <selection activeCell="Y20" sqref="Y2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205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146" t="s">
        <v>17</v>
      </c>
      <c r="L5" s="146" t="s">
        <v>18</v>
      </c>
      <c r="M5" s="146" t="s">
        <v>19</v>
      </c>
      <c r="N5" s="14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 t="shared" ref="AE6:AE22" si="7">$AD$23</f>
        <v>0.41720925379363805</v>
      </c>
      <c r="AF6" s="93">
        <f t="shared" ref="AF6:AF22" si="8">A6</f>
        <v>1</v>
      </c>
    </row>
    <row r="7" spans="1:32" ht="27" customHeight="1">
      <c r="A7" s="107">
        <v>2</v>
      </c>
      <c r="B7" s="11" t="s">
        <v>57</v>
      </c>
      <c r="C7" s="37" t="s">
        <v>126</v>
      </c>
      <c r="D7" s="55"/>
      <c r="E7" s="57" t="s">
        <v>127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0.41720925379363805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149</v>
      </c>
      <c r="E8" s="57" t="s">
        <v>148</v>
      </c>
      <c r="F8" s="33" t="s">
        <v>147</v>
      </c>
      <c r="G8" s="36">
        <v>2</v>
      </c>
      <c r="H8" s="38">
        <v>25</v>
      </c>
      <c r="I8" s="7">
        <v>51000</v>
      </c>
      <c r="J8" s="5">
        <v>8602</v>
      </c>
      <c r="K8" s="15">
        <f>L8+10132+11782+13156+11580</f>
        <v>55252</v>
      </c>
      <c r="L8" s="15">
        <f>2801*2+3000</f>
        <v>8602</v>
      </c>
      <c r="M8" s="16">
        <f t="shared" si="0"/>
        <v>8602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0.41720925379363805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200</v>
      </c>
      <c r="E9" s="57" t="s">
        <v>201</v>
      </c>
      <c r="F9" s="12" t="s">
        <v>166</v>
      </c>
      <c r="G9" s="12">
        <v>16</v>
      </c>
      <c r="H9" s="13">
        <v>25</v>
      </c>
      <c r="I9" s="7">
        <v>10000</v>
      </c>
      <c r="J9" s="14">
        <v>35472</v>
      </c>
      <c r="K9" s="15">
        <f>L9</f>
        <v>35472</v>
      </c>
      <c r="L9" s="15">
        <f>2217*16</f>
        <v>35472</v>
      </c>
      <c r="M9" s="16">
        <f t="shared" si="0"/>
        <v>35472</v>
      </c>
      <c r="N9" s="16">
        <v>0</v>
      </c>
      <c r="O9" s="62">
        <f t="shared" si="1"/>
        <v>0</v>
      </c>
      <c r="P9" s="42">
        <f t="shared" si="2"/>
        <v>10</v>
      </c>
      <c r="Q9" s="43">
        <f t="shared" si="3"/>
        <v>14</v>
      </c>
      <c r="R9" s="7"/>
      <c r="S9" s="6"/>
      <c r="T9" s="17">
        <v>14</v>
      </c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0.41666666666666669</v>
      </c>
      <c r="AD9" s="10">
        <f t="shared" si="6"/>
        <v>0.41666666666666669</v>
      </c>
      <c r="AE9" s="39">
        <f t="shared" si="7"/>
        <v>0.41720925379363805</v>
      </c>
      <c r="AF9" s="93">
        <f t="shared" si="8"/>
        <v>4</v>
      </c>
    </row>
    <row r="10" spans="1:32" ht="27" customHeight="1">
      <c r="A10" s="109">
        <v>4</v>
      </c>
      <c r="B10" s="11" t="s">
        <v>57</v>
      </c>
      <c r="C10" s="11" t="s">
        <v>136</v>
      </c>
      <c r="D10" s="55" t="s">
        <v>130</v>
      </c>
      <c r="E10" s="57" t="s">
        <v>194</v>
      </c>
      <c r="F10" s="12" t="s">
        <v>206</v>
      </c>
      <c r="G10" s="12">
        <v>4</v>
      </c>
      <c r="H10" s="13">
        <v>25</v>
      </c>
      <c r="I10" s="7">
        <v>6000</v>
      </c>
      <c r="J10" s="14">
        <v>6204</v>
      </c>
      <c r="K10" s="15">
        <f>L10</f>
        <v>6204</v>
      </c>
      <c r="L10" s="15">
        <f>1551*4</f>
        <v>6204</v>
      </c>
      <c r="M10" s="16">
        <f t="shared" si="0"/>
        <v>6204</v>
      </c>
      <c r="N10" s="16">
        <v>0</v>
      </c>
      <c r="O10" s="62">
        <f t="shared" si="1"/>
        <v>0</v>
      </c>
      <c r="P10" s="42">
        <f t="shared" si="2"/>
        <v>9</v>
      </c>
      <c r="Q10" s="43">
        <f t="shared" si="3"/>
        <v>15</v>
      </c>
      <c r="R10" s="7"/>
      <c r="S10" s="6"/>
      <c r="T10" s="17"/>
      <c r="U10" s="17"/>
      <c r="V10" s="18"/>
      <c r="W10" s="19">
        <v>15</v>
      </c>
      <c r="X10" s="17"/>
      <c r="Y10" s="20"/>
      <c r="Z10" s="20"/>
      <c r="AA10" s="21"/>
      <c r="AB10" s="8">
        <f t="shared" si="4"/>
        <v>1</v>
      </c>
      <c r="AC10" s="9">
        <f t="shared" si="5"/>
        <v>0.375</v>
      </c>
      <c r="AD10" s="10">
        <f t="shared" si="6"/>
        <v>0.375</v>
      </c>
      <c r="AE10" s="39">
        <f t="shared" si="7"/>
        <v>0.41720925379363805</v>
      </c>
      <c r="AF10" s="93">
        <f t="shared" si="8"/>
        <v>4</v>
      </c>
    </row>
    <row r="11" spans="1:32" ht="27" customHeight="1">
      <c r="A11" s="109">
        <v>5</v>
      </c>
      <c r="B11" s="11" t="s">
        <v>57</v>
      </c>
      <c r="C11" s="11" t="s">
        <v>137</v>
      </c>
      <c r="D11" s="55" t="s">
        <v>150</v>
      </c>
      <c r="E11" s="57" t="s">
        <v>155</v>
      </c>
      <c r="F11" s="12" t="s">
        <v>146</v>
      </c>
      <c r="G11" s="12">
        <v>1</v>
      </c>
      <c r="H11" s="13">
        <v>25</v>
      </c>
      <c r="I11" s="7">
        <v>65000</v>
      </c>
      <c r="J11" s="14">
        <v>4840</v>
      </c>
      <c r="K11" s="15">
        <f>L11+18476+20620+17546</f>
        <v>61482</v>
      </c>
      <c r="L11" s="15">
        <f>2420*2</f>
        <v>4840</v>
      </c>
      <c r="M11" s="16">
        <f t="shared" si="0"/>
        <v>4840</v>
      </c>
      <c r="N11" s="16">
        <v>0</v>
      </c>
      <c r="O11" s="62">
        <f t="shared" si="1"/>
        <v>0</v>
      </c>
      <c r="P11" s="42">
        <f t="shared" si="2"/>
        <v>10</v>
      </c>
      <c r="Q11" s="43">
        <f t="shared" si="3"/>
        <v>14</v>
      </c>
      <c r="R11" s="7"/>
      <c r="S11" s="6">
        <v>14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0.41666666666666669</v>
      </c>
      <c r="AD11" s="10">
        <f t="shared" si="6"/>
        <v>0.41666666666666669</v>
      </c>
      <c r="AE11" s="39">
        <f t="shared" si="7"/>
        <v>0.41720925379363805</v>
      </c>
      <c r="AF11" s="93">
        <f t="shared" si="8"/>
        <v>5</v>
      </c>
    </row>
    <row r="12" spans="1:32" ht="27" customHeight="1">
      <c r="A12" s="109">
        <v>6</v>
      </c>
      <c r="B12" s="11" t="s">
        <v>57</v>
      </c>
      <c r="C12" s="37" t="s">
        <v>136</v>
      </c>
      <c r="D12" s="55" t="s">
        <v>131</v>
      </c>
      <c r="E12" s="57" t="s">
        <v>154</v>
      </c>
      <c r="F12" s="12" t="s">
        <v>144</v>
      </c>
      <c r="G12" s="12">
        <v>1</v>
      </c>
      <c r="H12" s="13">
        <v>25</v>
      </c>
      <c r="I12" s="34">
        <v>6500</v>
      </c>
      <c r="J12" s="5">
        <v>2357</v>
      </c>
      <c r="K12" s="15">
        <f>L12+5687+2357</f>
        <v>8044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0.41720925379363805</v>
      </c>
      <c r="AF12" s="93">
        <f t="shared" si="8"/>
        <v>6</v>
      </c>
    </row>
    <row r="13" spans="1:32" ht="27" customHeight="1">
      <c r="A13" s="109">
        <v>7</v>
      </c>
      <c r="B13" s="11" t="s">
        <v>57</v>
      </c>
      <c r="C13" s="11" t="s">
        <v>125</v>
      </c>
      <c r="D13" s="55" t="s">
        <v>130</v>
      </c>
      <c r="E13" s="57" t="s">
        <v>157</v>
      </c>
      <c r="F13" s="12" t="s">
        <v>128</v>
      </c>
      <c r="G13" s="12">
        <v>1</v>
      </c>
      <c r="H13" s="13">
        <v>25</v>
      </c>
      <c r="I13" s="7">
        <v>17000</v>
      </c>
      <c r="J13" s="14">
        <v>4831</v>
      </c>
      <c r="K13" s="15">
        <f>L13+5543+2850+3453</f>
        <v>16677</v>
      </c>
      <c r="L13" s="15">
        <f>1325+3506</f>
        <v>4831</v>
      </c>
      <c r="M13" s="16">
        <f t="shared" si="0"/>
        <v>4831</v>
      </c>
      <c r="N13" s="16">
        <v>0</v>
      </c>
      <c r="O13" s="62">
        <f t="shared" si="1"/>
        <v>0</v>
      </c>
      <c r="P13" s="42">
        <f t="shared" si="2"/>
        <v>22</v>
      </c>
      <c r="Q13" s="43">
        <f t="shared" si="3"/>
        <v>2</v>
      </c>
      <c r="R13" s="7"/>
      <c r="S13" s="6">
        <v>2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0.91666666666666663</v>
      </c>
      <c r="AD13" s="10">
        <f t="shared" si="6"/>
        <v>0.91666666666666663</v>
      </c>
      <c r="AE13" s="39">
        <f t="shared" si="7"/>
        <v>0.41720925379363805</v>
      </c>
      <c r="AF13" s="93">
        <f t="shared" si="8"/>
        <v>7</v>
      </c>
    </row>
    <row r="14" spans="1:32" ht="27" customHeight="1">
      <c r="A14" s="109">
        <v>8</v>
      </c>
      <c r="B14" s="11" t="s">
        <v>57</v>
      </c>
      <c r="C14" s="11" t="s">
        <v>125</v>
      </c>
      <c r="D14" s="55" t="s">
        <v>123</v>
      </c>
      <c r="E14" s="57" t="s">
        <v>158</v>
      </c>
      <c r="F14" s="12" t="s">
        <v>146</v>
      </c>
      <c r="G14" s="12">
        <v>1</v>
      </c>
      <c r="H14" s="13">
        <v>25</v>
      </c>
      <c r="I14" s="7">
        <v>17000</v>
      </c>
      <c r="J14" s="14">
        <v>3797</v>
      </c>
      <c r="K14" s="15">
        <f>L14+4333+5489+1550</f>
        <v>15169</v>
      </c>
      <c r="L14" s="15">
        <f>695+1902+1200</f>
        <v>3797</v>
      </c>
      <c r="M14" s="16">
        <f t="shared" si="0"/>
        <v>3797</v>
      </c>
      <c r="N14" s="16">
        <v>0</v>
      </c>
      <c r="O14" s="62">
        <f t="shared" si="1"/>
        <v>0</v>
      </c>
      <c r="P14" s="42">
        <f t="shared" si="2"/>
        <v>21</v>
      </c>
      <c r="Q14" s="43">
        <f t="shared" si="3"/>
        <v>3</v>
      </c>
      <c r="R14" s="7"/>
      <c r="S14" s="6">
        <v>3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0.875</v>
      </c>
      <c r="AD14" s="10">
        <f t="shared" si="6"/>
        <v>0.875</v>
      </c>
      <c r="AE14" s="39">
        <f t="shared" si="7"/>
        <v>0.41720925379363805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139</v>
      </c>
      <c r="F15" s="33" t="s">
        <v>138</v>
      </c>
      <c r="G15" s="36">
        <v>1</v>
      </c>
      <c r="H15" s="38">
        <v>25</v>
      </c>
      <c r="I15" s="7">
        <v>1000</v>
      </c>
      <c r="J15" s="5">
        <v>1068</v>
      </c>
      <c r="K15" s="15">
        <f>L15+1068</f>
        <v>1068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>
        <v>24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0.41720925379363805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136</v>
      </c>
      <c r="D16" s="55" t="s">
        <v>131</v>
      </c>
      <c r="E16" s="57" t="s">
        <v>195</v>
      </c>
      <c r="F16" s="12" t="s">
        <v>207</v>
      </c>
      <c r="G16" s="12">
        <v>3</v>
      </c>
      <c r="H16" s="13">
        <v>24</v>
      </c>
      <c r="I16" s="34">
        <v>6000</v>
      </c>
      <c r="J16" s="14">
        <v>7454</v>
      </c>
      <c r="K16" s="15">
        <f>L16</f>
        <v>7545</v>
      </c>
      <c r="L16" s="15">
        <f>2000*3+515*3</f>
        <v>7545</v>
      </c>
      <c r="M16" s="16">
        <f t="shared" si="0"/>
        <v>7545</v>
      </c>
      <c r="N16" s="16">
        <v>0</v>
      </c>
      <c r="O16" s="62">
        <f t="shared" si="1"/>
        <v>0</v>
      </c>
      <c r="P16" s="42">
        <f t="shared" si="2"/>
        <v>16</v>
      </c>
      <c r="Q16" s="43">
        <f t="shared" si="3"/>
        <v>8</v>
      </c>
      <c r="R16" s="7"/>
      <c r="S16" s="6">
        <v>4</v>
      </c>
      <c r="T16" s="17"/>
      <c r="U16" s="17"/>
      <c r="V16" s="18"/>
      <c r="W16" s="19">
        <v>4</v>
      </c>
      <c r="X16" s="17"/>
      <c r="Y16" s="20"/>
      <c r="Z16" s="20"/>
      <c r="AA16" s="21"/>
      <c r="AB16" s="8">
        <f t="shared" si="4"/>
        <v>1.0122082103568555</v>
      </c>
      <c r="AC16" s="9">
        <f t="shared" si="5"/>
        <v>0.66666666666666663</v>
      </c>
      <c r="AD16" s="10">
        <f t="shared" si="6"/>
        <v>0.67480547357123699</v>
      </c>
      <c r="AE16" s="39">
        <f t="shared" si="7"/>
        <v>0.41720925379363805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125</v>
      </c>
      <c r="D17" s="55" t="s">
        <v>152</v>
      </c>
      <c r="E17" s="57" t="s">
        <v>159</v>
      </c>
      <c r="F17" s="33" t="s">
        <v>147</v>
      </c>
      <c r="G17" s="36">
        <v>1</v>
      </c>
      <c r="H17" s="38">
        <v>25</v>
      </c>
      <c r="I17" s="7">
        <v>19000</v>
      </c>
      <c r="J17" s="5">
        <v>3339</v>
      </c>
      <c r="K17" s="15">
        <f>L17+3687+5870+5463</f>
        <v>18359</v>
      </c>
      <c r="L17" s="15">
        <f>2654+685</f>
        <v>3339</v>
      </c>
      <c r="M17" s="16">
        <f t="shared" si="0"/>
        <v>3339</v>
      </c>
      <c r="N17" s="16">
        <v>0</v>
      </c>
      <c r="O17" s="62">
        <f t="shared" si="1"/>
        <v>0</v>
      </c>
      <c r="P17" s="42">
        <f t="shared" si="2"/>
        <v>16</v>
      </c>
      <c r="Q17" s="43">
        <f t="shared" si="3"/>
        <v>8</v>
      </c>
      <c r="R17" s="7"/>
      <c r="S17" s="6"/>
      <c r="T17" s="17"/>
      <c r="U17" s="17"/>
      <c r="V17" s="18"/>
      <c r="W17" s="19">
        <v>8</v>
      </c>
      <c r="X17" s="17"/>
      <c r="Y17" s="20"/>
      <c r="Z17" s="20"/>
      <c r="AA17" s="21"/>
      <c r="AB17" s="8">
        <f t="shared" si="4"/>
        <v>1</v>
      </c>
      <c r="AC17" s="9">
        <f t="shared" si="5"/>
        <v>0.66666666666666663</v>
      </c>
      <c r="AD17" s="10">
        <f t="shared" si="6"/>
        <v>0.66666666666666663</v>
      </c>
      <c r="AE17" s="39">
        <f t="shared" si="7"/>
        <v>0.41720925379363805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11" t="s">
        <v>114</v>
      </c>
      <c r="D18" s="55" t="s">
        <v>156</v>
      </c>
      <c r="E18" s="57" t="s">
        <v>164</v>
      </c>
      <c r="F18" s="12">
        <v>8301</v>
      </c>
      <c r="G18" s="12">
        <v>1</v>
      </c>
      <c r="H18" s="13">
        <v>24</v>
      </c>
      <c r="I18" s="34">
        <v>1500</v>
      </c>
      <c r="J18" s="14">
        <v>1846</v>
      </c>
      <c r="K18" s="15">
        <f>L18+1846</f>
        <v>1846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0.41720925379363805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125</v>
      </c>
      <c r="D19" s="55" t="s">
        <v>131</v>
      </c>
      <c r="E19" s="57" t="s">
        <v>160</v>
      </c>
      <c r="F19" s="12" t="s">
        <v>132</v>
      </c>
      <c r="G19" s="36">
        <v>1</v>
      </c>
      <c r="H19" s="38">
        <v>30</v>
      </c>
      <c r="I19" s="7">
        <v>16000</v>
      </c>
      <c r="J19" s="5">
        <v>1491</v>
      </c>
      <c r="K19" s="15">
        <f>L19+4340+5496+5097</f>
        <v>16424</v>
      </c>
      <c r="L19" s="15">
        <v>1491</v>
      </c>
      <c r="M19" s="16">
        <f t="shared" ref="M19" si="9">L19-N19</f>
        <v>1491</v>
      </c>
      <c r="N19" s="16">
        <v>0</v>
      </c>
      <c r="O19" s="62">
        <f t="shared" ref="O19" si="10">IF(L19=0,"0",N19/L19)</f>
        <v>0</v>
      </c>
      <c r="P19" s="42">
        <f t="shared" ref="P19" si="11">IF(L19=0,"0",(24-Q19))</f>
        <v>6</v>
      </c>
      <c r="Q19" s="43">
        <f t="shared" ref="Q19" si="12">SUM(R19:AA19)</f>
        <v>18</v>
      </c>
      <c r="R19" s="7"/>
      <c r="S19" s="6"/>
      <c r="T19" s="17"/>
      <c r="U19" s="17"/>
      <c r="V19" s="18"/>
      <c r="W19" s="19">
        <v>18</v>
      </c>
      <c r="X19" s="17"/>
      <c r="Y19" s="20"/>
      <c r="Z19" s="20"/>
      <c r="AA19" s="21"/>
      <c r="AB19" s="8">
        <f t="shared" ref="AB19" si="13">IF(J19=0,"0",(L19/J19))</f>
        <v>1</v>
      </c>
      <c r="AC19" s="9">
        <f t="shared" ref="AC19" si="14">IF(P19=0,"0",(P19/24))</f>
        <v>0.25</v>
      </c>
      <c r="AD19" s="10">
        <f t="shared" ref="AD19" si="15">AC19*AB19*(1-O19)</f>
        <v>0.25</v>
      </c>
      <c r="AE19" s="39">
        <f t="shared" si="7"/>
        <v>0.41720925379363805</v>
      </c>
      <c r="AF19" s="93">
        <f t="shared" ref="AF19" si="16">A19</f>
        <v>13</v>
      </c>
    </row>
    <row r="20" spans="1:32" ht="27" customHeight="1">
      <c r="A20" s="109">
        <v>13</v>
      </c>
      <c r="B20" s="11" t="s">
        <v>57</v>
      </c>
      <c r="C20" s="37" t="s">
        <v>136</v>
      </c>
      <c r="D20" s="55" t="s">
        <v>208</v>
      </c>
      <c r="E20" s="57" t="s">
        <v>209</v>
      </c>
      <c r="F20" s="12">
        <v>7301</v>
      </c>
      <c r="G20" s="36">
        <v>1</v>
      </c>
      <c r="H20" s="38">
        <v>30</v>
      </c>
      <c r="I20" s="7">
        <v>2000</v>
      </c>
      <c r="J20" s="5">
        <v>2210</v>
      </c>
      <c r="K20" s="15">
        <f>L20</f>
        <v>2210</v>
      </c>
      <c r="L20" s="15">
        <v>2210</v>
      </c>
      <c r="M20" s="16">
        <f t="shared" si="0"/>
        <v>2210</v>
      </c>
      <c r="N20" s="16">
        <v>0</v>
      </c>
      <c r="O20" s="62">
        <f t="shared" si="1"/>
        <v>0</v>
      </c>
      <c r="P20" s="42">
        <f t="shared" si="2"/>
        <v>16</v>
      </c>
      <c r="Q20" s="43">
        <f t="shared" si="3"/>
        <v>8</v>
      </c>
      <c r="R20" s="7"/>
      <c r="S20" s="6">
        <v>8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0.66666666666666663</v>
      </c>
      <c r="AD20" s="10">
        <f t="shared" si="6"/>
        <v>0.66666666666666663</v>
      </c>
      <c r="AE20" s="39">
        <f t="shared" si="7"/>
        <v>0.41720925379363805</v>
      </c>
      <c r="AF20" s="93">
        <f t="shared" si="8"/>
        <v>13</v>
      </c>
    </row>
    <row r="21" spans="1:32" ht="27" customHeight="1">
      <c r="A21" s="109">
        <v>14</v>
      </c>
      <c r="B21" s="11" t="s">
        <v>57</v>
      </c>
      <c r="C21" s="37" t="s">
        <v>136</v>
      </c>
      <c r="D21" s="55" t="s">
        <v>123</v>
      </c>
      <c r="E21" s="57" t="s">
        <v>196</v>
      </c>
      <c r="F21" s="12" t="s">
        <v>210</v>
      </c>
      <c r="G21" s="36">
        <v>3</v>
      </c>
      <c r="H21" s="38">
        <v>30</v>
      </c>
      <c r="I21" s="7">
        <v>6000</v>
      </c>
      <c r="J21" s="5">
        <v>3101</v>
      </c>
      <c r="K21" s="15">
        <f>L21</f>
        <v>0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>
        <v>24</v>
      </c>
      <c r="T21" s="17"/>
      <c r="U21" s="17"/>
      <c r="V21" s="18"/>
      <c r="W21" s="19"/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0.41720925379363805</v>
      </c>
      <c r="AF21" s="93">
        <f t="shared" si="8"/>
        <v>14</v>
      </c>
    </row>
    <row r="22" spans="1:32" ht="27" customHeight="1" thickBot="1">
      <c r="A22" s="109">
        <v>15</v>
      </c>
      <c r="B22" s="11" t="s">
        <v>57</v>
      </c>
      <c r="C22" s="11" t="s">
        <v>121</v>
      </c>
      <c r="D22" s="55"/>
      <c r="E22" s="56" t="s">
        <v>151</v>
      </c>
      <c r="F22" s="12" t="s">
        <v>122</v>
      </c>
      <c r="G22" s="12">
        <v>4</v>
      </c>
      <c r="H22" s="38">
        <v>20</v>
      </c>
      <c r="I22" s="7">
        <v>300000</v>
      </c>
      <c r="J22" s="14">
        <v>4524</v>
      </c>
      <c r="K22" s="15">
        <f>L22+20068+24564+48544+43996+30716+19196+21560+23324+19612+4524</f>
        <v>256104</v>
      </c>
      <c r="L22" s="15"/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/>
      <c r="T22" s="17"/>
      <c r="U22" s="17"/>
      <c r="V22" s="18"/>
      <c r="W22" s="19">
        <v>24</v>
      </c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 t="shared" si="7"/>
        <v>0.41720925379363805</v>
      </c>
      <c r="AF22" s="93">
        <f t="shared" si="8"/>
        <v>15</v>
      </c>
    </row>
    <row r="23" spans="1:32" ht="31.5" customHeight="1" thickBot="1">
      <c r="A23" s="362" t="s">
        <v>34</v>
      </c>
      <c r="B23" s="363"/>
      <c r="C23" s="363"/>
      <c r="D23" s="363"/>
      <c r="E23" s="363"/>
      <c r="F23" s="363"/>
      <c r="G23" s="363"/>
      <c r="H23" s="364"/>
      <c r="I23" s="25">
        <f t="shared" ref="I23:N23" si="17">SUM(I6:I22)</f>
        <v>725000</v>
      </c>
      <c r="J23" s="22">
        <f t="shared" si="17"/>
        <v>128776</v>
      </c>
      <c r="K23" s="23">
        <f t="shared" si="17"/>
        <v>689134</v>
      </c>
      <c r="L23" s="24">
        <f t="shared" si="17"/>
        <v>78331</v>
      </c>
      <c r="M23" s="23">
        <f t="shared" si="17"/>
        <v>78331</v>
      </c>
      <c r="N23" s="24">
        <f t="shared" si="17"/>
        <v>0</v>
      </c>
      <c r="O23" s="44">
        <f t="shared" si="1"/>
        <v>0</v>
      </c>
      <c r="P23" s="45">
        <f t="shared" ref="P23:AA23" si="18">SUM(P6:P22)</f>
        <v>150</v>
      </c>
      <c r="Q23" s="46">
        <f t="shared" si="18"/>
        <v>258</v>
      </c>
      <c r="R23" s="26">
        <f t="shared" si="18"/>
        <v>48</v>
      </c>
      <c r="S23" s="27">
        <f t="shared" si="18"/>
        <v>79</v>
      </c>
      <c r="T23" s="27">
        <f t="shared" si="18"/>
        <v>14</v>
      </c>
      <c r="U23" s="27">
        <f t="shared" si="18"/>
        <v>0</v>
      </c>
      <c r="V23" s="28">
        <f t="shared" si="18"/>
        <v>0</v>
      </c>
      <c r="W23" s="29">
        <f t="shared" si="18"/>
        <v>117</v>
      </c>
      <c r="X23" s="30">
        <f t="shared" si="18"/>
        <v>0</v>
      </c>
      <c r="Y23" s="30">
        <f t="shared" si="18"/>
        <v>0</v>
      </c>
      <c r="Z23" s="30">
        <f t="shared" si="18"/>
        <v>0</v>
      </c>
      <c r="AA23" s="30">
        <f t="shared" si="18"/>
        <v>0</v>
      </c>
      <c r="AB23" s="31">
        <f>SUM(AB6:AB22)/15</f>
        <v>0.66748054735712381</v>
      </c>
      <c r="AC23" s="4">
        <f>SUM(AC6:AC22)/15</f>
        <v>0.41666666666666674</v>
      </c>
      <c r="AD23" s="4">
        <f>SUM(AD6:AD22)/15</f>
        <v>0.41720925379363805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4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365" t="s">
        <v>45</v>
      </c>
      <c r="B50" s="365"/>
      <c r="C50" s="365"/>
      <c r="D50" s="365"/>
      <c r="E50" s="365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366" t="s">
        <v>211</v>
      </c>
      <c r="B51" s="367"/>
      <c r="C51" s="367"/>
      <c r="D51" s="367"/>
      <c r="E51" s="367"/>
      <c r="F51" s="367"/>
      <c r="G51" s="367"/>
      <c r="H51" s="367"/>
      <c r="I51" s="367"/>
      <c r="J51" s="367"/>
      <c r="K51" s="367"/>
      <c r="L51" s="367"/>
      <c r="M51" s="368"/>
      <c r="N51" s="369" t="s">
        <v>216</v>
      </c>
      <c r="O51" s="370"/>
      <c r="P51" s="370"/>
      <c r="Q51" s="370"/>
      <c r="R51" s="370"/>
      <c r="S51" s="370"/>
      <c r="T51" s="370"/>
      <c r="U51" s="370"/>
      <c r="V51" s="370"/>
      <c r="W51" s="370"/>
      <c r="X51" s="370"/>
      <c r="Y51" s="370"/>
      <c r="Z51" s="370"/>
      <c r="AA51" s="370"/>
      <c r="AB51" s="370"/>
      <c r="AC51" s="370"/>
      <c r="AD51" s="371"/>
    </row>
    <row r="52" spans="1:32" ht="27" customHeight="1">
      <c r="A52" s="372" t="s">
        <v>2</v>
      </c>
      <c r="B52" s="373"/>
      <c r="C52" s="145" t="s">
        <v>46</v>
      </c>
      <c r="D52" s="145" t="s">
        <v>47</v>
      </c>
      <c r="E52" s="145" t="s">
        <v>108</v>
      </c>
      <c r="F52" s="373" t="s">
        <v>107</v>
      </c>
      <c r="G52" s="373"/>
      <c r="H52" s="373"/>
      <c r="I52" s="373"/>
      <c r="J52" s="373"/>
      <c r="K52" s="373"/>
      <c r="L52" s="373"/>
      <c r="M52" s="374"/>
      <c r="N52" s="73" t="s">
        <v>112</v>
      </c>
      <c r="O52" s="145" t="s">
        <v>46</v>
      </c>
      <c r="P52" s="375" t="s">
        <v>47</v>
      </c>
      <c r="Q52" s="376"/>
      <c r="R52" s="375" t="s">
        <v>38</v>
      </c>
      <c r="S52" s="377"/>
      <c r="T52" s="377"/>
      <c r="U52" s="376"/>
      <c r="V52" s="375" t="s">
        <v>48</v>
      </c>
      <c r="W52" s="377"/>
      <c r="X52" s="377"/>
      <c r="Y52" s="377"/>
      <c r="Z52" s="377"/>
      <c r="AA52" s="377"/>
      <c r="AB52" s="377"/>
      <c r="AC52" s="377"/>
      <c r="AD52" s="378"/>
    </row>
    <row r="53" spans="1:32" ht="27" customHeight="1">
      <c r="A53" s="349" t="s">
        <v>125</v>
      </c>
      <c r="B53" s="350"/>
      <c r="C53" s="142" t="s">
        <v>170</v>
      </c>
      <c r="D53" s="142" t="s">
        <v>200</v>
      </c>
      <c r="E53" s="142" t="s">
        <v>201</v>
      </c>
      <c r="F53" s="341" t="s">
        <v>129</v>
      </c>
      <c r="G53" s="341"/>
      <c r="H53" s="341"/>
      <c r="I53" s="341"/>
      <c r="J53" s="341"/>
      <c r="K53" s="341"/>
      <c r="L53" s="341"/>
      <c r="M53" s="351"/>
      <c r="N53" s="141" t="s">
        <v>114</v>
      </c>
      <c r="O53" s="124" t="s">
        <v>218</v>
      </c>
      <c r="P53" s="350" t="s">
        <v>219</v>
      </c>
      <c r="Q53" s="350"/>
      <c r="R53" s="350" t="s">
        <v>217</v>
      </c>
      <c r="S53" s="350"/>
      <c r="T53" s="350"/>
      <c r="U53" s="350"/>
      <c r="V53" s="341" t="s">
        <v>220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136</v>
      </c>
      <c r="B54" s="350"/>
      <c r="C54" s="142" t="s">
        <v>170</v>
      </c>
      <c r="D54" s="142" t="s">
        <v>130</v>
      </c>
      <c r="E54" s="142" t="s">
        <v>194</v>
      </c>
      <c r="F54" s="341" t="s">
        <v>129</v>
      </c>
      <c r="G54" s="341"/>
      <c r="H54" s="341"/>
      <c r="I54" s="341"/>
      <c r="J54" s="341"/>
      <c r="K54" s="341"/>
      <c r="L54" s="341"/>
      <c r="M54" s="351"/>
      <c r="N54" s="141" t="s">
        <v>114</v>
      </c>
      <c r="O54" s="124" t="s">
        <v>170</v>
      </c>
      <c r="P54" s="358" t="s">
        <v>123</v>
      </c>
      <c r="Q54" s="359"/>
      <c r="R54" s="350" t="s">
        <v>221</v>
      </c>
      <c r="S54" s="350"/>
      <c r="T54" s="350"/>
      <c r="U54" s="350"/>
      <c r="V54" s="341" t="s">
        <v>220</v>
      </c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125</v>
      </c>
      <c r="B55" s="350"/>
      <c r="C55" s="142" t="s">
        <v>145</v>
      </c>
      <c r="D55" s="142" t="s">
        <v>130</v>
      </c>
      <c r="E55" s="142" t="s">
        <v>157</v>
      </c>
      <c r="F55" s="341" t="s">
        <v>134</v>
      </c>
      <c r="G55" s="341"/>
      <c r="H55" s="341"/>
      <c r="I55" s="341"/>
      <c r="J55" s="341"/>
      <c r="K55" s="341"/>
      <c r="L55" s="341"/>
      <c r="M55" s="351"/>
      <c r="N55" s="141" t="s">
        <v>136</v>
      </c>
      <c r="O55" s="124" t="s">
        <v>183</v>
      </c>
      <c r="P55" s="358" t="s">
        <v>123</v>
      </c>
      <c r="Q55" s="359"/>
      <c r="R55" s="350" t="s">
        <v>196</v>
      </c>
      <c r="S55" s="350"/>
      <c r="T55" s="350"/>
      <c r="U55" s="350"/>
      <c r="V55" s="341" t="s">
        <v>134</v>
      </c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 t="s">
        <v>125</v>
      </c>
      <c r="B56" s="350"/>
      <c r="C56" s="142" t="s">
        <v>135</v>
      </c>
      <c r="D56" s="142" t="s">
        <v>123</v>
      </c>
      <c r="E56" s="142" t="s">
        <v>158</v>
      </c>
      <c r="F56" s="341" t="s">
        <v>212</v>
      </c>
      <c r="G56" s="341"/>
      <c r="H56" s="341"/>
      <c r="I56" s="341"/>
      <c r="J56" s="341"/>
      <c r="K56" s="341"/>
      <c r="L56" s="341"/>
      <c r="M56" s="351"/>
      <c r="N56" s="141" t="s">
        <v>125</v>
      </c>
      <c r="O56" s="124" t="s">
        <v>223</v>
      </c>
      <c r="P56" s="350" t="s">
        <v>149</v>
      </c>
      <c r="Q56" s="350"/>
      <c r="R56" s="350" t="s">
        <v>222</v>
      </c>
      <c r="S56" s="350"/>
      <c r="T56" s="350"/>
      <c r="U56" s="350"/>
      <c r="V56" s="341" t="s">
        <v>129</v>
      </c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 t="s">
        <v>136</v>
      </c>
      <c r="B57" s="350"/>
      <c r="C57" s="142" t="s">
        <v>183</v>
      </c>
      <c r="D57" s="142" t="s">
        <v>123</v>
      </c>
      <c r="E57" s="142" t="s">
        <v>196</v>
      </c>
      <c r="F57" s="341" t="s">
        <v>213</v>
      </c>
      <c r="G57" s="341"/>
      <c r="H57" s="341"/>
      <c r="I57" s="341"/>
      <c r="J57" s="341"/>
      <c r="K57" s="341"/>
      <c r="L57" s="341"/>
      <c r="M57" s="351"/>
      <c r="N57" s="141" t="s">
        <v>114</v>
      </c>
      <c r="O57" s="124" t="s">
        <v>214</v>
      </c>
      <c r="P57" s="350" t="s">
        <v>224</v>
      </c>
      <c r="Q57" s="350"/>
      <c r="R57" s="350" t="s">
        <v>225</v>
      </c>
      <c r="S57" s="350"/>
      <c r="T57" s="350"/>
      <c r="U57" s="350"/>
      <c r="V57" s="341" t="s">
        <v>220</v>
      </c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 t="s">
        <v>136</v>
      </c>
      <c r="B58" s="350"/>
      <c r="C58" s="142" t="s">
        <v>197</v>
      </c>
      <c r="D58" s="142" t="s">
        <v>131</v>
      </c>
      <c r="E58" s="142" t="s">
        <v>195</v>
      </c>
      <c r="F58" s="341" t="s">
        <v>129</v>
      </c>
      <c r="G58" s="341"/>
      <c r="H58" s="341"/>
      <c r="I58" s="341"/>
      <c r="J58" s="341"/>
      <c r="K58" s="341"/>
      <c r="L58" s="341"/>
      <c r="M58" s="351"/>
      <c r="N58" s="141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 t="s">
        <v>137</v>
      </c>
      <c r="B59" s="350"/>
      <c r="C59" s="142" t="s">
        <v>133</v>
      </c>
      <c r="D59" s="142" t="s">
        <v>190</v>
      </c>
      <c r="E59" s="142" t="s">
        <v>155</v>
      </c>
      <c r="F59" s="341" t="s">
        <v>134</v>
      </c>
      <c r="G59" s="341"/>
      <c r="H59" s="341"/>
      <c r="I59" s="341"/>
      <c r="J59" s="341"/>
      <c r="K59" s="341"/>
      <c r="L59" s="341"/>
      <c r="M59" s="351"/>
      <c r="N59" s="141"/>
      <c r="O59" s="124"/>
      <c r="P59" s="358"/>
      <c r="Q59" s="359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</row>
    <row r="60" spans="1:32" ht="27" customHeight="1">
      <c r="A60" s="349" t="s">
        <v>136</v>
      </c>
      <c r="B60" s="350"/>
      <c r="C60" s="142" t="s">
        <v>214</v>
      </c>
      <c r="D60" s="142" t="s">
        <v>208</v>
      </c>
      <c r="E60" s="142" t="s">
        <v>209</v>
      </c>
      <c r="F60" s="341" t="s">
        <v>215</v>
      </c>
      <c r="G60" s="341"/>
      <c r="H60" s="341"/>
      <c r="I60" s="341"/>
      <c r="J60" s="341"/>
      <c r="K60" s="341"/>
      <c r="L60" s="341"/>
      <c r="M60" s="351"/>
      <c r="N60" s="141"/>
      <c r="O60" s="124"/>
      <c r="P60" s="358"/>
      <c r="Q60" s="359"/>
      <c r="R60" s="350"/>
      <c r="S60" s="350"/>
      <c r="T60" s="350"/>
      <c r="U60" s="350"/>
      <c r="V60" s="341"/>
      <c r="W60" s="341"/>
      <c r="X60" s="341"/>
      <c r="Y60" s="341"/>
      <c r="Z60" s="341"/>
      <c r="AA60" s="341"/>
      <c r="AB60" s="341"/>
      <c r="AC60" s="341"/>
      <c r="AD60" s="351"/>
    </row>
    <row r="61" spans="1:32" ht="27" customHeight="1">
      <c r="A61" s="349"/>
      <c r="B61" s="350"/>
      <c r="C61" s="142"/>
      <c r="D61" s="142"/>
      <c r="E61" s="142"/>
      <c r="F61" s="341"/>
      <c r="G61" s="341"/>
      <c r="H61" s="341"/>
      <c r="I61" s="341"/>
      <c r="J61" s="341"/>
      <c r="K61" s="341"/>
      <c r="L61" s="341"/>
      <c r="M61" s="351"/>
      <c r="N61" s="141"/>
      <c r="O61" s="124"/>
      <c r="P61" s="350"/>
      <c r="Q61" s="350"/>
      <c r="R61" s="350"/>
      <c r="S61" s="350"/>
      <c r="T61" s="350"/>
      <c r="U61" s="350"/>
      <c r="V61" s="341"/>
      <c r="W61" s="341"/>
      <c r="X61" s="341"/>
      <c r="Y61" s="341"/>
      <c r="Z61" s="341"/>
      <c r="AA61" s="341"/>
      <c r="AB61" s="341"/>
      <c r="AC61" s="341"/>
      <c r="AD61" s="351"/>
      <c r="AF61" s="93">
        <f>8*3000</f>
        <v>24000</v>
      </c>
    </row>
    <row r="62" spans="1:32" ht="27" customHeight="1" thickBot="1">
      <c r="A62" s="352"/>
      <c r="B62" s="353"/>
      <c r="C62" s="144"/>
      <c r="D62" s="144"/>
      <c r="E62" s="144"/>
      <c r="F62" s="354"/>
      <c r="G62" s="354"/>
      <c r="H62" s="354"/>
      <c r="I62" s="354"/>
      <c r="J62" s="354"/>
      <c r="K62" s="354"/>
      <c r="L62" s="354"/>
      <c r="M62" s="355"/>
      <c r="N62" s="143"/>
      <c r="O62" s="120"/>
      <c r="P62" s="353"/>
      <c r="Q62" s="353"/>
      <c r="R62" s="353"/>
      <c r="S62" s="353"/>
      <c r="T62" s="353"/>
      <c r="U62" s="353"/>
      <c r="V62" s="356"/>
      <c r="W62" s="356"/>
      <c r="X62" s="356"/>
      <c r="Y62" s="356"/>
      <c r="Z62" s="356"/>
      <c r="AA62" s="356"/>
      <c r="AB62" s="356"/>
      <c r="AC62" s="356"/>
      <c r="AD62" s="357"/>
      <c r="AF62" s="93">
        <f>16*3000</f>
        <v>48000</v>
      </c>
    </row>
    <row r="63" spans="1:32" ht="27.75" thickBot="1">
      <c r="A63" s="347" t="s">
        <v>226</v>
      </c>
      <c r="B63" s="347"/>
      <c r="C63" s="347"/>
      <c r="D63" s="347"/>
      <c r="E63" s="347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3">
        <v>24000</v>
      </c>
    </row>
    <row r="64" spans="1:32" ht="29.25" customHeight="1" thickBot="1">
      <c r="A64" s="348" t="s">
        <v>113</v>
      </c>
      <c r="B64" s="345"/>
      <c r="C64" s="140" t="s">
        <v>2</v>
      </c>
      <c r="D64" s="140" t="s">
        <v>37</v>
      </c>
      <c r="E64" s="140" t="s">
        <v>3</v>
      </c>
      <c r="F64" s="345" t="s">
        <v>110</v>
      </c>
      <c r="G64" s="345"/>
      <c r="H64" s="345"/>
      <c r="I64" s="345"/>
      <c r="J64" s="345"/>
      <c r="K64" s="345" t="s">
        <v>39</v>
      </c>
      <c r="L64" s="345"/>
      <c r="M64" s="140" t="s">
        <v>40</v>
      </c>
      <c r="N64" s="345" t="s">
        <v>41</v>
      </c>
      <c r="O64" s="345"/>
      <c r="P64" s="342" t="s">
        <v>42</v>
      </c>
      <c r="Q64" s="344"/>
      <c r="R64" s="342" t="s">
        <v>43</v>
      </c>
      <c r="S64" s="343"/>
      <c r="T64" s="343"/>
      <c r="U64" s="343"/>
      <c r="V64" s="343"/>
      <c r="W64" s="343"/>
      <c r="X64" s="343"/>
      <c r="Y64" s="343"/>
      <c r="Z64" s="343"/>
      <c r="AA64" s="344"/>
      <c r="AB64" s="345" t="s">
        <v>44</v>
      </c>
      <c r="AC64" s="345"/>
      <c r="AD64" s="346"/>
      <c r="AF64" s="93">
        <f>SUM(AF61:AF63)</f>
        <v>96000</v>
      </c>
    </row>
    <row r="65" spans="1:32" ht="25.5" customHeight="1">
      <c r="A65" s="337">
        <v>1</v>
      </c>
      <c r="B65" s="338"/>
      <c r="C65" s="123" t="s">
        <v>136</v>
      </c>
      <c r="D65" s="136"/>
      <c r="E65" s="139" t="s">
        <v>131</v>
      </c>
      <c r="F65" s="339" t="s">
        <v>154</v>
      </c>
      <c r="G65" s="331"/>
      <c r="H65" s="331"/>
      <c r="I65" s="331"/>
      <c r="J65" s="331"/>
      <c r="K65" s="331" t="s">
        <v>144</v>
      </c>
      <c r="L65" s="331"/>
      <c r="M65" s="54" t="s">
        <v>227</v>
      </c>
      <c r="N65" s="331">
        <v>6</v>
      </c>
      <c r="O65" s="331"/>
      <c r="P65" s="340">
        <v>200</v>
      </c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2</v>
      </c>
      <c r="B66" s="338"/>
      <c r="C66" s="123"/>
      <c r="D66" s="136"/>
      <c r="E66" s="139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3</v>
      </c>
      <c r="B67" s="338"/>
      <c r="C67" s="123"/>
      <c r="D67" s="136"/>
      <c r="E67" s="139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4</v>
      </c>
      <c r="B68" s="338"/>
      <c r="C68" s="123"/>
      <c r="D68" s="136"/>
      <c r="E68" s="139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5</v>
      </c>
      <c r="B69" s="338"/>
      <c r="C69" s="123"/>
      <c r="D69" s="136"/>
      <c r="E69" s="139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6</v>
      </c>
      <c r="B70" s="338"/>
      <c r="C70" s="123"/>
      <c r="D70" s="136"/>
      <c r="E70" s="139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5.5" customHeight="1">
      <c r="A71" s="337">
        <v>7</v>
      </c>
      <c r="B71" s="338"/>
      <c r="C71" s="123"/>
      <c r="D71" s="136"/>
      <c r="E71" s="139"/>
      <c r="F71" s="339"/>
      <c r="G71" s="331"/>
      <c r="H71" s="331"/>
      <c r="I71" s="331"/>
      <c r="J71" s="331"/>
      <c r="K71" s="331"/>
      <c r="L71" s="331"/>
      <c r="M71" s="54"/>
      <c r="N71" s="331"/>
      <c r="O71" s="331"/>
      <c r="P71" s="340"/>
      <c r="Q71" s="340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31"/>
      <c r="AC71" s="331"/>
      <c r="AD71" s="332"/>
      <c r="AF71" s="53"/>
    </row>
    <row r="72" spans="1:32" ht="25.5" customHeight="1">
      <c r="A72" s="337">
        <v>8</v>
      </c>
      <c r="B72" s="338"/>
      <c r="C72" s="123"/>
      <c r="D72" s="136"/>
      <c r="E72" s="139"/>
      <c r="F72" s="339"/>
      <c r="G72" s="331"/>
      <c r="H72" s="331"/>
      <c r="I72" s="331"/>
      <c r="J72" s="331"/>
      <c r="K72" s="331"/>
      <c r="L72" s="331"/>
      <c r="M72" s="54"/>
      <c r="N72" s="331"/>
      <c r="O72" s="331"/>
      <c r="P72" s="340"/>
      <c r="Q72" s="340"/>
      <c r="R72" s="341"/>
      <c r="S72" s="341"/>
      <c r="T72" s="341"/>
      <c r="U72" s="341"/>
      <c r="V72" s="341"/>
      <c r="W72" s="341"/>
      <c r="X72" s="341"/>
      <c r="Y72" s="341"/>
      <c r="Z72" s="341"/>
      <c r="AA72" s="341"/>
      <c r="AB72" s="331"/>
      <c r="AC72" s="331"/>
      <c r="AD72" s="332"/>
      <c r="AF72" s="53"/>
    </row>
    <row r="73" spans="1:32" ht="26.25" customHeight="1" thickBot="1">
      <c r="A73" s="311" t="s">
        <v>228</v>
      </c>
      <c r="B73" s="311"/>
      <c r="C73" s="311"/>
      <c r="D73" s="311"/>
      <c r="E73" s="311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12" t="s">
        <v>113</v>
      </c>
      <c r="B74" s="313"/>
      <c r="C74" s="138" t="s">
        <v>2</v>
      </c>
      <c r="D74" s="138" t="s">
        <v>37</v>
      </c>
      <c r="E74" s="138" t="s">
        <v>3</v>
      </c>
      <c r="F74" s="313" t="s">
        <v>38</v>
      </c>
      <c r="G74" s="313"/>
      <c r="H74" s="313"/>
      <c r="I74" s="313"/>
      <c r="J74" s="313"/>
      <c r="K74" s="333" t="s">
        <v>58</v>
      </c>
      <c r="L74" s="334"/>
      <c r="M74" s="334"/>
      <c r="N74" s="334"/>
      <c r="O74" s="334"/>
      <c r="P74" s="334"/>
      <c r="Q74" s="334"/>
      <c r="R74" s="334"/>
      <c r="S74" s="335"/>
      <c r="T74" s="313" t="s">
        <v>49</v>
      </c>
      <c r="U74" s="313"/>
      <c r="V74" s="333" t="s">
        <v>50</v>
      </c>
      <c r="W74" s="335"/>
      <c r="X74" s="334" t="s">
        <v>51</v>
      </c>
      <c r="Y74" s="334"/>
      <c r="Z74" s="334"/>
      <c r="AA74" s="334"/>
      <c r="AB74" s="334"/>
      <c r="AC74" s="334"/>
      <c r="AD74" s="336"/>
      <c r="AF74" s="53"/>
    </row>
    <row r="75" spans="1:32" ht="33.75" customHeight="1">
      <c r="A75" s="305">
        <v>1</v>
      </c>
      <c r="B75" s="306"/>
      <c r="C75" s="137" t="s">
        <v>114</v>
      </c>
      <c r="D75" s="137"/>
      <c r="E75" s="71" t="s">
        <v>119</v>
      </c>
      <c r="F75" s="320" t="s">
        <v>120</v>
      </c>
      <c r="G75" s="321"/>
      <c r="H75" s="321"/>
      <c r="I75" s="321"/>
      <c r="J75" s="322"/>
      <c r="K75" s="323" t="s">
        <v>115</v>
      </c>
      <c r="L75" s="324"/>
      <c r="M75" s="324"/>
      <c r="N75" s="324"/>
      <c r="O75" s="324"/>
      <c r="P75" s="324"/>
      <c r="Q75" s="324"/>
      <c r="R75" s="324"/>
      <c r="S75" s="325"/>
      <c r="T75" s="326">
        <v>42901</v>
      </c>
      <c r="U75" s="327"/>
      <c r="V75" s="328"/>
      <c r="W75" s="328"/>
      <c r="X75" s="329"/>
      <c r="Y75" s="329"/>
      <c r="Z75" s="329"/>
      <c r="AA75" s="329"/>
      <c r="AB75" s="329"/>
      <c r="AC75" s="329"/>
      <c r="AD75" s="330"/>
      <c r="AF75" s="53"/>
    </row>
    <row r="76" spans="1:32" ht="30" customHeight="1">
      <c r="A76" s="298">
        <f>A75+1</f>
        <v>2</v>
      </c>
      <c r="B76" s="299"/>
      <c r="C76" s="136" t="s">
        <v>114</v>
      </c>
      <c r="D76" s="136"/>
      <c r="E76" s="35" t="s">
        <v>116</v>
      </c>
      <c r="F76" s="299" t="s">
        <v>117</v>
      </c>
      <c r="G76" s="299"/>
      <c r="H76" s="299"/>
      <c r="I76" s="299"/>
      <c r="J76" s="299"/>
      <c r="K76" s="314" t="s">
        <v>118</v>
      </c>
      <c r="L76" s="315"/>
      <c r="M76" s="315"/>
      <c r="N76" s="315"/>
      <c r="O76" s="315"/>
      <c r="P76" s="315"/>
      <c r="Q76" s="315"/>
      <c r="R76" s="315"/>
      <c r="S76" s="316"/>
      <c r="T76" s="317">
        <v>42867</v>
      </c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ref="A77:A83" si="19">A76+1</f>
        <v>3</v>
      </c>
      <c r="B77" s="299"/>
      <c r="C77" s="136"/>
      <c r="D77" s="136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9"/>
        <v>4</v>
      </c>
      <c r="B78" s="299"/>
      <c r="C78" s="136"/>
      <c r="D78" s="136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9"/>
        <v>5</v>
      </c>
      <c r="B79" s="299"/>
      <c r="C79" s="136"/>
      <c r="D79" s="136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9"/>
        <v>6</v>
      </c>
      <c r="B80" s="299"/>
      <c r="C80" s="136"/>
      <c r="D80" s="136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9"/>
        <v>7</v>
      </c>
      <c r="B81" s="299"/>
      <c r="C81" s="136"/>
      <c r="D81" s="136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0" customHeight="1">
      <c r="A82" s="298">
        <f t="shared" si="19"/>
        <v>8</v>
      </c>
      <c r="B82" s="299"/>
      <c r="C82" s="136"/>
      <c r="D82" s="136"/>
      <c r="E82" s="35"/>
      <c r="F82" s="299"/>
      <c r="G82" s="299"/>
      <c r="H82" s="299"/>
      <c r="I82" s="299"/>
      <c r="J82" s="299"/>
      <c r="K82" s="314"/>
      <c r="L82" s="315"/>
      <c r="M82" s="315"/>
      <c r="N82" s="315"/>
      <c r="O82" s="315"/>
      <c r="P82" s="315"/>
      <c r="Q82" s="315"/>
      <c r="R82" s="315"/>
      <c r="S82" s="316"/>
      <c r="T82" s="317"/>
      <c r="U82" s="317"/>
      <c r="V82" s="317"/>
      <c r="W82" s="317"/>
      <c r="X82" s="318"/>
      <c r="Y82" s="318"/>
      <c r="Z82" s="318"/>
      <c r="AA82" s="318"/>
      <c r="AB82" s="318"/>
      <c r="AC82" s="318"/>
      <c r="AD82" s="319"/>
      <c r="AF82" s="53"/>
    </row>
    <row r="83" spans="1:32" ht="30" customHeight="1">
      <c r="A83" s="298">
        <f t="shared" si="19"/>
        <v>9</v>
      </c>
      <c r="B83" s="299"/>
      <c r="C83" s="136"/>
      <c r="D83" s="136"/>
      <c r="E83" s="35"/>
      <c r="F83" s="299"/>
      <c r="G83" s="299"/>
      <c r="H83" s="299"/>
      <c r="I83" s="299"/>
      <c r="J83" s="299"/>
      <c r="K83" s="314"/>
      <c r="L83" s="315"/>
      <c r="M83" s="315"/>
      <c r="N83" s="315"/>
      <c r="O83" s="315"/>
      <c r="P83" s="315"/>
      <c r="Q83" s="315"/>
      <c r="R83" s="315"/>
      <c r="S83" s="316"/>
      <c r="T83" s="317"/>
      <c r="U83" s="317"/>
      <c r="V83" s="317"/>
      <c r="W83" s="317"/>
      <c r="X83" s="318"/>
      <c r="Y83" s="318"/>
      <c r="Z83" s="318"/>
      <c r="AA83" s="318"/>
      <c r="AB83" s="318"/>
      <c r="AC83" s="318"/>
      <c r="AD83" s="319"/>
      <c r="AF83" s="53"/>
    </row>
    <row r="84" spans="1:32" ht="36" thickBot="1">
      <c r="A84" s="311" t="s">
        <v>229</v>
      </c>
      <c r="B84" s="311"/>
      <c r="C84" s="311"/>
      <c r="D84" s="311"/>
      <c r="E84" s="311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12" t="s">
        <v>113</v>
      </c>
      <c r="B85" s="313"/>
      <c r="C85" s="303" t="s">
        <v>52</v>
      </c>
      <c r="D85" s="303"/>
      <c r="E85" s="303" t="s">
        <v>53</v>
      </c>
      <c r="F85" s="303"/>
      <c r="G85" s="303"/>
      <c r="H85" s="303"/>
      <c r="I85" s="303"/>
      <c r="J85" s="303"/>
      <c r="K85" s="303" t="s">
        <v>54</v>
      </c>
      <c r="L85" s="303"/>
      <c r="M85" s="303"/>
      <c r="N85" s="303"/>
      <c r="O85" s="303"/>
      <c r="P85" s="303"/>
      <c r="Q85" s="303"/>
      <c r="R85" s="303"/>
      <c r="S85" s="303"/>
      <c r="T85" s="303" t="s">
        <v>55</v>
      </c>
      <c r="U85" s="303"/>
      <c r="V85" s="303" t="s">
        <v>56</v>
      </c>
      <c r="W85" s="303"/>
      <c r="X85" s="303"/>
      <c r="Y85" s="303" t="s">
        <v>51</v>
      </c>
      <c r="Z85" s="303"/>
      <c r="AA85" s="303"/>
      <c r="AB85" s="303"/>
      <c r="AC85" s="303"/>
      <c r="AD85" s="304"/>
      <c r="AF85" s="53"/>
    </row>
    <row r="86" spans="1:32" ht="30.75" customHeight="1">
      <c r="A86" s="305">
        <v>1</v>
      </c>
      <c r="B86" s="306"/>
      <c r="C86" s="307">
        <v>9</v>
      </c>
      <c r="D86" s="307"/>
      <c r="E86" s="307" t="s">
        <v>141</v>
      </c>
      <c r="F86" s="307"/>
      <c r="G86" s="307"/>
      <c r="H86" s="307"/>
      <c r="I86" s="307"/>
      <c r="J86" s="307"/>
      <c r="K86" s="307" t="s">
        <v>142</v>
      </c>
      <c r="L86" s="307"/>
      <c r="M86" s="307"/>
      <c r="N86" s="307"/>
      <c r="O86" s="307"/>
      <c r="P86" s="307"/>
      <c r="Q86" s="307"/>
      <c r="R86" s="307"/>
      <c r="S86" s="307"/>
      <c r="T86" s="307" t="s">
        <v>143</v>
      </c>
      <c r="U86" s="307"/>
      <c r="V86" s="308">
        <v>11307000</v>
      </c>
      <c r="W86" s="308"/>
      <c r="X86" s="308"/>
      <c r="Y86" s="309"/>
      <c r="Z86" s="309"/>
      <c r="AA86" s="309"/>
      <c r="AB86" s="309"/>
      <c r="AC86" s="309"/>
      <c r="AD86" s="310"/>
      <c r="AF86" s="53"/>
    </row>
    <row r="87" spans="1:32" ht="30.75" customHeight="1">
      <c r="A87" s="298">
        <v>2</v>
      </c>
      <c r="B87" s="299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1"/>
      <c r="U87" s="301"/>
      <c r="V87" s="302"/>
      <c r="W87" s="302"/>
      <c r="X87" s="302"/>
      <c r="Y87" s="291"/>
      <c r="Z87" s="291"/>
      <c r="AA87" s="291"/>
      <c r="AB87" s="291"/>
      <c r="AC87" s="291"/>
      <c r="AD87" s="292"/>
      <c r="AF87" s="53"/>
    </row>
    <row r="88" spans="1:32" ht="30.75" customHeight="1" thickBot="1">
      <c r="A88" s="293">
        <v>3</v>
      </c>
      <c r="B88" s="294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6"/>
      <c r="Z88" s="296"/>
      <c r="AA88" s="296"/>
      <c r="AB88" s="296"/>
      <c r="AC88" s="296"/>
      <c r="AD88" s="297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8900-B27E-4CA6-AC29-A230248D5486}">
  <sheetPr>
    <pageSetUpPr fitToPage="1"/>
  </sheetPr>
  <dimension ref="A1:AF86"/>
  <sheetViews>
    <sheetView topLeftCell="A4" zoomScale="72" zoomScaleNormal="72" zoomScaleSheetLayoutView="70" workbookViewId="0">
      <selection activeCell="L15" sqref="L1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230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147" t="s">
        <v>17</v>
      </c>
      <c r="L5" s="147" t="s">
        <v>18</v>
      </c>
      <c r="M5" s="147" t="s">
        <v>19</v>
      </c>
      <c r="N5" s="14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0.31388888888888888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126</v>
      </c>
      <c r="D7" s="55"/>
      <c r="E7" s="57" t="s">
        <v>127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0.31388888888888888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114</v>
      </c>
      <c r="D8" s="55" t="s">
        <v>219</v>
      </c>
      <c r="E8" s="57" t="s">
        <v>217</v>
      </c>
      <c r="F8" s="33" t="s">
        <v>231</v>
      </c>
      <c r="G8" s="36">
        <v>1</v>
      </c>
      <c r="H8" s="38">
        <v>25</v>
      </c>
      <c r="I8" s="7">
        <v>13000</v>
      </c>
      <c r="J8" s="5">
        <v>3665</v>
      </c>
      <c r="K8" s="15">
        <f>L8</f>
        <v>3665</v>
      </c>
      <c r="L8" s="15">
        <f>2508+1157</f>
        <v>3665</v>
      </c>
      <c r="M8" s="16">
        <f t="shared" si="0"/>
        <v>3665</v>
      </c>
      <c r="N8" s="16">
        <v>0</v>
      </c>
      <c r="O8" s="62">
        <f t="shared" si="1"/>
        <v>0</v>
      </c>
      <c r="P8" s="42">
        <f t="shared" si="2"/>
        <v>20</v>
      </c>
      <c r="Q8" s="43">
        <f t="shared" si="3"/>
        <v>4</v>
      </c>
      <c r="R8" s="7"/>
      <c r="S8" s="6"/>
      <c r="T8" s="17">
        <v>4</v>
      </c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0.83333333333333337</v>
      </c>
      <c r="AD8" s="10">
        <f t="shared" si="6"/>
        <v>0.83333333333333337</v>
      </c>
      <c r="AE8" s="39">
        <f t="shared" si="7"/>
        <v>0.31388888888888888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131</v>
      </c>
      <c r="E9" s="57" t="s">
        <v>232</v>
      </c>
      <c r="F9" s="12" t="s">
        <v>233</v>
      </c>
      <c r="G9" s="12">
        <v>1</v>
      </c>
      <c r="H9" s="13">
        <v>25</v>
      </c>
      <c r="I9" s="7">
        <v>300</v>
      </c>
      <c r="J9" s="14">
        <v>351</v>
      </c>
      <c r="K9" s="15">
        <f>L9</f>
        <v>351</v>
      </c>
      <c r="L9" s="15">
        <f>351</f>
        <v>351</v>
      </c>
      <c r="M9" s="16">
        <f t="shared" si="0"/>
        <v>351</v>
      </c>
      <c r="N9" s="16">
        <v>0</v>
      </c>
      <c r="O9" s="62">
        <f t="shared" si="1"/>
        <v>0</v>
      </c>
      <c r="P9" s="42">
        <f t="shared" si="2"/>
        <v>4</v>
      </c>
      <c r="Q9" s="43">
        <f t="shared" si="3"/>
        <v>20</v>
      </c>
      <c r="R9" s="7"/>
      <c r="S9" s="6"/>
      <c r="T9" s="17"/>
      <c r="U9" s="17"/>
      <c r="V9" s="18"/>
      <c r="W9" s="19">
        <v>20</v>
      </c>
      <c r="X9" s="17"/>
      <c r="Y9" s="20"/>
      <c r="Z9" s="20"/>
      <c r="AA9" s="21"/>
      <c r="AB9" s="8">
        <f t="shared" si="4"/>
        <v>1</v>
      </c>
      <c r="AC9" s="9">
        <f t="shared" si="5"/>
        <v>0.16666666666666666</v>
      </c>
      <c r="AD9" s="10">
        <f t="shared" si="6"/>
        <v>0.16666666666666666</v>
      </c>
      <c r="AE9" s="39">
        <f t="shared" si="7"/>
        <v>0.31388888888888888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137</v>
      </c>
      <c r="D10" s="55" t="s">
        <v>150</v>
      </c>
      <c r="E10" s="57" t="s">
        <v>155</v>
      </c>
      <c r="F10" s="12" t="s">
        <v>146</v>
      </c>
      <c r="G10" s="12">
        <v>1</v>
      </c>
      <c r="H10" s="13">
        <v>25</v>
      </c>
      <c r="I10" s="7">
        <v>65000</v>
      </c>
      <c r="J10" s="14">
        <v>4840</v>
      </c>
      <c r="K10" s="15">
        <f>L10+18476+20620+17546+4840</f>
        <v>61482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0.31388888888888888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6500</v>
      </c>
      <c r="J11" s="5">
        <v>2357</v>
      </c>
      <c r="K11" s="15">
        <f>L11+5687+2357</f>
        <v>8044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0.31388888888888888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130</v>
      </c>
      <c r="E12" s="57" t="s">
        <v>157</v>
      </c>
      <c r="F12" s="12" t="s">
        <v>128</v>
      </c>
      <c r="G12" s="12">
        <v>1</v>
      </c>
      <c r="H12" s="13">
        <v>25</v>
      </c>
      <c r="I12" s="7">
        <v>17000</v>
      </c>
      <c r="J12" s="14">
        <v>5495</v>
      </c>
      <c r="K12" s="15">
        <f>L12+5543+2850+3453+4831</f>
        <v>22172</v>
      </c>
      <c r="L12" s="15">
        <f>2934+2561</f>
        <v>5495</v>
      </c>
      <c r="M12" s="16">
        <f t="shared" si="0"/>
        <v>5495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1</v>
      </c>
      <c r="AD12" s="10">
        <f t="shared" si="6"/>
        <v>1</v>
      </c>
      <c r="AE12" s="39">
        <f t="shared" si="7"/>
        <v>0.31388888888888888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158</v>
      </c>
      <c r="F13" s="12" t="s">
        <v>146</v>
      </c>
      <c r="G13" s="12">
        <v>1</v>
      </c>
      <c r="H13" s="13">
        <v>25</v>
      </c>
      <c r="I13" s="7">
        <v>17000</v>
      </c>
      <c r="J13" s="14">
        <v>3713</v>
      </c>
      <c r="K13" s="15">
        <f>L13+4333+5489+1550+3797</f>
        <v>18882</v>
      </c>
      <c r="L13" s="15">
        <f>1440+2273</f>
        <v>3713</v>
      </c>
      <c r="M13" s="16">
        <f t="shared" si="0"/>
        <v>3713</v>
      </c>
      <c r="N13" s="16">
        <v>0</v>
      </c>
      <c r="O13" s="62">
        <f t="shared" si="1"/>
        <v>0</v>
      </c>
      <c r="P13" s="42">
        <f t="shared" si="2"/>
        <v>19</v>
      </c>
      <c r="Q13" s="43">
        <f t="shared" si="3"/>
        <v>5</v>
      </c>
      <c r="R13" s="7"/>
      <c r="S13" s="6">
        <v>5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0.79166666666666663</v>
      </c>
      <c r="AD13" s="10">
        <f t="shared" si="6"/>
        <v>0.79166666666666663</v>
      </c>
      <c r="AE13" s="39">
        <f t="shared" si="7"/>
        <v>0.31388888888888888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139</v>
      </c>
      <c r="F14" s="33" t="s">
        <v>138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0.31388888888888888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136</v>
      </c>
      <c r="D15" s="55" t="s">
        <v>131</v>
      </c>
      <c r="E15" s="57" t="s">
        <v>195</v>
      </c>
      <c r="F15" s="12" t="s">
        <v>207</v>
      </c>
      <c r="G15" s="12">
        <v>3</v>
      </c>
      <c r="H15" s="13">
        <v>24</v>
      </c>
      <c r="I15" s="34">
        <v>6000</v>
      </c>
      <c r="J15" s="14">
        <v>7454</v>
      </c>
      <c r="K15" s="15">
        <f>L15+7545</f>
        <v>7545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0.31388888888888888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125</v>
      </c>
      <c r="D16" s="55" t="s">
        <v>149</v>
      </c>
      <c r="E16" s="57" t="s">
        <v>222</v>
      </c>
      <c r="F16" s="33" t="s">
        <v>147</v>
      </c>
      <c r="G16" s="36">
        <v>2</v>
      </c>
      <c r="H16" s="38">
        <v>25</v>
      </c>
      <c r="I16" s="7">
        <v>10000</v>
      </c>
      <c r="J16" s="5">
        <v>10108</v>
      </c>
      <c r="K16" s="15">
        <f>L16</f>
        <v>10108</v>
      </c>
      <c r="L16" s="15">
        <f>3023*2+2031*2</f>
        <v>10108</v>
      </c>
      <c r="M16" s="16">
        <f t="shared" si="0"/>
        <v>10108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1</v>
      </c>
      <c r="AD16" s="10">
        <f t="shared" si="6"/>
        <v>1</v>
      </c>
      <c r="AE16" s="39">
        <f t="shared" si="7"/>
        <v>0.31388888888888888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156</v>
      </c>
      <c r="E17" s="57" t="s">
        <v>164</v>
      </c>
      <c r="F17" s="12">
        <v>8301</v>
      </c>
      <c r="G17" s="12">
        <v>1</v>
      </c>
      <c r="H17" s="13">
        <v>24</v>
      </c>
      <c r="I17" s="34">
        <v>1500</v>
      </c>
      <c r="J17" s="14">
        <v>1846</v>
      </c>
      <c r="K17" s="15">
        <f>L17+1846</f>
        <v>1846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0.31388888888888888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224</v>
      </c>
      <c r="E18" s="57" t="s">
        <v>225</v>
      </c>
      <c r="F18" s="12" t="s">
        <v>132</v>
      </c>
      <c r="G18" s="36">
        <v>1</v>
      </c>
      <c r="H18" s="38">
        <v>30</v>
      </c>
      <c r="I18" s="7">
        <v>9000</v>
      </c>
      <c r="J18" s="5">
        <v>4653</v>
      </c>
      <c r="K18" s="15">
        <f>L18</f>
        <v>4653</v>
      </c>
      <c r="L18" s="15">
        <f>2018+2635</f>
        <v>4653</v>
      </c>
      <c r="M18" s="16">
        <f t="shared" si="0"/>
        <v>4653</v>
      </c>
      <c r="N18" s="16">
        <v>0</v>
      </c>
      <c r="O18" s="62">
        <f t="shared" si="1"/>
        <v>0</v>
      </c>
      <c r="P18" s="42">
        <f t="shared" si="2"/>
        <v>22</v>
      </c>
      <c r="Q18" s="43">
        <f t="shared" si="3"/>
        <v>2</v>
      </c>
      <c r="R18" s="7"/>
      <c r="S18" s="6"/>
      <c r="T18" s="17">
        <v>2</v>
      </c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0.91666666666666663</v>
      </c>
      <c r="AD18" s="10">
        <f t="shared" si="6"/>
        <v>0.91666666666666663</v>
      </c>
      <c r="AE18" s="39">
        <f t="shared" si="7"/>
        <v>0.31388888888888888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136</v>
      </c>
      <c r="D19" s="55" t="s">
        <v>123</v>
      </c>
      <c r="E19" s="57" t="s">
        <v>196</v>
      </c>
      <c r="F19" s="12" t="s">
        <v>210</v>
      </c>
      <c r="G19" s="36">
        <v>3</v>
      </c>
      <c r="H19" s="38">
        <v>30</v>
      </c>
      <c r="I19" s="7">
        <v>6000</v>
      </c>
      <c r="J19" s="5">
        <v>3101</v>
      </c>
      <c r="K19" s="15">
        <f>L19</f>
        <v>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>
        <v>24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0.31388888888888888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151</v>
      </c>
      <c r="F20" s="12" t="s">
        <v>122</v>
      </c>
      <c r="G20" s="12">
        <v>4</v>
      </c>
      <c r="H20" s="38">
        <v>20</v>
      </c>
      <c r="I20" s="7">
        <v>300000</v>
      </c>
      <c r="J20" s="14">
        <v>4524</v>
      </c>
      <c r="K20" s="15">
        <f>L20+20068+24564+48544+43996+30716+19196+21560+23324+19612+4524</f>
        <v>256104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0.31388888888888888</v>
      </c>
      <c r="AF20" s="93">
        <f t="shared" si="8"/>
        <v>15</v>
      </c>
    </row>
    <row r="21" spans="1:32" ht="31.5" customHeight="1" thickBot="1">
      <c r="A21" s="362" t="s">
        <v>34</v>
      </c>
      <c r="B21" s="363"/>
      <c r="C21" s="363"/>
      <c r="D21" s="363"/>
      <c r="E21" s="363"/>
      <c r="F21" s="363"/>
      <c r="G21" s="363"/>
      <c r="H21" s="364"/>
      <c r="I21" s="25">
        <f t="shared" ref="I21:N21" si="9">SUM(I6:I20)</f>
        <v>653300</v>
      </c>
      <c r="J21" s="22">
        <f t="shared" si="9"/>
        <v>90815</v>
      </c>
      <c r="K21" s="23">
        <f t="shared" si="9"/>
        <v>583198</v>
      </c>
      <c r="L21" s="24">
        <f t="shared" si="9"/>
        <v>27985</v>
      </c>
      <c r="M21" s="23">
        <f t="shared" si="9"/>
        <v>27985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113</v>
      </c>
      <c r="Q21" s="46">
        <f t="shared" si="10"/>
        <v>247</v>
      </c>
      <c r="R21" s="26">
        <f t="shared" si="10"/>
        <v>48</v>
      </c>
      <c r="S21" s="27">
        <f t="shared" si="10"/>
        <v>77</v>
      </c>
      <c r="T21" s="27">
        <f t="shared" si="10"/>
        <v>6</v>
      </c>
      <c r="U21" s="27">
        <f t="shared" si="10"/>
        <v>0</v>
      </c>
      <c r="V21" s="28">
        <f t="shared" si="10"/>
        <v>0</v>
      </c>
      <c r="W21" s="29">
        <f t="shared" si="10"/>
        <v>116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</v>
      </c>
      <c r="AC21" s="4">
        <f>SUM(AC6:AC20)/15</f>
        <v>0.31388888888888888</v>
      </c>
      <c r="AD21" s="4">
        <f>SUM(AD6:AD20)/15</f>
        <v>0.31388888888888888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5" t="s">
        <v>45</v>
      </c>
      <c r="B48" s="365"/>
      <c r="C48" s="365"/>
      <c r="D48" s="365"/>
      <c r="E48" s="36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66" t="s">
        <v>238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8"/>
      <c r="N49" s="369" t="s">
        <v>239</v>
      </c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1"/>
    </row>
    <row r="50" spans="1:32" ht="27" customHeight="1">
      <c r="A50" s="372" t="s">
        <v>2</v>
      </c>
      <c r="B50" s="373"/>
      <c r="C50" s="148" t="s">
        <v>46</v>
      </c>
      <c r="D50" s="148" t="s">
        <v>47</v>
      </c>
      <c r="E50" s="148" t="s">
        <v>108</v>
      </c>
      <c r="F50" s="373" t="s">
        <v>107</v>
      </c>
      <c r="G50" s="373"/>
      <c r="H50" s="373"/>
      <c r="I50" s="373"/>
      <c r="J50" s="373"/>
      <c r="K50" s="373"/>
      <c r="L50" s="373"/>
      <c r="M50" s="374"/>
      <c r="N50" s="73" t="s">
        <v>112</v>
      </c>
      <c r="O50" s="148" t="s">
        <v>46</v>
      </c>
      <c r="P50" s="375" t="s">
        <v>47</v>
      </c>
      <c r="Q50" s="376"/>
      <c r="R50" s="375" t="s">
        <v>38</v>
      </c>
      <c r="S50" s="377"/>
      <c r="T50" s="377"/>
      <c r="U50" s="376"/>
      <c r="V50" s="375" t="s">
        <v>48</v>
      </c>
      <c r="W50" s="377"/>
      <c r="X50" s="377"/>
      <c r="Y50" s="377"/>
      <c r="Z50" s="377"/>
      <c r="AA50" s="377"/>
      <c r="AB50" s="377"/>
      <c r="AC50" s="377"/>
      <c r="AD50" s="378"/>
    </row>
    <row r="51" spans="1:32" ht="27" customHeight="1">
      <c r="A51" s="349" t="s">
        <v>114</v>
      </c>
      <c r="B51" s="350"/>
      <c r="C51" s="150" t="s">
        <v>218</v>
      </c>
      <c r="D51" s="150" t="s">
        <v>219</v>
      </c>
      <c r="E51" s="150" t="s">
        <v>217</v>
      </c>
      <c r="F51" s="341" t="s">
        <v>129</v>
      </c>
      <c r="G51" s="341"/>
      <c r="H51" s="341"/>
      <c r="I51" s="341"/>
      <c r="J51" s="341"/>
      <c r="K51" s="341"/>
      <c r="L51" s="341"/>
      <c r="M51" s="351"/>
      <c r="N51" s="149" t="s">
        <v>114</v>
      </c>
      <c r="O51" s="124" t="s">
        <v>145</v>
      </c>
      <c r="P51" s="358" t="s">
        <v>123</v>
      </c>
      <c r="Q51" s="359"/>
      <c r="R51" s="350" t="s">
        <v>221</v>
      </c>
      <c r="S51" s="350"/>
      <c r="T51" s="350"/>
      <c r="U51" s="350"/>
      <c r="V51" s="341" t="s">
        <v>220</v>
      </c>
      <c r="W51" s="341"/>
      <c r="X51" s="341"/>
      <c r="Y51" s="341"/>
      <c r="Z51" s="341"/>
      <c r="AA51" s="341"/>
      <c r="AB51" s="341"/>
      <c r="AC51" s="341"/>
      <c r="AD51" s="351"/>
    </row>
    <row r="52" spans="1:32" ht="27" customHeight="1">
      <c r="A52" s="349" t="s">
        <v>125</v>
      </c>
      <c r="B52" s="350"/>
      <c r="C52" s="150" t="s">
        <v>170</v>
      </c>
      <c r="D52" s="150" t="s">
        <v>131</v>
      </c>
      <c r="E52" s="150" t="s">
        <v>232</v>
      </c>
      <c r="F52" s="341" t="s">
        <v>129</v>
      </c>
      <c r="G52" s="341"/>
      <c r="H52" s="341"/>
      <c r="I52" s="341"/>
      <c r="J52" s="341"/>
      <c r="K52" s="341"/>
      <c r="L52" s="341"/>
      <c r="M52" s="351"/>
      <c r="N52" s="149" t="s">
        <v>136</v>
      </c>
      <c r="O52" s="124" t="s">
        <v>183</v>
      </c>
      <c r="P52" s="358" t="s">
        <v>123</v>
      </c>
      <c r="Q52" s="359"/>
      <c r="R52" s="350" t="s">
        <v>196</v>
      </c>
      <c r="S52" s="350"/>
      <c r="T52" s="350"/>
      <c r="U52" s="350"/>
      <c r="V52" s="341" t="s">
        <v>134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125</v>
      </c>
      <c r="B53" s="350"/>
      <c r="C53" s="150" t="s">
        <v>170</v>
      </c>
      <c r="D53" s="150" t="s">
        <v>123</v>
      </c>
      <c r="E53" s="150" t="s">
        <v>234</v>
      </c>
      <c r="F53" s="341" t="s">
        <v>235</v>
      </c>
      <c r="G53" s="341"/>
      <c r="H53" s="341"/>
      <c r="I53" s="341"/>
      <c r="J53" s="341"/>
      <c r="K53" s="341"/>
      <c r="L53" s="341"/>
      <c r="M53" s="351"/>
      <c r="N53" s="149" t="s">
        <v>125</v>
      </c>
      <c r="O53" s="124" t="s">
        <v>183</v>
      </c>
      <c r="P53" s="358" t="s">
        <v>123</v>
      </c>
      <c r="Q53" s="359"/>
      <c r="R53" s="350" t="s">
        <v>234</v>
      </c>
      <c r="S53" s="350"/>
      <c r="T53" s="350"/>
      <c r="U53" s="350"/>
      <c r="V53" s="341" t="s">
        <v>134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125</v>
      </c>
      <c r="B54" s="350"/>
      <c r="C54" s="150" t="s">
        <v>135</v>
      </c>
      <c r="D54" s="150" t="s">
        <v>123</v>
      </c>
      <c r="E54" s="150" t="s">
        <v>158</v>
      </c>
      <c r="F54" s="341" t="s">
        <v>236</v>
      </c>
      <c r="G54" s="341"/>
      <c r="H54" s="341"/>
      <c r="I54" s="341"/>
      <c r="J54" s="341"/>
      <c r="K54" s="341"/>
      <c r="L54" s="341"/>
      <c r="M54" s="351"/>
      <c r="N54" s="149"/>
      <c r="O54" s="124"/>
      <c r="P54" s="350"/>
      <c r="Q54" s="350"/>
      <c r="R54" s="350"/>
      <c r="S54" s="350"/>
      <c r="T54" s="350"/>
      <c r="U54" s="350"/>
      <c r="V54" s="341"/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136</v>
      </c>
      <c r="B55" s="350"/>
      <c r="C55" s="150" t="s">
        <v>183</v>
      </c>
      <c r="D55" s="150" t="s">
        <v>123</v>
      </c>
      <c r="E55" s="150" t="s">
        <v>196</v>
      </c>
      <c r="F55" s="341" t="s">
        <v>237</v>
      </c>
      <c r="G55" s="341"/>
      <c r="H55" s="341"/>
      <c r="I55" s="341"/>
      <c r="J55" s="341"/>
      <c r="K55" s="341"/>
      <c r="L55" s="341"/>
      <c r="M55" s="351"/>
      <c r="N55" s="149"/>
      <c r="O55" s="124"/>
      <c r="P55" s="350"/>
      <c r="Q55" s="350"/>
      <c r="R55" s="350"/>
      <c r="S55" s="350"/>
      <c r="T55" s="350"/>
      <c r="U55" s="350"/>
      <c r="V55" s="341"/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 t="s">
        <v>114</v>
      </c>
      <c r="B56" s="350"/>
      <c r="C56" s="150" t="s">
        <v>214</v>
      </c>
      <c r="D56" s="150" t="s">
        <v>224</v>
      </c>
      <c r="E56" s="150" t="s">
        <v>225</v>
      </c>
      <c r="F56" s="341" t="s">
        <v>129</v>
      </c>
      <c r="G56" s="341"/>
      <c r="H56" s="341"/>
      <c r="I56" s="341"/>
      <c r="J56" s="341"/>
      <c r="K56" s="341"/>
      <c r="L56" s="341"/>
      <c r="M56" s="351"/>
      <c r="N56" s="149"/>
      <c r="O56" s="124"/>
      <c r="P56" s="358"/>
      <c r="Q56" s="359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 t="s">
        <v>125</v>
      </c>
      <c r="B57" s="350"/>
      <c r="C57" s="150" t="s">
        <v>223</v>
      </c>
      <c r="D57" s="150" t="s">
        <v>149</v>
      </c>
      <c r="E57" s="150" t="s">
        <v>222</v>
      </c>
      <c r="F57" s="341" t="s">
        <v>129</v>
      </c>
      <c r="G57" s="341"/>
      <c r="H57" s="341"/>
      <c r="I57" s="341"/>
      <c r="J57" s="341"/>
      <c r="K57" s="341"/>
      <c r="L57" s="341"/>
      <c r="M57" s="351"/>
      <c r="N57" s="149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150"/>
      <c r="D58" s="150"/>
      <c r="E58" s="150"/>
      <c r="F58" s="341"/>
      <c r="G58" s="341"/>
      <c r="H58" s="341"/>
      <c r="I58" s="341"/>
      <c r="J58" s="341"/>
      <c r="K58" s="341"/>
      <c r="L58" s="341"/>
      <c r="M58" s="351"/>
      <c r="N58" s="149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150"/>
      <c r="D59" s="150"/>
      <c r="E59" s="150"/>
      <c r="F59" s="341"/>
      <c r="G59" s="341"/>
      <c r="H59" s="341"/>
      <c r="I59" s="341"/>
      <c r="J59" s="341"/>
      <c r="K59" s="341"/>
      <c r="L59" s="341"/>
      <c r="M59" s="351"/>
      <c r="N59" s="149"/>
      <c r="O59" s="124"/>
      <c r="P59" s="350"/>
      <c r="Q59" s="350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  <c r="AF59" s="93">
        <f>8*3000</f>
        <v>24000</v>
      </c>
    </row>
    <row r="60" spans="1:32" ht="27" customHeight="1" thickBot="1">
      <c r="A60" s="352"/>
      <c r="B60" s="353"/>
      <c r="C60" s="152"/>
      <c r="D60" s="152"/>
      <c r="E60" s="152"/>
      <c r="F60" s="354"/>
      <c r="G60" s="354"/>
      <c r="H60" s="354"/>
      <c r="I60" s="354"/>
      <c r="J60" s="354"/>
      <c r="K60" s="354"/>
      <c r="L60" s="354"/>
      <c r="M60" s="355"/>
      <c r="N60" s="151"/>
      <c r="O60" s="120"/>
      <c r="P60" s="353"/>
      <c r="Q60" s="353"/>
      <c r="R60" s="353"/>
      <c r="S60" s="353"/>
      <c r="T60" s="353"/>
      <c r="U60" s="353"/>
      <c r="V60" s="356"/>
      <c r="W60" s="356"/>
      <c r="X60" s="356"/>
      <c r="Y60" s="356"/>
      <c r="Z60" s="356"/>
      <c r="AA60" s="356"/>
      <c r="AB60" s="356"/>
      <c r="AC60" s="356"/>
      <c r="AD60" s="357"/>
      <c r="AF60" s="93">
        <f>16*3000</f>
        <v>48000</v>
      </c>
    </row>
    <row r="61" spans="1:32" ht="27.75" thickBot="1">
      <c r="A61" s="347" t="s">
        <v>240</v>
      </c>
      <c r="B61" s="347"/>
      <c r="C61" s="347"/>
      <c r="D61" s="347"/>
      <c r="E61" s="34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48" t="s">
        <v>113</v>
      </c>
      <c r="B62" s="345"/>
      <c r="C62" s="153" t="s">
        <v>2</v>
      </c>
      <c r="D62" s="153" t="s">
        <v>37</v>
      </c>
      <c r="E62" s="153" t="s">
        <v>3</v>
      </c>
      <c r="F62" s="345" t="s">
        <v>110</v>
      </c>
      <c r="G62" s="345"/>
      <c r="H62" s="345"/>
      <c r="I62" s="345"/>
      <c r="J62" s="345"/>
      <c r="K62" s="345" t="s">
        <v>39</v>
      </c>
      <c r="L62" s="345"/>
      <c r="M62" s="153" t="s">
        <v>40</v>
      </c>
      <c r="N62" s="345" t="s">
        <v>41</v>
      </c>
      <c r="O62" s="345"/>
      <c r="P62" s="342" t="s">
        <v>42</v>
      </c>
      <c r="Q62" s="344"/>
      <c r="R62" s="342" t="s">
        <v>43</v>
      </c>
      <c r="S62" s="343"/>
      <c r="T62" s="343"/>
      <c r="U62" s="343"/>
      <c r="V62" s="343"/>
      <c r="W62" s="343"/>
      <c r="X62" s="343"/>
      <c r="Y62" s="343"/>
      <c r="Z62" s="343"/>
      <c r="AA62" s="344"/>
      <c r="AB62" s="345" t="s">
        <v>44</v>
      </c>
      <c r="AC62" s="345"/>
      <c r="AD62" s="346"/>
      <c r="AF62" s="93">
        <f>SUM(AF59:AF61)</f>
        <v>96000</v>
      </c>
    </row>
    <row r="63" spans="1:32" ht="25.5" customHeight="1">
      <c r="A63" s="337">
        <v>1</v>
      </c>
      <c r="B63" s="338"/>
      <c r="C63" s="123" t="s">
        <v>125</v>
      </c>
      <c r="D63" s="156"/>
      <c r="E63" s="154" t="s">
        <v>152</v>
      </c>
      <c r="F63" s="339" t="s">
        <v>241</v>
      </c>
      <c r="G63" s="331"/>
      <c r="H63" s="331"/>
      <c r="I63" s="331"/>
      <c r="J63" s="331"/>
      <c r="K63" s="331" t="s">
        <v>147</v>
      </c>
      <c r="L63" s="331"/>
      <c r="M63" s="54" t="s">
        <v>242</v>
      </c>
      <c r="N63" s="331">
        <v>11</v>
      </c>
      <c r="O63" s="331"/>
      <c r="P63" s="340">
        <v>200</v>
      </c>
      <c r="Q63" s="340"/>
      <c r="R63" s="341"/>
      <c r="S63" s="341"/>
      <c r="T63" s="341"/>
      <c r="U63" s="341"/>
      <c r="V63" s="341"/>
      <c r="W63" s="341"/>
      <c r="X63" s="341"/>
      <c r="Y63" s="341"/>
      <c r="Z63" s="341"/>
      <c r="AA63" s="341"/>
      <c r="AB63" s="331"/>
      <c r="AC63" s="331"/>
      <c r="AD63" s="332"/>
      <c r="AF63" s="53"/>
    </row>
    <row r="64" spans="1:32" ht="25.5" customHeight="1">
      <c r="A64" s="337">
        <v>2</v>
      </c>
      <c r="B64" s="338"/>
      <c r="C64" s="123"/>
      <c r="D64" s="156"/>
      <c r="E64" s="154"/>
      <c r="F64" s="339"/>
      <c r="G64" s="331"/>
      <c r="H64" s="331"/>
      <c r="I64" s="331"/>
      <c r="J64" s="331"/>
      <c r="K64" s="331"/>
      <c r="L64" s="331"/>
      <c r="M64" s="54"/>
      <c r="N64" s="331"/>
      <c r="O64" s="331"/>
      <c r="P64" s="340"/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3</v>
      </c>
      <c r="B65" s="338"/>
      <c r="C65" s="123"/>
      <c r="D65" s="156"/>
      <c r="E65" s="154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4</v>
      </c>
      <c r="B66" s="338"/>
      <c r="C66" s="123"/>
      <c r="D66" s="156"/>
      <c r="E66" s="154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5</v>
      </c>
      <c r="B67" s="338"/>
      <c r="C67" s="123"/>
      <c r="D67" s="156"/>
      <c r="E67" s="154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6</v>
      </c>
      <c r="B68" s="338"/>
      <c r="C68" s="123"/>
      <c r="D68" s="156"/>
      <c r="E68" s="154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7</v>
      </c>
      <c r="B69" s="338"/>
      <c r="C69" s="123"/>
      <c r="D69" s="156"/>
      <c r="E69" s="154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8</v>
      </c>
      <c r="B70" s="338"/>
      <c r="C70" s="123"/>
      <c r="D70" s="156"/>
      <c r="E70" s="154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6.25" customHeight="1" thickBot="1">
      <c r="A71" s="311" t="s">
        <v>243</v>
      </c>
      <c r="B71" s="311"/>
      <c r="C71" s="311"/>
      <c r="D71" s="311"/>
      <c r="E71" s="311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12" t="s">
        <v>113</v>
      </c>
      <c r="B72" s="313"/>
      <c r="C72" s="155" t="s">
        <v>2</v>
      </c>
      <c r="D72" s="155" t="s">
        <v>37</v>
      </c>
      <c r="E72" s="155" t="s">
        <v>3</v>
      </c>
      <c r="F72" s="313" t="s">
        <v>38</v>
      </c>
      <c r="G72" s="313"/>
      <c r="H72" s="313"/>
      <c r="I72" s="313"/>
      <c r="J72" s="313"/>
      <c r="K72" s="333" t="s">
        <v>58</v>
      </c>
      <c r="L72" s="334"/>
      <c r="M72" s="334"/>
      <c r="N72" s="334"/>
      <c r="O72" s="334"/>
      <c r="P72" s="334"/>
      <c r="Q72" s="334"/>
      <c r="R72" s="334"/>
      <c r="S72" s="335"/>
      <c r="T72" s="313" t="s">
        <v>49</v>
      </c>
      <c r="U72" s="313"/>
      <c r="V72" s="333" t="s">
        <v>50</v>
      </c>
      <c r="W72" s="335"/>
      <c r="X72" s="334" t="s">
        <v>51</v>
      </c>
      <c r="Y72" s="334"/>
      <c r="Z72" s="334"/>
      <c r="AA72" s="334"/>
      <c r="AB72" s="334"/>
      <c r="AC72" s="334"/>
      <c r="AD72" s="336"/>
      <c r="AF72" s="53"/>
    </row>
    <row r="73" spans="1:32" ht="33.75" customHeight="1">
      <c r="A73" s="305">
        <v>1</v>
      </c>
      <c r="B73" s="306"/>
      <c r="C73" s="157" t="s">
        <v>114</v>
      </c>
      <c r="D73" s="157"/>
      <c r="E73" s="71" t="s">
        <v>119</v>
      </c>
      <c r="F73" s="320" t="s">
        <v>120</v>
      </c>
      <c r="G73" s="321"/>
      <c r="H73" s="321"/>
      <c r="I73" s="321"/>
      <c r="J73" s="322"/>
      <c r="K73" s="323" t="s">
        <v>115</v>
      </c>
      <c r="L73" s="324"/>
      <c r="M73" s="324"/>
      <c r="N73" s="324"/>
      <c r="O73" s="324"/>
      <c r="P73" s="324"/>
      <c r="Q73" s="324"/>
      <c r="R73" s="324"/>
      <c r="S73" s="325"/>
      <c r="T73" s="326">
        <v>42901</v>
      </c>
      <c r="U73" s="327"/>
      <c r="V73" s="328"/>
      <c r="W73" s="328"/>
      <c r="X73" s="329"/>
      <c r="Y73" s="329"/>
      <c r="Z73" s="329"/>
      <c r="AA73" s="329"/>
      <c r="AB73" s="329"/>
      <c r="AC73" s="329"/>
      <c r="AD73" s="330"/>
      <c r="AF73" s="53"/>
    </row>
    <row r="74" spans="1:32" ht="30" customHeight="1">
      <c r="A74" s="298">
        <f>A73+1</f>
        <v>2</v>
      </c>
      <c r="B74" s="299"/>
      <c r="C74" s="156" t="s">
        <v>114</v>
      </c>
      <c r="D74" s="156"/>
      <c r="E74" s="35" t="s">
        <v>116</v>
      </c>
      <c r="F74" s="299" t="s">
        <v>117</v>
      </c>
      <c r="G74" s="299"/>
      <c r="H74" s="299"/>
      <c r="I74" s="299"/>
      <c r="J74" s="299"/>
      <c r="K74" s="314" t="s">
        <v>118</v>
      </c>
      <c r="L74" s="315"/>
      <c r="M74" s="315"/>
      <c r="N74" s="315"/>
      <c r="O74" s="315"/>
      <c r="P74" s="315"/>
      <c r="Q74" s="315"/>
      <c r="R74" s="315"/>
      <c r="S74" s="316"/>
      <c r="T74" s="317">
        <v>42867</v>
      </c>
      <c r="U74" s="317"/>
      <c r="V74" s="317"/>
      <c r="W74" s="317"/>
      <c r="X74" s="318"/>
      <c r="Y74" s="318"/>
      <c r="Z74" s="318"/>
      <c r="AA74" s="318"/>
      <c r="AB74" s="318"/>
      <c r="AC74" s="318"/>
      <c r="AD74" s="319"/>
      <c r="AF74" s="53"/>
    </row>
    <row r="75" spans="1:32" ht="30" customHeight="1">
      <c r="A75" s="298">
        <f t="shared" ref="A75:A81" si="11">A74+1</f>
        <v>3</v>
      </c>
      <c r="B75" s="299"/>
      <c r="C75" s="156"/>
      <c r="D75" s="156"/>
      <c r="E75" s="35"/>
      <c r="F75" s="299"/>
      <c r="G75" s="299"/>
      <c r="H75" s="299"/>
      <c r="I75" s="299"/>
      <c r="J75" s="299"/>
      <c r="K75" s="314"/>
      <c r="L75" s="315"/>
      <c r="M75" s="315"/>
      <c r="N75" s="315"/>
      <c r="O75" s="315"/>
      <c r="P75" s="315"/>
      <c r="Q75" s="315"/>
      <c r="R75" s="315"/>
      <c r="S75" s="316"/>
      <c r="T75" s="317"/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si="11"/>
        <v>4</v>
      </c>
      <c r="B76" s="299"/>
      <c r="C76" s="156"/>
      <c r="D76" s="156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1"/>
        <v>5</v>
      </c>
      <c r="B77" s="299"/>
      <c r="C77" s="156"/>
      <c r="D77" s="156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1"/>
        <v>6</v>
      </c>
      <c r="B78" s="299"/>
      <c r="C78" s="156"/>
      <c r="D78" s="156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1"/>
        <v>7</v>
      </c>
      <c r="B79" s="299"/>
      <c r="C79" s="156"/>
      <c r="D79" s="156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1"/>
        <v>8</v>
      </c>
      <c r="B80" s="299"/>
      <c r="C80" s="156"/>
      <c r="D80" s="156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1"/>
        <v>9</v>
      </c>
      <c r="B81" s="299"/>
      <c r="C81" s="156"/>
      <c r="D81" s="156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6" thickBot="1">
      <c r="A82" s="311" t="s">
        <v>244</v>
      </c>
      <c r="B82" s="311"/>
      <c r="C82" s="311"/>
      <c r="D82" s="311"/>
      <c r="E82" s="311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12" t="s">
        <v>113</v>
      </c>
      <c r="B83" s="313"/>
      <c r="C83" s="303" t="s">
        <v>52</v>
      </c>
      <c r="D83" s="303"/>
      <c r="E83" s="303" t="s">
        <v>53</v>
      </c>
      <c r="F83" s="303"/>
      <c r="G83" s="303"/>
      <c r="H83" s="303"/>
      <c r="I83" s="303"/>
      <c r="J83" s="303"/>
      <c r="K83" s="303" t="s">
        <v>54</v>
      </c>
      <c r="L83" s="303"/>
      <c r="M83" s="303"/>
      <c r="N83" s="303"/>
      <c r="O83" s="303"/>
      <c r="P83" s="303"/>
      <c r="Q83" s="303"/>
      <c r="R83" s="303"/>
      <c r="S83" s="303"/>
      <c r="T83" s="303" t="s">
        <v>55</v>
      </c>
      <c r="U83" s="303"/>
      <c r="V83" s="303" t="s">
        <v>56</v>
      </c>
      <c r="W83" s="303"/>
      <c r="X83" s="303"/>
      <c r="Y83" s="303" t="s">
        <v>51</v>
      </c>
      <c r="Z83" s="303"/>
      <c r="AA83" s="303"/>
      <c r="AB83" s="303"/>
      <c r="AC83" s="303"/>
      <c r="AD83" s="304"/>
      <c r="AF83" s="53"/>
    </row>
    <row r="84" spans="1:32" ht="30.75" customHeight="1">
      <c r="A84" s="305">
        <v>1</v>
      </c>
      <c r="B84" s="306"/>
      <c r="C84" s="307">
        <v>9</v>
      </c>
      <c r="D84" s="307"/>
      <c r="E84" s="307" t="s">
        <v>141</v>
      </c>
      <c r="F84" s="307"/>
      <c r="G84" s="307"/>
      <c r="H84" s="307"/>
      <c r="I84" s="307"/>
      <c r="J84" s="307"/>
      <c r="K84" s="307" t="s">
        <v>142</v>
      </c>
      <c r="L84" s="307"/>
      <c r="M84" s="307"/>
      <c r="N84" s="307"/>
      <c r="O84" s="307"/>
      <c r="P84" s="307"/>
      <c r="Q84" s="307"/>
      <c r="R84" s="307"/>
      <c r="S84" s="307"/>
      <c r="T84" s="307" t="s">
        <v>143</v>
      </c>
      <c r="U84" s="307"/>
      <c r="V84" s="308">
        <v>11307000</v>
      </c>
      <c r="W84" s="308"/>
      <c r="X84" s="308"/>
      <c r="Y84" s="309"/>
      <c r="Z84" s="309"/>
      <c r="AA84" s="309"/>
      <c r="AB84" s="309"/>
      <c r="AC84" s="309"/>
      <c r="AD84" s="310"/>
      <c r="AF84" s="53"/>
    </row>
    <row r="85" spans="1:32" ht="30.75" customHeight="1">
      <c r="A85" s="298">
        <v>2</v>
      </c>
      <c r="B85" s="299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1"/>
      <c r="U85" s="301"/>
      <c r="V85" s="302"/>
      <c r="W85" s="302"/>
      <c r="X85" s="302"/>
      <c r="Y85" s="291"/>
      <c r="Z85" s="291"/>
      <c r="AA85" s="291"/>
      <c r="AB85" s="291"/>
      <c r="AC85" s="291"/>
      <c r="AD85" s="292"/>
      <c r="AF85" s="53"/>
    </row>
    <row r="86" spans="1:32" ht="30.75" customHeight="1" thickBot="1">
      <c r="A86" s="293">
        <v>3</v>
      </c>
      <c r="B86" s="294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6"/>
      <c r="Z86" s="296"/>
      <c r="AA86" s="296"/>
      <c r="AB86" s="296"/>
      <c r="AC86" s="296"/>
      <c r="AD86" s="29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E2DE-6331-48C1-B3E7-1A5EEBCC3C5F}">
  <sheetPr>
    <pageSetUpPr fitToPage="1"/>
  </sheetPr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245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168" t="s">
        <v>17</v>
      </c>
      <c r="L5" s="168" t="s">
        <v>18</v>
      </c>
      <c r="M5" s="168" t="s">
        <v>19</v>
      </c>
      <c r="N5" s="16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0.3305555555555556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126</v>
      </c>
      <c r="D7" s="55"/>
      <c r="E7" s="57" t="s">
        <v>127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0.3305555555555556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114</v>
      </c>
      <c r="D8" s="55" t="s">
        <v>219</v>
      </c>
      <c r="E8" s="57" t="s">
        <v>217</v>
      </c>
      <c r="F8" s="33" t="s">
        <v>231</v>
      </c>
      <c r="G8" s="36">
        <v>1</v>
      </c>
      <c r="H8" s="38">
        <v>25</v>
      </c>
      <c r="I8" s="7">
        <v>13000</v>
      </c>
      <c r="J8" s="5">
        <v>2500</v>
      </c>
      <c r="K8" s="15">
        <f>L8+3665</f>
        <v>6165</v>
      </c>
      <c r="L8" s="15">
        <v>2500</v>
      </c>
      <c r="M8" s="16">
        <f t="shared" si="0"/>
        <v>2500</v>
      </c>
      <c r="N8" s="16">
        <v>0</v>
      </c>
      <c r="O8" s="62">
        <f t="shared" si="1"/>
        <v>0</v>
      </c>
      <c r="P8" s="42">
        <f t="shared" si="2"/>
        <v>11</v>
      </c>
      <c r="Q8" s="43">
        <f t="shared" si="3"/>
        <v>13</v>
      </c>
      <c r="R8" s="7"/>
      <c r="S8" s="6">
        <v>13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0.45833333333333331</v>
      </c>
      <c r="AD8" s="10">
        <f t="shared" si="6"/>
        <v>0.45833333333333331</v>
      </c>
      <c r="AE8" s="39">
        <f t="shared" si="7"/>
        <v>0.3305555555555556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136</v>
      </c>
      <c r="D9" s="55" t="s">
        <v>123</v>
      </c>
      <c r="E9" s="57" t="s">
        <v>196</v>
      </c>
      <c r="F9" s="12" t="s">
        <v>210</v>
      </c>
      <c r="G9" s="36">
        <v>2</v>
      </c>
      <c r="H9" s="38">
        <v>25</v>
      </c>
      <c r="I9" s="7">
        <v>6000</v>
      </c>
      <c r="J9" s="5">
        <v>6460</v>
      </c>
      <c r="K9" s="15">
        <f>L9</f>
        <v>6460</v>
      </c>
      <c r="L9" s="15">
        <f>2222*2+1008*2</f>
        <v>6460</v>
      </c>
      <c r="M9" s="16">
        <f t="shared" ref="M9" si="9">L9-N9</f>
        <v>6460</v>
      </c>
      <c r="N9" s="16">
        <v>0</v>
      </c>
      <c r="O9" s="62">
        <f t="shared" ref="O9" si="10">IF(L9=0,"0",N9/L9)</f>
        <v>0</v>
      </c>
      <c r="P9" s="42">
        <f t="shared" ref="P9" si="11">IF(L9=0,"0",(24-Q9))</f>
        <v>15</v>
      </c>
      <c r="Q9" s="43">
        <f t="shared" ref="Q9" si="12">SUM(R9:AA9)</f>
        <v>9</v>
      </c>
      <c r="R9" s="7"/>
      <c r="S9" s="6">
        <v>5</v>
      </c>
      <c r="T9" s="17"/>
      <c r="U9" s="17"/>
      <c r="V9" s="18"/>
      <c r="W9" s="19">
        <v>4</v>
      </c>
      <c r="X9" s="17"/>
      <c r="Y9" s="20"/>
      <c r="Z9" s="20"/>
      <c r="AA9" s="21"/>
      <c r="AB9" s="8">
        <f t="shared" ref="AB9" si="13">IF(J9=0,"0",(L9/J9))</f>
        <v>1</v>
      </c>
      <c r="AC9" s="9">
        <f t="shared" ref="AC9" si="14">IF(P9=0,"0",(P9/24))</f>
        <v>0.625</v>
      </c>
      <c r="AD9" s="10">
        <f t="shared" ref="AD9" si="15">AC9*AB9*(1-O9)</f>
        <v>0.625</v>
      </c>
      <c r="AE9" s="39">
        <f t="shared" si="7"/>
        <v>0.3305555555555556</v>
      </c>
      <c r="AF9" s="93">
        <f t="shared" ref="AF9" si="16">A9</f>
        <v>4</v>
      </c>
    </row>
    <row r="10" spans="1:32" ht="27" customHeight="1">
      <c r="A10" s="109">
        <v>5</v>
      </c>
      <c r="B10" s="11" t="s">
        <v>57</v>
      </c>
      <c r="C10" s="11" t="s">
        <v>137</v>
      </c>
      <c r="D10" s="55" t="s">
        <v>150</v>
      </c>
      <c r="E10" s="57" t="s">
        <v>155</v>
      </c>
      <c r="F10" s="12" t="s">
        <v>146</v>
      </c>
      <c r="G10" s="12">
        <v>1</v>
      </c>
      <c r="H10" s="13">
        <v>25</v>
      </c>
      <c r="I10" s="7">
        <v>65000</v>
      </c>
      <c r="J10" s="14">
        <v>4840</v>
      </c>
      <c r="K10" s="15">
        <f>L10+18476+20620+17546+4840</f>
        <v>61482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0.3305555555555556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6500</v>
      </c>
      <c r="J11" s="5">
        <v>2357</v>
      </c>
      <c r="K11" s="15">
        <f>L11+5687+2357</f>
        <v>8044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0.3305555555555556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246</v>
      </c>
      <c r="E12" s="57" t="s">
        <v>221</v>
      </c>
      <c r="F12" s="12" t="s">
        <v>146</v>
      </c>
      <c r="G12" s="12">
        <v>1</v>
      </c>
      <c r="H12" s="13">
        <v>25</v>
      </c>
      <c r="I12" s="7">
        <v>13000</v>
      </c>
      <c r="J12" s="14">
        <v>397</v>
      </c>
      <c r="K12" s="15">
        <f>L12</f>
        <v>397</v>
      </c>
      <c r="L12" s="15">
        <v>397</v>
      </c>
      <c r="M12" s="16">
        <f t="shared" si="0"/>
        <v>397</v>
      </c>
      <c r="N12" s="16">
        <v>0</v>
      </c>
      <c r="O12" s="62">
        <f t="shared" si="1"/>
        <v>0</v>
      </c>
      <c r="P12" s="42">
        <f t="shared" si="2"/>
        <v>4</v>
      </c>
      <c r="Q12" s="43">
        <f t="shared" si="3"/>
        <v>20</v>
      </c>
      <c r="R12" s="7"/>
      <c r="S12" s="6">
        <v>20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0.16666666666666666</v>
      </c>
      <c r="AD12" s="10">
        <f t="shared" si="6"/>
        <v>0.16666666666666666</v>
      </c>
      <c r="AE12" s="39">
        <f t="shared" si="7"/>
        <v>0.3305555555555556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158</v>
      </c>
      <c r="F13" s="12" t="s">
        <v>146</v>
      </c>
      <c r="G13" s="12">
        <v>1</v>
      </c>
      <c r="H13" s="13">
        <v>25</v>
      </c>
      <c r="I13" s="7">
        <v>17000</v>
      </c>
      <c r="J13" s="14">
        <v>5165</v>
      </c>
      <c r="K13" s="15">
        <f>L13+4333+5489+1550+3797+3713</f>
        <v>24047</v>
      </c>
      <c r="L13" s="15">
        <f>2529+2636</f>
        <v>5165</v>
      </c>
      <c r="M13" s="16">
        <f t="shared" si="0"/>
        <v>5165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1</v>
      </c>
      <c r="AD13" s="10">
        <f t="shared" si="6"/>
        <v>1</v>
      </c>
      <c r="AE13" s="39">
        <f t="shared" si="7"/>
        <v>0.3305555555555556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139</v>
      </c>
      <c r="F14" s="33" t="s">
        <v>138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0.3305555555555556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136</v>
      </c>
      <c r="D15" s="55" t="s">
        <v>131</v>
      </c>
      <c r="E15" s="57" t="s">
        <v>195</v>
      </c>
      <c r="F15" s="12" t="s">
        <v>207</v>
      </c>
      <c r="G15" s="12">
        <v>3</v>
      </c>
      <c r="H15" s="13">
        <v>24</v>
      </c>
      <c r="I15" s="34">
        <v>6000</v>
      </c>
      <c r="J15" s="14">
        <v>7454</v>
      </c>
      <c r="K15" s="15">
        <f>L15+7545</f>
        <v>7545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0.3305555555555556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125</v>
      </c>
      <c r="D16" s="55" t="s">
        <v>149</v>
      </c>
      <c r="E16" s="57" t="s">
        <v>222</v>
      </c>
      <c r="F16" s="33" t="s">
        <v>147</v>
      </c>
      <c r="G16" s="36">
        <v>2</v>
      </c>
      <c r="H16" s="38">
        <v>25</v>
      </c>
      <c r="I16" s="7">
        <v>10000</v>
      </c>
      <c r="J16" s="5">
        <v>5112</v>
      </c>
      <c r="K16" s="15">
        <f>L16+10108</f>
        <v>15220</v>
      </c>
      <c r="L16" s="15">
        <f>2556*2</f>
        <v>5112</v>
      </c>
      <c r="M16" s="16">
        <f t="shared" si="0"/>
        <v>5112</v>
      </c>
      <c r="N16" s="16">
        <v>0</v>
      </c>
      <c r="O16" s="62">
        <f t="shared" si="1"/>
        <v>0</v>
      </c>
      <c r="P16" s="42">
        <f t="shared" si="2"/>
        <v>8</v>
      </c>
      <c r="Q16" s="43">
        <f t="shared" si="3"/>
        <v>16</v>
      </c>
      <c r="R16" s="7"/>
      <c r="S16" s="6"/>
      <c r="T16" s="17"/>
      <c r="U16" s="17"/>
      <c r="V16" s="18"/>
      <c r="W16" s="19">
        <v>16</v>
      </c>
      <c r="X16" s="17"/>
      <c r="Y16" s="20"/>
      <c r="Z16" s="20"/>
      <c r="AA16" s="21"/>
      <c r="AB16" s="8">
        <f t="shared" si="4"/>
        <v>1</v>
      </c>
      <c r="AC16" s="9">
        <f t="shared" si="5"/>
        <v>0.33333333333333331</v>
      </c>
      <c r="AD16" s="10">
        <f t="shared" si="6"/>
        <v>0.33333333333333331</v>
      </c>
      <c r="AE16" s="39">
        <f t="shared" si="7"/>
        <v>0.3305555555555556</v>
      </c>
      <c r="AF16" s="93">
        <f t="shared" si="8"/>
        <v>11</v>
      </c>
    </row>
    <row r="17" spans="1:32" ht="27" customHeight="1">
      <c r="A17" s="108">
        <v>11</v>
      </c>
      <c r="B17" s="11" t="s">
        <v>57</v>
      </c>
      <c r="C17" s="37" t="s">
        <v>247</v>
      </c>
      <c r="D17" s="55"/>
      <c r="E17" s="57" t="s">
        <v>248</v>
      </c>
      <c r="F17" s="33" t="s">
        <v>231</v>
      </c>
      <c r="G17" s="36">
        <v>1</v>
      </c>
      <c r="H17" s="38">
        <v>25</v>
      </c>
      <c r="I17" s="7">
        <v>1500</v>
      </c>
      <c r="J17" s="5">
        <v>3035</v>
      </c>
      <c r="K17" s="15">
        <f>L17</f>
        <v>3035</v>
      </c>
      <c r="L17" s="15">
        <f>3035</f>
        <v>3035</v>
      </c>
      <c r="M17" s="16">
        <f t="shared" ref="M17" si="17">L17-N17</f>
        <v>3035</v>
      </c>
      <c r="N17" s="16">
        <v>0</v>
      </c>
      <c r="O17" s="62">
        <f t="shared" ref="O17" si="18">IF(L17=0,"0",N17/L17)</f>
        <v>0</v>
      </c>
      <c r="P17" s="42">
        <f t="shared" ref="P17" si="19">IF(L17=0,"0",(24-Q17))</f>
        <v>14</v>
      </c>
      <c r="Q17" s="43">
        <f t="shared" ref="Q17" si="20">SUM(R17:AA17)</f>
        <v>10</v>
      </c>
      <c r="R17" s="7"/>
      <c r="S17" s="6"/>
      <c r="T17" s="17">
        <v>10</v>
      </c>
      <c r="U17" s="17"/>
      <c r="V17" s="18"/>
      <c r="W17" s="19"/>
      <c r="X17" s="17"/>
      <c r="Y17" s="20"/>
      <c r="Z17" s="20"/>
      <c r="AA17" s="21"/>
      <c r="AB17" s="8">
        <f t="shared" ref="AB17" si="21">IF(J17=0,"0",(L17/J17))</f>
        <v>1</v>
      </c>
      <c r="AC17" s="9">
        <f t="shared" ref="AC17" si="22">IF(P17=0,"0",(P17/24))</f>
        <v>0.58333333333333337</v>
      </c>
      <c r="AD17" s="10">
        <f t="shared" ref="AD17" si="23">AC17*AB17*(1-O17)</f>
        <v>0.58333333333333337</v>
      </c>
      <c r="AE17" s="39">
        <f t="shared" si="7"/>
        <v>0.3305555555555556</v>
      </c>
      <c r="AF17" s="93">
        <f t="shared" ref="AF17" si="24">A17</f>
        <v>11</v>
      </c>
    </row>
    <row r="18" spans="1:32" ht="27" customHeight="1">
      <c r="A18" s="108">
        <v>12</v>
      </c>
      <c r="B18" s="11" t="s">
        <v>57</v>
      </c>
      <c r="C18" s="11" t="s">
        <v>114</v>
      </c>
      <c r="D18" s="55" t="s">
        <v>156</v>
      </c>
      <c r="E18" s="57" t="s">
        <v>164</v>
      </c>
      <c r="F18" s="12">
        <v>8301</v>
      </c>
      <c r="G18" s="12">
        <v>1</v>
      </c>
      <c r="H18" s="13">
        <v>24</v>
      </c>
      <c r="I18" s="34">
        <v>1500</v>
      </c>
      <c r="J18" s="14">
        <v>1846</v>
      </c>
      <c r="K18" s="15">
        <f>L18+1846</f>
        <v>1846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0.3305555555555556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114</v>
      </c>
      <c r="D19" s="55" t="s">
        <v>224</v>
      </c>
      <c r="E19" s="57" t="s">
        <v>225</v>
      </c>
      <c r="F19" s="12" t="s">
        <v>132</v>
      </c>
      <c r="G19" s="36">
        <v>1</v>
      </c>
      <c r="H19" s="38">
        <v>30</v>
      </c>
      <c r="I19" s="7">
        <v>9000</v>
      </c>
      <c r="J19" s="5">
        <v>5470</v>
      </c>
      <c r="K19" s="15">
        <f>L19+4653</f>
        <v>10123</v>
      </c>
      <c r="L19" s="15">
        <f>3015+2455</f>
        <v>5470</v>
      </c>
      <c r="M19" s="16">
        <f t="shared" si="0"/>
        <v>5470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1</v>
      </c>
      <c r="AD19" s="10">
        <f t="shared" si="6"/>
        <v>1</v>
      </c>
      <c r="AE19" s="39">
        <f t="shared" si="7"/>
        <v>0.3305555555555556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125</v>
      </c>
      <c r="D20" s="55" t="s">
        <v>123</v>
      </c>
      <c r="E20" s="57" t="s">
        <v>234</v>
      </c>
      <c r="F20" s="12" t="s">
        <v>146</v>
      </c>
      <c r="G20" s="36">
        <v>1</v>
      </c>
      <c r="H20" s="38">
        <v>30</v>
      </c>
      <c r="I20" s="7">
        <v>4000</v>
      </c>
      <c r="J20" s="5">
        <v>3792</v>
      </c>
      <c r="K20" s="15">
        <f>L20</f>
        <v>3792</v>
      </c>
      <c r="L20" s="15">
        <f>985+2807</f>
        <v>3792</v>
      </c>
      <c r="M20" s="16">
        <f t="shared" si="0"/>
        <v>3792</v>
      </c>
      <c r="N20" s="16">
        <v>0</v>
      </c>
      <c r="O20" s="62">
        <f t="shared" si="1"/>
        <v>0</v>
      </c>
      <c r="P20" s="42">
        <f t="shared" si="2"/>
        <v>19</v>
      </c>
      <c r="Q20" s="43">
        <f t="shared" si="3"/>
        <v>5</v>
      </c>
      <c r="R20" s="7"/>
      <c r="S20" s="6">
        <v>5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0.79166666666666663</v>
      </c>
      <c r="AD20" s="10">
        <f t="shared" si="6"/>
        <v>0.79166666666666663</v>
      </c>
      <c r="AE20" s="39">
        <f t="shared" si="7"/>
        <v>0.3305555555555556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151</v>
      </c>
      <c r="F21" s="12" t="s">
        <v>122</v>
      </c>
      <c r="G21" s="12">
        <v>4</v>
      </c>
      <c r="H21" s="38">
        <v>20</v>
      </c>
      <c r="I21" s="7">
        <v>300000</v>
      </c>
      <c r="J21" s="14">
        <v>4524</v>
      </c>
      <c r="K21" s="15">
        <f>L21+20068+24564+48544+43996+30716+19196+21560+23324+19612+4524</f>
        <v>256104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0.3305555555555556</v>
      </c>
      <c r="AF21" s="93">
        <f t="shared" si="8"/>
        <v>15</v>
      </c>
    </row>
    <row r="22" spans="1:32" ht="31.5" customHeight="1" thickBot="1">
      <c r="A22" s="362" t="s">
        <v>34</v>
      </c>
      <c r="B22" s="363"/>
      <c r="C22" s="363"/>
      <c r="D22" s="363"/>
      <c r="E22" s="363"/>
      <c r="F22" s="363"/>
      <c r="G22" s="363"/>
      <c r="H22" s="364"/>
      <c r="I22" s="25">
        <f t="shared" ref="I22:N22" si="25">SUM(I6:I21)</f>
        <v>654500</v>
      </c>
      <c r="J22" s="22">
        <f t="shared" si="25"/>
        <v>91660</v>
      </c>
      <c r="K22" s="23">
        <f t="shared" si="25"/>
        <v>592606</v>
      </c>
      <c r="L22" s="24">
        <f t="shared" si="25"/>
        <v>31931</v>
      </c>
      <c r="M22" s="23">
        <f t="shared" si="25"/>
        <v>31931</v>
      </c>
      <c r="N22" s="24">
        <f t="shared" si="25"/>
        <v>0</v>
      </c>
      <c r="O22" s="44">
        <f t="shared" si="1"/>
        <v>0</v>
      </c>
      <c r="P22" s="45">
        <f t="shared" ref="P22:AA22" si="26">SUM(P6:P21)</f>
        <v>119</v>
      </c>
      <c r="Q22" s="46">
        <f t="shared" si="26"/>
        <v>265</v>
      </c>
      <c r="R22" s="26">
        <f t="shared" si="26"/>
        <v>48</v>
      </c>
      <c r="S22" s="27">
        <f t="shared" si="26"/>
        <v>91</v>
      </c>
      <c r="T22" s="27">
        <f t="shared" si="26"/>
        <v>10</v>
      </c>
      <c r="U22" s="27">
        <f t="shared" si="26"/>
        <v>0</v>
      </c>
      <c r="V22" s="28">
        <f t="shared" si="26"/>
        <v>0</v>
      </c>
      <c r="W22" s="29">
        <f t="shared" si="26"/>
        <v>116</v>
      </c>
      <c r="X22" s="30">
        <f t="shared" si="26"/>
        <v>0</v>
      </c>
      <c r="Y22" s="30">
        <f t="shared" si="26"/>
        <v>0</v>
      </c>
      <c r="Z22" s="30">
        <f t="shared" si="26"/>
        <v>0</v>
      </c>
      <c r="AA22" s="30">
        <f t="shared" si="26"/>
        <v>0</v>
      </c>
      <c r="AB22" s="31">
        <f>SUM(AB6:AB21)/15</f>
        <v>0.53333333333333333</v>
      </c>
      <c r="AC22" s="4">
        <f>SUM(AC6:AC21)/15</f>
        <v>0.3305555555555556</v>
      </c>
      <c r="AD22" s="4">
        <f>SUM(AD6:AD21)/15</f>
        <v>0.3305555555555556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65" t="s">
        <v>45</v>
      </c>
      <c r="B49" s="365"/>
      <c r="C49" s="365"/>
      <c r="D49" s="365"/>
      <c r="E49" s="365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66" t="s">
        <v>249</v>
      </c>
      <c r="B50" s="367"/>
      <c r="C50" s="367"/>
      <c r="D50" s="367"/>
      <c r="E50" s="367"/>
      <c r="F50" s="367"/>
      <c r="G50" s="367"/>
      <c r="H50" s="367"/>
      <c r="I50" s="367"/>
      <c r="J50" s="367"/>
      <c r="K50" s="367"/>
      <c r="L50" s="367"/>
      <c r="M50" s="368"/>
      <c r="N50" s="369" t="s">
        <v>254</v>
      </c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1"/>
    </row>
    <row r="51" spans="1:32" ht="27" customHeight="1">
      <c r="A51" s="372" t="s">
        <v>2</v>
      </c>
      <c r="B51" s="373"/>
      <c r="C51" s="167" t="s">
        <v>46</v>
      </c>
      <c r="D51" s="167" t="s">
        <v>47</v>
      </c>
      <c r="E51" s="167" t="s">
        <v>108</v>
      </c>
      <c r="F51" s="373" t="s">
        <v>107</v>
      </c>
      <c r="G51" s="373"/>
      <c r="H51" s="373"/>
      <c r="I51" s="373"/>
      <c r="J51" s="373"/>
      <c r="K51" s="373"/>
      <c r="L51" s="373"/>
      <c r="M51" s="374"/>
      <c r="N51" s="73" t="s">
        <v>112</v>
      </c>
      <c r="O51" s="167" t="s">
        <v>46</v>
      </c>
      <c r="P51" s="375" t="s">
        <v>47</v>
      </c>
      <c r="Q51" s="376"/>
      <c r="R51" s="375" t="s">
        <v>38</v>
      </c>
      <c r="S51" s="377"/>
      <c r="T51" s="377"/>
      <c r="U51" s="376"/>
      <c r="V51" s="375" t="s">
        <v>48</v>
      </c>
      <c r="W51" s="377"/>
      <c r="X51" s="377"/>
      <c r="Y51" s="377"/>
      <c r="Z51" s="377"/>
      <c r="AA51" s="377"/>
      <c r="AB51" s="377"/>
      <c r="AC51" s="377"/>
      <c r="AD51" s="378"/>
    </row>
    <row r="52" spans="1:32" ht="27" customHeight="1">
      <c r="A52" s="349" t="s">
        <v>114</v>
      </c>
      <c r="B52" s="350"/>
      <c r="C52" s="164" t="s">
        <v>218</v>
      </c>
      <c r="D52" s="164" t="s">
        <v>219</v>
      </c>
      <c r="E52" s="164" t="s">
        <v>217</v>
      </c>
      <c r="F52" s="341" t="s">
        <v>250</v>
      </c>
      <c r="G52" s="341"/>
      <c r="H52" s="341"/>
      <c r="I52" s="341"/>
      <c r="J52" s="341"/>
      <c r="K52" s="341"/>
      <c r="L52" s="341"/>
      <c r="M52" s="351"/>
      <c r="N52" s="163" t="s">
        <v>114</v>
      </c>
      <c r="O52" s="124" t="s">
        <v>145</v>
      </c>
      <c r="P52" s="358" t="s">
        <v>123</v>
      </c>
      <c r="Q52" s="359"/>
      <c r="R52" s="350" t="s">
        <v>221</v>
      </c>
      <c r="S52" s="350"/>
      <c r="T52" s="350"/>
      <c r="U52" s="350"/>
      <c r="V52" s="341" t="s">
        <v>134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136</v>
      </c>
      <c r="B53" s="350"/>
      <c r="C53" s="164" t="s">
        <v>170</v>
      </c>
      <c r="D53" s="164" t="s">
        <v>123</v>
      </c>
      <c r="E53" s="164" t="s">
        <v>196</v>
      </c>
      <c r="F53" s="341" t="s">
        <v>251</v>
      </c>
      <c r="G53" s="341"/>
      <c r="H53" s="341"/>
      <c r="I53" s="341"/>
      <c r="J53" s="341"/>
      <c r="K53" s="341"/>
      <c r="L53" s="341"/>
      <c r="M53" s="351"/>
      <c r="N53" s="163" t="s">
        <v>114</v>
      </c>
      <c r="O53" s="124" t="s">
        <v>218</v>
      </c>
      <c r="P53" s="358" t="s">
        <v>219</v>
      </c>
      <c r="Q53" s="359"/>
      <c r="R53" s="350" t="s">
        <v>217</v>
      </c>
      <c r="S53" s="350"/>
      <c r="T53" s="350"/>
      <c r="U53" s="350"/>
      <c r="V53" s="341" t="s">
        <v>134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125</v>
      </c>
      <c r="B54" s="350"/>
      <c r="C54" s="164" t="s">
        <v>183</v>
      </c>
      <c r="D54" s="164" t="s">
        <v>123</v>
      </c>
      <c r="E54" s="164" t="s">
        <v>234</v>
      </c>
      <c r="F54" s="341" t="s">
        <v>134</v>
      </c>
      <c r="G54" s="341"/>
      <c r="H54" s="341"/>
      <c r="I54" s="341"/>
      <c r="J54" s="341"/>
      <c r="K54" s="341"/>
      <c r="L54" s="341"/>
      <c r="M54" s="351"/>
      <c r="N54" s="163" t="s">
        <v>125</v>
      </c>
      <c r="O54" s="124" t="s">
        <v>170</v>
      </c>
      <c r="P54" s="358" t="s">
        <v>131</v>
      </c>
      <c r="Q54" s="359"/>
      <c r="R54" s="350" t="s">
        <v>255</v>
      </c>
      <c r="S54" s="350"/>
      <c r="T54" s="350"/>
      <c r="U54" s="350"/>
      <c r="V54" s="341" t="s">
        <v>129</v>
      </c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114</v>
      </c>
      <c r="B55" s="350"/>
      <c r="C55" s="164" t="s">
        <v>145</v>
      </c>
      <c r="D55" s="164" t="s">
        <v>246</v>
      </c>
      <c r="E55" s="164" t="s">
        <v>221</v>
      </c>
      <c r="F55" s="341" t="s">
        <v>252</v>
      </c>
      <c r="G55" s="341"/>
      <c r="H55" s="341"/>
      <c r="I55" s="341"/>
      <c r="J55" s="341"/>
      <c r="K55" s="341"/>
      <c r="L55" s="341"/>
      <c r="M55" s="351"/>
      <c r="N55" s="163" t="s">
        <v>136</v>
      </c>
      <c r="O55" s="124" t="s">
        <v>135</v>
      </c>
      <c r="P55" s="350" t="s">
        <v>123</v>
      </c>
      <c r="Q55" s="350"/>
      <c r="R55" s="350" t="s">
        <v>256</v>
      </c>
      <c r="S55" s="350"/>
      <c r="T55" s="350"/>
      <c r="U55" s="350"/>
      <c r="V55" s="341" t="s">
        <v>129</v>
      </c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 t="s">
        <v>247</v>
      </c>
      <c r="B56" s="350"/>
      <c r="C56" s="164" t="s">
        <v>223</v>
      </c>
      <c r="D56" s="164"/>
      <c r="E56" s="164" t="s">
        <v>253</v>
      </c>
      <c r="F56" s="341" t="s">
        <v>129</v>
      </c>
      <c r="G56" s="341"/>
      <c r="H56" s="341"/>
      <c r="I56" s="341"/>
      <c r="J56" s="341"/>
      <c r="K56" s="341"/>
      <c r="L56" s="341"/>
      <c r="M56" s="351"/>
      <c r="N56" s="163" t="s">
        <v>247</v>
      </c>
      <c r="O56" s="124" t="s">
        <v>223</v>
      </c>
      <c r="P56" s="350"/>
      <c r="Q56" s="350"/>
      <c r="R56" s="350" t="s">
        <v>257</v>
      </c>
      <c r="S56" s="350"/>
      <c r="T56" s="350"/>
      <c r="U56" s="350"/>
      <c r="V56" s="341" t="s">
        <v>129</v>
      </c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/>
      <c r="B57" s="350"/>
      <c r="C57" s="164"/>
      <c r="D57" s="164"/>
      <c r="E57" s="164"/>
      <c r="F57" s="341"/>
      <c r="G57" s="341"/>
      <c r="H57" s="341"/>
      <c r="I57" s="341"/>
      <c r="J57" s="341"/>
      <c r="K57" s="341"/>
      <c r="L57" s="341"/>
      <c r="M57" s="351"/>
      <c r="N57" s="163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164"/>
      <c r="D58" s="164"/>
      <c r="E58" s="164"/>
      <c r="F58" s="341"/>
      <c r="G58" s="341"/>
      <c r="H58" s="341"/>
      <c r="I58" s="341"/>
      <c r="J58" s="341"/>
      <c r="K58" s="341"/>
      <c r="L58" s="341"/>
      <c r="M58" s="351"/>
      <c r="N58" s="163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164"/>
      <c r="D59" s="164"/>
      <c r="E59" s="164"/>
      <c r="F59" s="341"/>
      <c r="G59" s="341"/>
      <c r="H59" s="341"/>
      <c r="I59" s="341"/>
      <c r="J59" s="341"/>
      <c r="K59" s="341"/>
      <c r="L59" s="341"/>
      <c r="M59" s="351"/>
      <c r="N59" s="163"/>
      <c r="O59" s="124"/>
      <c r="P59" s="358"/>
      <c r="Q59" s="359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</row>
    <row r="60" spans="1:32" ht="27" customHeight="1">
      <c r="A60" s="349"/>
      <c r="B60" s="350"/>
      <c r="C60" s="164"/>
      <c r="D60" s="164"/>
      <c r="E60" s="164"/>
      <c r="F60" s="341"/>
      <c r="G60" s="341"/>
      <c r="H60" s="341"/>
      <c r="I60" s="341"/>
      <c r="J60" s="341"/>
      <c r="K60" s="341"/>
      <c r="L60" s="341"/>
      <c r="M60" s="351"/>
      <c r="N60" s="163"/>
      <c r="O60" s="124"/>
      <c r="P60" s="350"/>
      <c r="Q60" s="350"/>
      <c r="R60" s="350"/>
      <c r="S60" s="350"/>
      <c r="T60" s="350"/>
      <c r="U60" s="350"/>
      <c r="V60" s="341"/>
      <c r="W60" s="341"/>
      <c r="X60" s="341"/>
      <c r="Y60" s="341"/>
      <c r="Z60" s="341"/>
      <c r="AA60" s="341"/>
      <c r="AB60" s="341"/>
      <c r="AC60" s="341"/>
      <c r="AD60" s="351"/>
      <c r="AF60" s="93">
        <f>8*3000</f>
        <v>24000</v>
      </c>
    </row>
    <row r="61" spans="1:32" ht="27" customHeight="1" thickBot="1">
      <c r="A61" s="352"/>
      <c r="B61" s="353"/>
      <c r="C61" s="166"/>
      <c r="D61" s="166"/>
      <c r="E61" s="166"/>
      <c r="F61" s="354"/>
      <c r="G61" s="354"/>
      <c r="H61" s="354"/>
      <c r="I61" s="354"/>
      <c r="J61" s="354"/>
      <c r="K61" s="354"/>
      <c r="L61" s="354"/>
      <c r="M61" s="355"/>
      <c r="N61" s="165"/>
      <c r="O61" s="120"/>
      <c r="P61" s="353"/>
      <c r="Q61" s="353"/>
      <c r="R61" s="353"/>
      <c r="S61" s="353"/>
      <c r="T61" s="353"/>
      <c r="U61" s="353"/>
      <c r="V61" s="356"/>
      <c r="W61" s="356"/>
      <c r="X61" s="356"/>
      <c r="Y61" s="356"/>
      <c r="Z61" s="356"/>
      <c r="AA61" s="356"/>
      <c r="AB61" s="356"/>
      <c r="AC61" s="356"/>
      <c r="AD61" s="357"/>
      <c r="AF61" s="93">
        <f>16*3000</f>
        <v>48000</v>
      </c>
    </row>
    <row r="62" spans="1:32" ht="27.75" thickBot="1">
      <c r="A62" s="347" t="s">
        <v>258</v>
      </c>
      <c r="B62" s="347"/>
      <c r="C62" s="347"/>
      <c r="D62" s="347"/>
      <c r="E62" s="34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48" t="s">
        <v>113</v>
      </c>
      <c r="B63" s="345"/>
      <c r="C63" s="162" t="s">
        <v>2</v>
      </c>
      <c r="D63" s="162" t="s">
        <v>37</v>
      </c>
      <c r="E63" s="162" t="s">
        <v>3</v>
      </c>
      <c r="F63" s="345" t="s">
        <v>110</v>
      </c>
      <c r="G63" s="345"/>
      <c r="H63" s="345"/>
      <c r="I63" s="345"/>
      <c r="J63" s="345"/>
      <c r="K63" s="345" t="s">
        <v>39</v>
      </c>
      <c r="L63" s="345"/>
      <c r="M63" s="162" t="s">
        <v>40</v>
      </c>
      <c r="N63" s="345" t="s">
        <v>41</v>
      </c>
      <c r="O63" s="345"/>
      <c r="P63" s="342" t="s">
        <v>42</v>
      </c>
      <c r="Q63" s="344"/>
      <c r="R63" s="342" t="s">
        <v>43</v>
      </c>
      <c r="S63" s="343"/>
      <c r="T63" s="343"/>
      <c r="U63" s="343"/>
      <c r="V63" s="343"/>
      <c r="W63" s="343"/>
      <c r="X63" s="343"/>
      <c r="Y63" s="343"/>
      <c r="Z63" s="343"/>
      <c r="AA63" s="344"/>
      <c r="AB63" s="345" t="s">
        <v>44</v>
      </c>
      <c r="AC63" s="345"/>
      <c r="AD63" s="346"/>
      <c r="AF63" s="93">
        <f>SUM(AF60:AF62)</f>
        <v>96000</v>
      </c>
    </row>
    <row r="64" spans="1:32" ht="25.5" customHeight="1">
      <c r="A64" s="337">
        <v>1</v>
      </c>
      <c r="B64" s="338"/>
      <c r="C64" s="123"/>
      <c r="D64" s="158"/>
      <c r="E64" s="161"/>
      <c r="F64" s="339"/>
      <c r="G64" s="331"/>
      <c r="H64" s="331"/>
      <c r="I64" s="331"/>
      <c r="J64" s="331"/>
      <c r="K64" s="331"/>
      <c r="L64" s="331"/>
      <c r="M64" s="54"/>
      <c r="N64" s="331"/>
      <c r="O64" s="331"/>
      <c r="P64" s="340"/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2</v>
      </c>
      <c r="B65" s="338"/>
      <c r="C65" s="123"/>
      <c r="D65" s="158"/>
      <c r="E65" s="161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3</v>
      </c>
      <c r="B66" s="338"/>
      <c r="C66" s="123"/>
      <c r="D66" s="158"/>
      <c r="E66" s="161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4</v>
      </c>
      <c r="B67" s="338"/>
      <c r="C67" s="123"/>
      <c r="D67" s="158"/>
      <c r="E67" s="161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5</v>
      </c>
      <c r="B68" s="338"/>
      <c r="C68" s="123"/>
      <c r="D68" s="158"/>
      <c r="E68" s="161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6</v>
      </c>
      <c r="B69" s="338"/>
      <c r="C69" s="123"/>
      <c r="D69" s="158"/>
      <c r="E69" s="161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7</v>
      </c>
      <c r="B70" s="338"/>
      <c r="C70" s="123"/>
      <c r="D70" s="158"/>
      <c r="E70" s="161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5.5" customHeight="1">
      <c r="A71" s="337">
        <v>8</v>
      </c>
      <c r="B71" s="338"/>
      <c r="C71" s="123"/>
      <c r="D71" s="158"/>
      <c r="E71" s="161"/>
      <c r="F71" s="339"/>
      <c r="G71" s="331"/>
      <c r="H71" s="331"/>
      <c r="I71" s="331"/>
      <c r="J71" s="331"/>
      <c r="K71" s="331"/>
      <c r="L71" s="331"/>
      <c r="M71" s="54"/>
      <c r="N71" s="331"/>
      <c r="O71" s="331"/>
      <c r="P71" s="340"/>
      <c r="Q71" s="340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31"/>
      <c r="AC71" s="331"/>
      <c r="AD71" s="332"/>
      <c r="AF71" s="53"/>
    </row>
    <row r="72" spans="1:32" ht="26.25" customHeight="1" thickBot="1">
      <c r="A72" s="311" t="s">
        <v>259</v>
      </c>
      <c r="B72" s="311"/>
      <c r="C72" s="311"/>
      <c r="D72" s="311"/>
      <c r="E72" s="311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12" t="s">
        <v>113</v>
      </c>
      <c r="B73" s="313"/>
      <c r="C73" s="160" t="s">
        <v>2</v>
      </c>
      <c r="D73" s="160" t="s">
        <v>37</v>
      </c>
      <c r="E73" s="160" t="s">
        <v>3</v>
      </c>
      <c r="F73" s="313" t="s">
        <v>38</v>
      </c>
      <c r="G73" s="313"/>
      <c r="H73" s="313"/>
      <c r="I73" s="313"/>
      <c r="J73" s="313"/>
      <c r="K73" s="333" t="s">
        <v>58</v>
      </c>
      <c r="L73" s="334"/>
      <c r="M73" s="334"/>
      <c r="N73" s="334"/>
      <c r="O73" s="334"/>
      <c r="P73" s="334"/>
      <c r="Q73" s="334"/>
      <c r="R73" s="334"/>
      <c r="S73" s="335"/>
      <c r="T73" s="313" t="s">
        <v>49</v>
      </c>
      <c r="U73" s="313"/>
      <c r="V73" s="333" t="s">
        <v>50</v>
      </c>
      <c r="W73" s="335"/>
      <c r="X73" s="334" t="s">
        <v>51</v>
      </c>
      <c r="Y73" s="334"/>
      <c r="Z73" s="334"/>
      <c r="AA73" s="334"/>
      <c r="AB73" s="334"/>
      <c r="AC73" s="334"/>
      <c r="AD73" s="336"/>
      <c r="AF73" s="53"/>
    </row>
    <row r="74" spans="1:32" ht="33.75" customHeight="1">
      <c r="A74" s="305">
        <v>1</v>
      </c>
      <c r="B74" s="306"/>
      <c r="C74" s="159" t="s">
        <v>114</v>
      </c>
      <c r="D74" s="159"/>
      <c r="E74" s="71" t="s">
        <v>119</v>
      </c>
      <c r="F74" s="320" t="s">
        <v>120</v>
      </c>
      <c r="G74" s="321"/>
      <c r="H74" s="321"/>
      <c r="I74" s="321"/>
      <c r="J74" s="322"/>
      <c r="K74" s="323" t="s">
        <v>115</v>
      </c>
      <c r="L74" s="324"/>
      <c r="M74" s="324"/>
      <c r="N74" s="324"/>
      <c r="O74" s="324"/>
      <c r="P74" s="324"/>
      <c r="Q74" s="324"/>
      <c r="R74" s="324"/>
      <c r="S74" s="325"/>
      <c r="T74" s="326">
        <v>42901</v>
      </c>
      <c r="U74" s="327"/>
      <c r="V74" s="328"/>
      <c r="W74" s="328"/>
      <c r="X74" s="329"/>
      <c r="Y74" s="329"/>
      <c r="Z74" s="329"/>
      <c r="AA74" s="329"/>
      <c r="AB74" s="329"/>
      <c r="AC74" s="329"/>
      <c r="AD74" s="330"/>
      <c r="AF74" s="53"/>
    </row>
    <row r="75" spans="1:32" ht="30" customHeight="1">
      <c r="A75" s="298">
        <f>A74+1</f>
        <v>2</v>
      </c>
      <c r="B75" s="299"/>
      <c r="C75" s="158" t="s">
        <v>114</v>
      </c>
      <c r="D75" s="158"/>
      <c r="E75" s="35" t="s">
        <v>116</v>
      </c>
      <c r="F75" s="299" t="s">
        <v>117</v>
      </c>
      <c r="G75" s="299"/>
      <c r="H75" s="299"/>
      <c r="I75" s="299"/>
      <c r="J75" s="299"/>
      <c r="K75" s="314" t="s">
        <v>118</v>
      </c>
      <c r="L75" s="315"/>
      <c r="M75" s="315"/>
      <c r="N75" s="315"/>
      <c r="O75" s="315"/>
      <c r="P75" s="315"/>
      <c r="Q75" s="315"/>
      <c r="R75" s="315"/>
      <c r="S75" s="316"/>
      <c r="T75" s="317">
        <v>42867</v>
      </c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ref="A76:A82" si="27">A75+1</f>
        <v>3</v>
      </c>
      <c r="B76" s="299"/>
      <c r="C76" s="158"/>
      <c r="D76" s="158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27"/>
        <v>4</v>
      </c>
      <c r="B77" s="299"/>
      <c r="C77" s="158"/>
      <c r="D77" s="158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27"/>
        <v>5</v>
      </c>
      <c r="B78" s="299"/>
      <c r="C78" s="158"/>
      <c r="D78" s="158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27"/>
        <v>6</v>
      </c>
      <c r="B79" s="299"/>
      <c r="C79" s="158"/>
      <c r="D79" s="158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27"/>
        <v>7</v>
      </c>
      <c r="B80" s="299"/>
      <c r="C80" s="158"/>
      <c r="D80" s="158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27"/>
        <v>8</v>
      </c>
      <c r="B81" s="299"/>
      <c r="C81" s="158"/>
      <c r="D81" s="158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0" customHeight="1">
      <c r="A82" s="298">
        <f t="shared" si="27"/>
        <v>9</v>
      </c>
      <c r="B82" s="299"/>
      <c r="C82" s="158"/>
      <c r="D82" s="158"/>
      <c r="E82" s="35"/>
      <c r="F82" s="299"/>
      <c r="G82" s="299"/>
      <c r="H82" s="299"/>
      <c r="I82" s="299"/>
      <c r="J82" s="299"/>
      <c r="K82" s="314"/>
      <c r="L82" s="315"/>
      <c r="M82" s="315"/>
      <c r="N82" s="315"/>
      <c r="O82" s="315"/>
      <c r="P82" s="315"/>
      <c r="Q82" s="315"/>
      <c r="R82" s="315"/>
      <c r="S82" s="316"/>
      <c r="T82" s="317"/>
      <c r="U82" s="317"/>
      <c r="V82" s="317"/>
      <c r="W82" s="317"/>
      <c r="X82" s="318"/>
      <c r="Y82" s="318"/>
      <c r="Z82" s="318"/>
      <c r="AA82" s="318"/>
      <c r="AB82" s="318"/>
      <c r="AC82" s="318"/>
      <c r="AD82" s="319"/>
      <c r="AF82" s="53"/>
    </row>
    <row r="83" spans="1:32" ht="36" thickBot="1">
      <c r="A83" s="311" t="s">
        <v>260</v>
      </c>
      <c r="B83" s="311"/>
      <c r="C83" s="311"/>
      <c r="D83" s="311"/>
      <c r="E83" s="311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12" t="s">
        <v>113</v>
      </c>
      <c r="B84" s="313"/>
      <c r="C84" s="303" t="s">
        <v>52</v>
      </c>
      <c r="D84" s="303"/>
      <c r="E84" s="303" t="s">
        <v>53</v>
      </c>
      <c r="F84" s="303"/>
      <c r="G84" s="303"/>
      <c r="H84" s="303"/>
      <c r="I84" s="303"/>
      <c r="J84" s="303"/>
      <c r="K84" s="303" t="s">
        <v>54</v>
      </c>
      <c r="L84" s="303"/>
      <c r="M84" s="303"/>
      <c r="N84" s="303"/>
      <c r="O84" s="303"/>
      <c r="P84" s="303"/>
      <c r="Q84" s="303"/>
      <c r="R84" s="303"/>
      <c r="S84" s="303"/>
      <c r="T84" s="303" t="s">
        <v>55</v>
      </c>
      <c r="U84" s="303"/>
      <c r="V84" s="303" t="s">
        <v>56</v>
      </c>
      <c r="W84" s="303"/>
      <c r="X84" s="303"/>
      <c r="Y84" s="303" t="s">
        <v>51</v>
      </c>
      <c r="Z84" s="303"/>
      <c r="AA84" s="303"/>
      <c r="AB84" s="303"/>
      <c r="AC84" s="303"/>
      <c r="AD84" s="304"/>
      <c r="AF84" s="53"/>
    </row>
    <row r="85" spans="1:32" ht="30.75" customHeight="1">
      <c r="A85" s="305">
        <v>1</v>
      </c>
      <c r="B85" s="306"/>
      <c r="C85" s="307">
        <v>9</v>
      </c>
      <c r="D85" s="307"/>
      <c r="E85" s="307" t="s">
        <v>141</v>
      </c>
      <c r="F85" s="307"/>
      <c r="G85" s="307"/>
      <c r="H85" s="307"/>
      <c r="I85" s="307"/>
      <c r="J85" s="307"/>
      <c r="K85" s="307" t="s">
        <v>142</v>
      </c>
      <c r="L85" s="307"/>
      <c r="M85" s="307"/>
      <c r="N85" s="307"/>
      <c r="O85" s="307"/>
      <c r="P85" s="307"/>
      <c r="Q85" s="307"/>
      <c r="R85" s="307"/>
      <c r="S85" s="307"/>
      <c r="T85" s="307" t="s">
        <v>143</v>
      </c>
      <c r="U85" s="307"/>
      <c r="V85" s="308">
        <v>11307000</v>
      </c>
      <c r="W85" s="308"/>
      <c r="X85" s="308"/>
      <c r="Y85" s="309"/>
      <c r="Z85" s="309"/>
      <c r="AA85" s="309"/>
      <c r="AB85" s="309"/>
      <c r="AC85" s="309"/>
      <c r="AD85" s="310"/>
      <c r="AF85" s="53"/>
    </row>
    <row r="86" spans="1:32" ht="30.75" customHeight="1">
      <c r="A86" s="298">
        <v>2</v>
      </c>
      <c r="B86" s="299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1"/>
      <c r="U86" s="301"/>
      <c r="V86" s="302"/>
      <c r="W86" s="302"/>
      <c r="X86" s="302"/>
      <c r="Y86" s="291"/>
      <c r="Z86" s="291"/>
      <c r="AA86" s="291"/>
      <c r="AB86" s="291"/>
      <c r="AC86" s="291"/>
      <c r="AD86" s="292"/>
      <c r="AF86" s="53"/>
    </row>
    <row r="87" spans="1:32" ht="30.75" customHeight="1" thickBot="1">
      <c r="A87" s="293">
        <v>3</v>
      </c>
      <c r="B87" s="294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  <c r="Y87" s="296"/>
      <c r="Z87" s="296"/>
      <c r="AA87" s="296"/>
      <c r="AB87" s="296"/>
      <c r="AC87" s="296"/>
      <c r="AD87" s="297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3305-79A5-4C67-B99A-27DD9184B7C5}">
  <sheetPr>
    <pageSetUpPr fitToPage="1"/>
  </sheetPr>
  <dimension ref="A1:AF87"/>
  <sheetViews>
    <sheetView zoomScale="72" zoomScaleNormal="72" zoomScaleSheetLayoutView="70" workbookViewId="0">
      <selection activeCell="D18" sqref="D1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261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169" t="s">
        <v>17</v>
      </c>
      <c r="L5" s="169" t="s">
        <v>18</v>
      </c>
      <c r="M5" s="169" t="s">
        <v>19</v>
      </c>
      <c r="N5" s="16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0.40277777777777773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126</v>
      </c>
      <c r="D7" s="55"/>
      <c r="E7" s="57" t="s">
        <v>127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0.40277777777777773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114</v>
      </c>
      <c r="D8" s="55" t="s">
        <v>219</v>
      </c>
      <c r="E8" s="57" t="s">
        <v>217</v>
      </c>
      <c r="F8" s="33" t="s">
        <v>231</v>
      </c>
      <c r="G8" s="36">
        <v>1</v>
      </c>
      <c r="H8" s="38">
        <v>25</v>
      </c>
      <c r="I8" s="7">
        <v>13000</v>
      </c>
      <c r="J8" s="5">
        <v>3483</v>
      </c>
      <c r="K8" s="15">
        <f>L8+3665+2500</f>
        <v>9648</v>
      </c>
      <c r="L8" s="15">
        <f>3173+310</f>
        <v>3483</v>
      </c>
      <c r="M8" s="16">
        <f t="shared" si="0"/>
        <v>3483</v>
      </c>
      <c r="N8" s="16">
        <v>0</v>
      </c>
      <c r="O8" s="62">
        <f t="shared" si="1"/>
        <v>0</v>
      </c>
      <c r="P8" s="42">
        <f t="shared" si="2"/>
        <v>15</v>
      </c>
      <c r="Q8" s="43">
        <f t="shared" si="3"/>
        <v>9</v>
      </c>
      <c r="R8" s="7"/>
      <c r="S8" s="6">
        <v>9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0.625</v>
      </c>
      <c r="AD8" s="10">
        <f t="shared" si="6"/>
        <v>0.625</v>
      </c>
      <c r="AE8" s="39">
        <f t="shared" si="7"/>
        <v>0.40277777777777773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125</v>
      </c>
      <c r="D9" s="55" t="s">
        <v>131</v>
      </c>
      <c r="E9" s="57" t="s">
        <v>255</v>
      </c>
      <c r="F9" s="12" t="s">
        <v>233</v>
      </c>
      <c r="G9" s="36">
        <v>1</v>
      </c>
      <c r="H9" s="38">
        <v>25</v>
      </c>
      <c r="I9" s="7">
        <v>3000</v>
      </c>
      <c r="J9" s="5">
        <v>4218</v>
      </c>
      <c r="K9" s="15">
        <f>L9</f>
        <v>4218</v>
      </c>
      <c r="L9" s="15">
        <f>2065+2153</f>
        <v>4218</v>
      </c>
      <c r="M9" s="16">
        <f t="shared" si="0"/>
        <v>4218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1</v>
      </c>
      <c r="AD9" s="10">
        <f t="shared" si="6"/>
        <v>1</v>
      </c>
      <c r="AE9" s="39">
        <f t="shared" si="7"/>
        <v>0.40277777777777773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136</v>
      </c>
      <c r="D10" s="55" t="s">
        <v>262</v>
      </c>
      <c r="E10" s="57" t="s">
        <v>263</v>
      </c>
      <c r="F10" s="12" t="s">
        <v>166</v>
      </c>
      <c r="G10" s="12">
        <v>1</v>
      </c>
      <c r="H10" s="13">
        <v>25</v>
      </c>
      <c r="I10" s="7">
        <v>3000</v>
      </c>
      <c r="J10" s="14">
        <v>1577</v>
      </c>
      <c r="K10" s="15">
        <f>L10</f>
        <v>1577</v>
      </c>
      <c r="L10" s="15">
        <f>747+830</f>
        <v>1577</v>
      </c>
      <c r="M10" s="16">
        <f t="shared" si="0"/>
        <v>1577</v>
      </c>
      <c r="N10" s="16">
        <v>0</v>
      </c>
      <c r="O10" s="62">
        <f t="shared" si="1"/>
        <v>0</v>
      </c>
      <c r="P10" s="42">
        <f t="shared" si="2"/>
        <v>11</v>
      </c>
      <c r="Q10" s="43">
        <f t="shared" si="3"/>
        <v>13</v>
      </c>
      <c r="R10" s="7"/>
      <c r="S10" s="6">
        <v>9</v>
      </c>
      <c r="T10" s="17">
        <v>4</v>
      </c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0.45833333333333331</v>
      </c>
      <c r="AD10" s="10">
        <f t="shared" si="6"/>
        <v>0.45833333333333331</v>
      </c>
      <c r="AE10" s="39">
        <f t="shared" si="7"/>
        <v>0.40277777777777773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6500</v>
      </c>
      <c r="J11" s="5">
        <v>2357</v>
      </c>
      <c r="K11" s="15">
        <f>L11+5687+2357</f>
        <v>8044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0.40277777777777773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246</v>
      </c>
      <c r="E12" s="57" t="s">
        <v>221</v>
      </c>
      <c r="F12" s="12" t="s">
        <v>146</v>
      </c>
      <c r="G12" s="12">
        <v>1</v>
      </c>
      <c r="H12" s="13">
        <v>25</v>
      </c>
      <c r="I12" s="7">
        <v>13000</v>
      </c>
      <c r="J12" s="14">
        <v>1187</v>
      </c>
      <c r="K12" s="15">
        <f>L12+397</f>
        <v>1584</v>
      </c>
      <c r="L12" s="15">
        <f>988+199</f>
        <v>1187</v>
      </c>
      <c r="M12" s="16">
        <f t="shared" si="0"/>
        <v>1187</v>
      </c>
      <c r="N12" s="16">
        <v>0</v>
      </c>
      <c r="O12" s="62">
        <f t="shared" si="1"/>
        <v>0</v>
      </c>
      <c r="P12" s="42">
        <f t="shared" si="2"/>
        <v>7</v>
      </c>
      <c r="Q12" s="43">
        <f t="shared" si="3"/>
        <v>17</v>
      </c>
      <c r="R12" s="7"/>
      <c r="S12" s="6">
        <v>17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0.29166666666666669</v>
      </c>
      <c r="AD12" s="10">
        <f t="shared" si="6"/>
        <v>0.29166666666666669</v>
      </c>
      <c r="AE12" s="39">
        <f t="shared" si="7"/>
        <v>0.40277777777777773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136</v>
      </c>
      <c r="D13" s="55" t="s">
        <v>123</v>
      </c>
      <c r="E13" s="57" t="s">
        <v>256</v>
      </c>
      <c r="F13" s="12" t="s">
        <v>146</v>
      </c>
      <c r="G13" s="12">
        <v>1</v>
      </c>
      <c r="H13" s="13">
        <v>25</v>
      </c>
      <c r="I13" s="7">
        <v>10000</v>
      </c>
      <c r="J13" s="14">
        <v>4719</v>
      </c>
      <c r="K13" s="15">
        <f>L13</f>
        <v>4719</v>
      </c>
      <c r="L13" s="15">
        <f>1944+2775</f>
        <v>4719</v>
      </c>
      <c r="M13" s="16">
        <f t="shared" si="0"/>
        <v>4719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1</v>
      </c>
      <c r="AD13" s="10">
        <f t="shared" si="6"/>
        <v>1</v>
      </c>
      <c r="AE13" s="39">
        <f t="shared" si="7"/>
        <v>0.40277777777777773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139</v>
      </c>
      <c r="F14" s="33" t="s">
        <v>138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0.40277777777777773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136</v>
      </c>
      <c r="D15" s="55" t="s">
        <v>131</v>
      </c>
      <c r="E15" s="57" t="s">
        <v>195</v>
      </c>
      <c r="F15" s="12" t="s">
        <v>207</v>
      </c>
      <c r="G15" s="12">
        <v>3</v>
      </c>
      <c r="H15" s="13">
        <v>24</v>
      </c>
      <c r="I15" s="34">
        <v>6000</v>
      </c>
      <c r="J15" s="14">
        <v>7454</v>
      </c>
      <c r="K15" s="15">
        <f>L15+7545</f>
        <v>7545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0.40277777777777773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247</v>
      </c>
      <c r="D16" s="55"/>
      <c r="E16" s="57" t="s">
        <v>264</v>
      </c>
      <c r="F16" s="33" t="s">
        <v>231</v>
      </c>
      <c r="G16" s="36">
        <v>3</v>
      </c>
      <c r="H16" s="38">
        <v>25</v>
      </c>
      <c r="I16" s="7">
        <v>1500</v>
      </c>
      <c r="J16" s="5">
        <v>8658</v>
      </c>
      <c r="K16" s="15">
        <f>L16</f>
        <v>8658</v>
      </c>
      <c r="L16" s="15">
        <f>635*3+2251*3</f>
        <v>8658</v>
      </c>
      <c r="M16" s="16">
        <f t="shared" si="0"/>
        <v>8658</v>
      </c>
      <c r="N16" s="16">
        <v>0</v>
      </c>
      <c r="O16" s="62">
        <f t="shared" si="1"/>
        <v>0</v>
      </c>
      <c r="P16" s="42">
        <f t="shared" si="2"/>
        <v>17</v>
      </c>
      <c r="Q16" s="43">
        <f t="shared" si="3"/>
        <v>7</v>
      </c>
      <c r="R16" s="7"/>
      <c r="S16" s="6">
        <v>7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0.70833333333333337</v>
      </c>
      <c r="AD16" s="10">
        <f t="shared" si="6"/>
        <v>0.70833333333333337</v>
      </c>
      <c r="AE16" s="39">
        <f t="shared" si="7"/>
        <v>0.40277777777777773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156</v>
      </c>
      <c r="E17" s="57" t="s">
        <v>164</v>
      </c>
      <c r="F17" s="12">
        <v>8301</v>
      </c>
      <c r="G17" s="12">
        <v>1</v>
      </c>
      <c r="H17" s="13">
        <v>24</v>
      </c>
      <c r="I17" s="34">
        <v>1500</v>
      </c>
      <c r="J17" s="14">
        <v>1846</v>
      </c>
      <c r="K17" s="15">
        <f>L17+1846</f>
        <v>1846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0.40277777777777773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224</v>
      </c>
      <c r="E18" s="57" t="s">
        <v>225</v>
      </c>
      <c r="F18" s="12" t="s">
        <v>132</v>
      </c>
      <c r="G18" s="36">
        <v>1</v>
      </c>
      <c r="H18" s="38">
        <v>30</v>
      </c>
      <c r="I18" s="7">
        <v>9000</v>
      </c>
      <c r="J18" s="5">
        <v>2009</v>
      </c>
      <c r="K18" s="15">
        <f>L18+4653+5470</f>
        <v>12132</v>
      </c>
      <c r="L18" s="15">
        <v>2009</v>
      </c>
      <c r="M18" s="16">
        <f t="shared" ref="M18" si="9">L18-N18</f>
        <v>2009</v>
      </c>
      <c r="N18" s="16">
        <v>0</v>
      </c>
      <c r="O18" s="62">
        <f t="shared" ref="O18" si="10">IF(L18=0,"0",N18/L18)</f>
        <v>0</v>
      </c>
      <c r="P18" s="42">
        <f t="shared" ref="P18" si="11">IF(L18=0,"0",(24-Q18))</f>
        <v>9</v>
      </c>
      <c r="Q18" s="43">
        <f t="shared" ref="Q18" si="12">SUM(R18:AA18)</f>
        <v>15</v>
      </c>
      <c r="R18" s="7"/>
      <c r="S18" s="6"/>
      <c r="T18" s="17"/>
      <c r="U18" s="17"/>
      <c r="V18" s="18"/>
      <c r="W18" s="19">
        <v>15</v>
      </c>
      <c r="X18" s="17"/>
      <c r="Y18" s="20"/>
      <c r="Z18" s="20"/>
      <c r="AA18" s="21"/>
      <c r="AB18" s="8">
        <f t="shared" ref="AB18" si="13">IF(J18=0,"0",(L18/J18))</f>
        <v>1</v>
      </c>
      <c r="AC18" s="9">
        <f t="shared" ref="AC18" si="14">IF(P18=0,"0",(P18/24))</f>
        <v>0.375</v>
      </c>
      <c r="AD18" s="10">
        <f t="shared" ref="AD18" si="15">AC18*AB18*(1-O18)</f>
        <v>0.375</v>
      </c>
      <c r="AE18" s="39">
        <f t="shared" si="7"/>
        <v>0.40277777777777773</v>
      </c>
      <c r="AF18" s="93">
        <f t="shared" ref="AF18" si="16">A18</f>
        <v>13</v>
      </c>
    </row>
    <row r="19" spans="1:32" ht="27" customHeight="1">
      <c r="A19" s="109">
        <v>13</v>
      </c>
      <c r="B19" s="11" t="s">
        <v>57</v>
      </c>
      <c r="C19" s="37" t="s">
        <v>125</v>
      </c>
      <c r="D19" s="55" t="s">
        <v>219</v>
      </c>
      <c r="E19" s="57" t="s">
        <v>265</v>
      </c>
      <c r="F19" s="12" t="s">
        <v>146</v>
      </c>
      <c r="G19" s="36">
        <v>1</v>
      </c>
      <c r="H19" s="38">
        <v>30</v>
      </c>
      <c r="I19" s="7">
        <v>3000</v>
      </c>
      <c r="J19" s="5">
        <v>3410</v>
      </c>
      <c r="K19" s="15">
        <f>L19</f>
        <v>3410</v>
      </c>
      <c r="L19" s="15">
        <v>3410</v>
      </c>
      <c r="M19" s="16">
        <f t="shared" si="0"/>
        <v>3410</v>
      </c>
      <c r="N19" s="16">
        <v>0</v>
      </c>
      <c r="O19" s="62">
        <f t="shared" si="1"/>
        <v>0</v>
      </c>
      <c r="P19" s="42">
        <f t="shared" si="2"/>
        <v>14</v>
      </c>
      <c r="Q19" s="43">
        <f t="shared" si="3"/>
        <v>10</v>
      </c>
      <c r="R19" s="7"/>
      <c r="S19" s="6"/>
      <c r="T19" s="17">
        <v>10</v>
      </c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0.58333333333333337</v>
      </c>
      <c r="AD19" s="10">
        <f t="shared" si="6"/>
        <v>0.58333333333333337</v>
      </c>
      <c r="AE19" s="39">
        <f t="shared" si="7"/>
        <v>0.40277777777777773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125</v>
      </c>
      <c r="D20" s="55" t="s">
        <v>123</v>
      </c>
      <c r="E20" s="57" t="s">
        <v>234</v>
      </c>
      <c r="F20" s="12" t="s">
        <v>146</v>
      </c>
      <c r="G20" s="36">
        <v>1</v>
      </c>
      <c r="H20" s="38">
        <v>30</v>
      </c>
      <c r="I20" s="7">
        <v>4000</v>
      </c>
      <c r="J20" s="5">
        <v>4566</v>
      </c>
      <c r="K20" s="15">
        <f>L20+3792</f>
        <v>8358</v>
      </c>
      <c r="L20" s="15">
        <f>2543+2023</f>
        <v>4566</v>
      </c>
      <c r="M20" s="16">
        <f t="shared" si="0"/>
        <v>4566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1</v>
      </c>
      <c r="AD20" s="10">
        <f t="shared" si="6"/>
        <v>1</v>
      </c>
      <c r="AE20" s="39">
        <f t="shared" si="7"/>
        <v>0.40277777777777773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151</v>
      </c>
      <c r="F21" s="12" t="s">
        <v>122</v>
      </c>
      <c r="G21" s="12">
        <v>4</v>
      </c>
      <c r="H21" s="38">
        <v>20</v>
      </c>
      <c r="I21" s="7">
        <v>300000</v>
      </c>
      <c r="J21" s="14">
        <v>4524</v>
      </c>
      <c r="K21" s="15">
        <f>L21+20068+24564+48544+43996+30716+19196+21560+23324+19612+4524</f>
        <v>256104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0.40277777777777773</v>
      </c>
      <c r="AF21" s="93">
        <f t="shared" si="8"/>
        <v>15</v>
      </c>
    </row>
    <row r="22" spans="1:32" ht="31.5" customHeight="1" thickBot="1">
      <c r="A22" s="362" t="s">
        <v>34</v>
      </c>
      <c r="B22" s="363"/>
      <c r="C22" s="363"/>
      <c r="D22" s="363"/>
      <c r="E22" s="363"/>
      <c r="F22" s="363"/>
      <c r="G22" s="363"/>
      <c r="H22" s="364"/>
      <c r="I22" s="25">
        <f t="shared" ref="I22:N22" si="17">SUM(I6:I21)</f>
        <v>575500</v>
      </c>
      <c r="J22" s="22">
        <f t="shared" si="17"/>
        <v>88716</v>
      </c>
      <c r="K22" s="23">
        <f t="shared" si="17"/>
        <v>516189</v>
      </c>
      <c r="L22" s="24">
        <f t="shared" si="17"/>
        <v>33827</v>
      </c>
      <c r="M22" s="23">
        <f t="shared" si="17"/>
        <v>33827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145</v>
      </c>
      <c r="Q22" s="46">
        <f t="shared" si="18"/>
        <v>239</v>
      </c>
      <c r="R22" s="26">
        <f t="shared" si="18"/>
        <v>48</v>
      </c>
      <c r="S22" s="27">
        <f t="shared" si="18"/>
        <v>66</v>
      </c>
      <c r="T22" s="27">
        <f t="shared" si="18"/>
        <v>14</v>
      </c>
      <c r="U22" s="27">
        <f t="shared" si="18"/>
        <v>0</v>
      </c>
      <c r="V22" s="28">
        <f t="shared" si="18"/>
        <v>0</v>
      </c>
      <c r="W22" s="29">
        <f t="shared" si="18"/>
        <v>111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</v>
      </c>
      <c r="AC22" s="4">
        <f>SUM(AC6:AC21)/15</f>
        <v>0.40277777777777773</v>
      </c>
      <c r="AD22" s="4">
        <f>SUM(AD6:AD21)/15</f>
        <v>0.40277777777777773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365" t="s">
        <v>45</v>
      </c>
      <c r="B49" s="365"/>
      <c r="C49" s="365"/>
      <c r="D49" s="365"/>
      <c r="E49" s="365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366" t="s">
        <v>266</v>
      </c>
      <c r="B50" s="367"/>
      <c r="C50" s="367"/>
      <c r="D50" s="367"/>
      <c r="E50" s="367"/>
      <c r="F50" s="367"/>
      <c r="G50" s="367"/>
      <c r="H50" s="367"/>
      <c r="I50" s="367"/>
      <c r="J50" s="367"/>
      <c r="K50" s="367"/>
      <c r="L50" s="367"/>
      <c r="M50" s="368"/>
      <c r="N50" s="369" t="s">
        <v>269</v>
      </c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1"/>
    </row>
    <row r="51" spans="1:32" ht="27" customHeight="1">
      <c r="A51" s="372" t="s">
        <v>2</v>
      </c>
      <c r="B51" s="373"/>
      <c r="C51" s="170" t="s">
        <v>46</v>
      </c>
      <c r="D51" s="170" t="s">
        <v>47</v>
      </c>
      <c r="E51" s="170" t="s">
        <v>108</v>
      </c>
      <c r="F51" s="373" t="s">
        <v>107</v>
      </c>
      <c r="G51" s="373"/>
      <c r="H51" s="373"/>
      <c r="I51" s="373"/>
      <c r="J51" s="373"/>
      <c r="K51" s="373"/>
      <c r="L51" s="373"/>
      <c r="M51" s="374"/>
      <c r="N51" s="73" t="s">
        <v>112</v>
      </c>
      <c r="O51" s="170" t="s">
        <v>46</v>
      </c>
      <c r="P51" s="375" t="s">
        <v>47</v>
      </c>
      <c r="Q51" s="376"/>
      <c r="R51" s="375" t="s">
        <v>38</v>
      </c>
      <c r="S51" s="377"/>
      <c r="T51" s="377"/>
      <c r="U51" s="376"/>
      <c r="V51" s="375" t="s">
        <v>48</v>
      </c>
      <c r="W51" s="377"/>
      <c r="X51" s="377"/>
      <c r="Y51" s="377"/>
      <c r="Z51" s="377"/>
      <c r="AA51" s="377"/>
      <c r="AB51" s="377"/>
      <c r="AC51" s="377"/>
      <c r="AD51" s="378"/>
    </row>
    <row r="52" spans="1:32" ht="27" customHeight="1">
      <c r="A52" s="349" t="s">
        <v>114</v>
      </c>
      <c r="B52" s="350"/>
      <c r="C52" s="172" t="s">
        <v>218</v>
      </c>
      <c r="D52" s="172" t="s">
        <v>219</v>
      </c>
      <c r="E52" s="172" t="s">
        <v>217</v>
      </c>
      <c r="F52" s="341" t="s">
        <v>134</v>
      </c>
      <c r="G52" s="341"/>
      <c r="H52" s="341"/>
      <c r="I52" s="341"/>
      <c r="J52" s="341"/>
      <c r="K52" s="341"/>
      <c r="L52" s="341"/>
      <c r="M52" s="351"/>
      <c r="N52" s="171" t="s">
        <v>114</v>
      </c>
      <c r="O52" s="124" t="s">
        <v>145</v>
      </c>
      <c r="P52" s="358" t="s">
        <v>123</v>
      </c>
      <c r="Q52" s="359"/>
      <c r="R52" s="350" t="s">
        <v>221</v>
      </c>
      <c r="S52" s="350"/>
      <c r="T52" s="350"/>
      <c r="U52" s="350"/>
      <c r="V52" s="341" t="s">
        <v>134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136</v>
      </c>
      <c r="B53" s="350"/>
      <c r="C53" s="172" t="s">
        <v>133</v>
      </c>
      <c r="D53" s="172" t="s">
        <v>262</v>
      </c>
      <c r="E53" s="172" t="s">
        <v>263</v>
      </c>
      <c r="F53" s="341" t="s">
        <v>267</v>
      </c>
      <c r="G53" s="341"/>
      <c r="H53" s="341"/>
      <c r="I53" s="341"/>
      <c r="J53" s="341"/>
      <c r="K53" s="341"/>
      <c r="L53" s="341"/>
      <c r="M53" s="351"/>
      <c r="N53" s="171" t="s">
        <v>125</v>
      </c>
      <c r="O53" s="124" t="s">
        <v>170</v>
      </c>
      <c r="P53" s="358" t="s">
        <v>123</v>
      </c>
      <c r="Q53" s="359"/>
      <c r="R53" s="350" t="s">
        <v>270</v>
      </c>
      <c r="S53" s="350"/>
      <c r="T53" s="350"/>
      <c r="U53" s="350"/>
      <c r="V53" s="341" t="s">
        <v>129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125</v>
      </c>
      <c r="B54" s="350"/>
      <c r="C54" s="172" t="s">
        <v>214</v>
      </c>
      <c r="D54" s="172" t="s">
        <v>219</v>
      </c>
      <c r="E54" s="172" t="s">
        <v>265</v>
      </c>
      <c r="F54" s="341" t="s">
        <v>129</v>
      </c>
      <c r="G54" s="341"/>
      <c r="H54" s="341"/>
      <c r="I54" s="341"/>
      <c r="J54" s="341"/>
      <c r="K54" s="341"/>
      <c r="L54" s="341"/>
      <c r="M54" s="351"/>
      <c r="N54" s="171" t="s">
        <v>136</v>
      </c>
      <c r="O54" s="124" t="s">
        <v>133</v>
      </c>
      <c r="P54" s="358" t="s">
        <v>262</v>
      </c>
      <c r="Q54" s="359"/>
      <c r="R54" s="350" t="s">
        <v>263</v>
      </c>
      <c r="S54" s="350"/>
      <c r="T54" s="350"/>
      <c r="U54" s="350"/>
      <c r="V54" s="341" t="s">
        <v>134</v>
      </c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114</v>
      </c>
      <c r="B55" s="350"/>
      <c r="C55" s="172" t="s">
        <v>145</v>
      </c>
      <c r="D55" s="172" t="s">
        <v>246</v>
      </c>
      <c r="E55" s="172" t="s">
        <v>221</v>
      </c>
      <c r="F55" s="341" t="s">
        <v>268</v>
      </c>
      <c r="G55" s="341"/>
      <c r="H55" s="341"/>
      <c r="I55" s="341"/>
      <c r="J55" s="341"/>
      <c r="K55" s="341"/>
      <c r="L55" s="341"/>
      <c r="M55" s="351"/>
      <c r="N55" s="171" t="s">
        <v>114</v>
      </c>
      <c r="O55" s="124" t="s">
        <v>183</v>
      </c>
      <c r="P55" s="350" t="s">
        <v>119</v>
      </c>
      <c r="Q55" s="350"/>
      <c r="R55" s="350" t="s">
        <v>120</v>
      </c>
      <c r="S55" s="350"/>
      <c r="T55" s="350"/>
      <c r="U55" s="350"/>
      <c r="V55" s="341" t="s">
        <v>129</v>
      </c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 t="s">
        <v>247</v>
      </c>
      <c r="B56" s="350"/>
      <c r="C56" s="172" t="s">
        <v>223</v>
      </c>
      <c r="D56" s="172"/>
      <c r="E56" s="172" t="s">
        <v>257</v>
      </c>
      <c r="F56" s="341" t="s">
        <v>129</v>
      </c>
      <c r="G56" s="341"/>
      <c r="H56" s="341"/>
      <c r="I56" s="341"/>
      <c r="J56" s="341"/>
      <c r="K56" s="341"/>
      <c r="L56" s="341"/>
      <c r="M56" s="351"/>
      <c r="N56" s="171"/>
      <c r="O56" s="124"/>
      <c r="P56" s="350"/>
      <c r="Q56" s="350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 t="s">
        <v>136</v>
      </c>
      <c r="B57" s="350"/>
      <c r="C57" s="172" t="s">
        <v>135</v>
      </c>
      <c r="D57" s="172" t="s">
        <v>123</v>
      </c>
      <c r="E57" s="172" t="s">
        <v>256</v>
      </c>
      <c r="F57" s="341" t="s">
        <v>129</v>
      </c>
      <c r="G57" s="341"/>
      <c r="H57" s="341"/>
      <c r="I57" s="341"/>
      <c r="J57" s="341"/>
      <c r="K57" s="341"/>
      <c r="L57" s="341"/>
      <c r="M57" s="351"/>
      <c r="N57" s="171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 t="s">
        <v>125</v>
      </c>
      <c r="B58" s="350"/>
      <c r="C58" s="172" t="s">
        <v>170</v>
      </c>
      <c r="D58" s="172" t="s">
        <v>131</v>
      </c>
      <c r="E58" s="172" t="s">
        <v>255</v>
      </c>
      <c r="F58" s="341" t="s">
        <v>129</v>
      </c>
      <c r="G58" s="341"/>
      <c r="H58" s="341"/>
      <c r="I58" s="341"/>
      <c r="J58" s="341"/>
      <c r="K58" s="341"/>
      <c r="L58" s="341"/>
      <c r="M58" s="351"/>
      <c r="N58" s="171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172"/>
      <c r="D59" s="172"/>
      <c r="E59" s="172"/>
      <c r="F59" s="341"/>
      <c r="G59" s="341"/>
      <c r="H59" s="341"/>
      <c r="I59" s="341"/>
      <c r="J59" s="341"/>
      <c r="K59" s="341"/>
      <c r="L59" s="341"/>
      <c r="M59" s="351"/>
      <c r="N59" s="171"/>
      <c r="O59" s="124"/>
      <c r="P59" s="358"/>
      <c r="Q59" s="359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</row>
    <row r="60" spans="1:32" ht="27" customHeight="1">
      <c r="A60" s="349"/>
      <c r="B60" s="350"/>
      <c r="C60" s="172"/>
      <c r="D60" s="172"/>
      <c r="E60" s="172"/>
      <c r="F60" s="341"/>
      <c r="G60" s="341"/>
      <c r="H60" s="341"/>
      <c r="I60" s="341"/>
      <c r="J60" s="341"/>
      <c r="K60" s="341"/>
      <c r="L60" s="341"/>
      <c r="M60" s="351"/>
      <c r="N60" s="171"/>
      <c r="O60" s="124"/>
      <c r="P60" s="350"/>
      <c r="Q60" s="350"/>
      <c r="R60" s="350"/>
      <c r="S60" s="350"/>
      <c r="T60" s="350"/>
      <c r="U60" s="350"/>
      <c r="V60" s="341"/>
      <c r="W60" s="341"/>
      <c r="X60" s="341"/>
      <c r="Y60" s="341"/>
      <c r="Z60" s="341"/>
      <c r="AA60" s="341"/>
      <c r="AB60" s="341"/>
      <c r="AC60" s="341"/>
      <c r="AD60" s="351"/>
      <c r="AF60" s="93">
        <f>8*3000</f>
        <v>24000</v>
      </c>
    </row>
    <row r="61" spans="1:32" ht="27" customHeight="1" thickBot="1">
      <c r="A61" s="352"/>
      <c r="B61" s="353"/>
      <c r="C61" s="174"/>
      <c r="D61" s="174"/>
      <c r="E61" s="174"/>
      <c r="F61" s="354"/>
      <c r="G61" s="354"/>
      <c r="H61" s="354"/>
      <c r="I61" s="354"/>
      <c r="J61" s="354"/>
      <c r="K61" s="354"/>
      <c r="L61" s="354"/>
      <c r="M61" s="355"/>
      <c r="N61" s="173"/>
      <c r="O61" s="120"/>
      <c r="P61" s="353"/>
      <c r="Q61" s="353"/>
      <c r="R61" s="353"/>
      <c r="S61" s="353"/>
      <c r="T61" s="353"/>
      <c r="U61" s="353"/>
      <c r="V61" s="356"/>
      <c r="W61" s="356"/>
      <c r="X61" s="356"/>
      <c r="Y61" s="356"/>
      <c r="Z61" s="356"/>
      <c r="AA61" s="356"/>
      <c r="AB61" s="356"/>
      <c r="AC61" s="356"/>
      <c r="AD61" s="357"/>
      <c r="AF61" s="93">
        <f>16*3000</f>
        <v>48000</v>
      </c>
    </row>
    <row r="62" spans="1:32" ht="27.75" thickBot="1">
      <c r="A62" s="347" t="s">
        <v>271</v>
      </c>
      <c r="B62" s="347"/>
      <c r="C62" s="347"/>
      <c r="D62" s="347"/>
      <c r="E62" s="34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48" t="s">
        <v>113</v>
      </c>
      <c r="B63" s="345"/>
      <c r="C63" s="175" t="s">
        <v>2</v>
      </c>
      <c r="D63" s="175" t="s">
        <v>37</v>
      </c>
      <c r="E63" s="175" t="s">
        <v>3</v>
      </c>
      <c r="F63" s="345" t="s">
        <v>110</v>
      </c>
      <c r="G63" s="345"/>
      <c r="H63" s="345"/>
      <c r="I63" s="345"/>
      <c r="J63" s="345"/>
      <c r="K63" s="345" t="s">
        <v>39</v>
      </c>
      <c r="L63" s="345"/>
      <c r="M63" s="175" t="s">
        <v>40</v>
      </c>
      <c r="N63" s="345" t="s">
        <v>41</v>
      </c>
      <c r="O63" s="345"/>
      <c r="P63" s="342" t="s">
        <v>42</v>
      </c>
      <c r="Q63" s="344"/>
      <c r="R63" s="342" t="s">
        <v>43</v>
      </c>
      <c r="S63" s="343"/>
      <c r="T63" s="343"/>
      <c r="U63" s="343"/>
      <c r="V63" s="343"/>
      <c r="W63" s="343"/>
      <c r="X63" s="343"/>
      <c r="Y63" s="343"/>
      <c r="Z63" s="343"/>
      <c r="AA63" s="344"/>
      <c r="AB63" s="345" t="s">
        <v>44</v>
      </c>
      <c r="AC63" s="345"/>
      <c r="AD63" s="346"/>
      <c r="AF63" s="93">
        <f>SUM(AF60:AF62)</f>
        <v>96000</v>
      </c>
    </row>
    <row r="64" spans="1:32" ht="25.5" customHeight="1">
      <c r="A64" s="337">
        <v>1</v>
      </c>
      <c r="B64" s="338"/>
      <c r="C64" s="123"/>
      <c r="D64" s="178"/>
      <c r="E64" s="176"/>
      <c r="F64" s="339"/>
      <c r="G64" s="331"/>
      <c r="H64" s="331"/>
      <c r="I64" s="331"/>
      <c r="J64" s="331"/>
      <c r="K64" s="331"/>
      <c r="L64" s="331"/>
      <c r="M64" s="54"/>
      <c r="N64" s="331"/>
      <c r="O64" s="331"/>
      <c r="P64" s="340"/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2</v>
      </c>
      <c r="B65" s="338"/>
      <c r="C65" s="123"/>
      <c r="D65" s="178"/>
      <c r="E65" s="176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3</v>
      </c>
      <c r="B66" s="338"/>
      <c r="C66" s="123"/>
      <c r="D66" s="178"/>
      <c r="E66" s="176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4</v>
      </c>
      <c r="B67" s="338"/>
      <c r="C67" s="123"/>
      <c r="D67" s="178"/>
      <c r="E67" s="176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5</v>
      </c>
      <c r="B68" s="338"/>
      <c r="C68" s="123"/>
      <c r="D68" s="178"/>
      <c r="E68" s="176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6</v>
      </c>
      <c r="B69" s="338"/>
      <c r="C69" s="123"/>
      <c r="D69" s="178"/>
      <c r="E69" s="176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7</v>
      </c>
      <c r="B70" s="338"/>
      <c r="C70" s="123"/>
      <c r="D70" s="178"/>
      <c r="E70" s="176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5.5" customHeight="1">
      <c r="A71" s="337">
        <v>8</v>
      </c>
      <c r="B71" s="338"/>
      <c r="C71" s="123"/>
      <c r="D71" s="178"/>
      <c r="E71" s="176"/>
      <c r="F71" s="339"/>
      <c r="G71" s="331"/>
      <c r="H71" s="331"/>
      <c r="I71" s="331"/>
      <c r="J71" s="331"/>
      <c r="K71" s="331"/>
      <c r="L71" s="331"/>
      <c r="M71" s="54"/>
      <c r="N71" s="331"/>
      <c r="O71" s="331"/>
      <c r="P71" s="340"/>
      <c r="Q71" s="340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31"/>
      <c r="AC71" s="331"/>
      <c r="AD71" s="332"/>
      <c r="AF71" s="53"/>
    </row>
    <row r="72" spans="1:32" ht="26.25" customHeight="1" thickBot="1">
      <c r="A72" s="311" t="s">
        <v>272</v>
      </c>
      <c r="B72" s="311"/>
      <c r="C72" s="311"/>
      <c r="D72" s="311"/>
      <c r="E72" s="311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12" t="s">
        <v>113</v>
      </c>
      <c r="B73" s="313"/>
      <c r="C73" s="177" t="s">
        <v>2</v>
      </c>
      <c r="D73" s="177" t="s">
        <v>37</v>
      </c>
      <c r="E73" s="177" t="s">
        <v>3</v>
      </c>
      <c r="F73" s="313" t="s">
        <v>38</v>
      </c>
      <c r="G73" s="313"/>
      <c r="H73" s="313"/>
      <c r="I73" s="313"/>
      <c r="J73" s="313"/>
      <c r="K73" s="333" t="s">
        <v>58</v>
      </c>
      <c r="L73" s="334"/>
      <c r="M73" s="334"/>
      <c r="N73" s="334"/>
      <c r="O73" s="334"/>
      <c r="P73" s="334"/>
      <c r="Q73" s="334"/>
      <c r="R73" s="334"/>
      <c r="S73" s="335"/>
      <c r="T73" s="313" t="s">
        <v>49</v>
      </c>
      <c r="U73" s="313"/>
      <c r="V73" s="333" t="s">
        <v>50</v>
      </c>
      <c r="W73" s="335"/>
      <c r="X73" s="334" t="s">
        <v>51</v>
      </c>
      <c r="Y73" s="334"/>
      <c r="Z73" s="334"/>
      <c r="AA73" s="334"/>
      <c r="AB73" s="334"/>
      <c r="AC73" s="334"/>
      <c r="AD73" s="336"/>
      <c r="AF73" s="53"/>
    </row>
    <row r="74" spans="1:32" ht="33.75" customHeight="1">
      <c r="A74" s="305">
        <v>1</v>
      </c>
      <c r="B74" s="306"/>
      <c r="C74" s="179" t="s">
        <v>114</v>
      </c>
      <c r="D74" s="179"/>
      <c r="E74" s="71" t="s">
        <v>119</v>
      </c>
      <c r="F74" s="320" t="s">
        <v>120</v>
      </c>
      <c r="G74" s="321"/>
      <c r="H74" s="321"/>
      <c r="I74" s="321"/>
      <c r="J74" s="322"/>
      <c r="K74" s="323" t="s">
        <v>115</v>
      </c>
      <c r="L74" s="324"/>
      <c r="M74" s="324"/>
      <c r="N74" s="324"/>
      <c r="O74" s="324"/>
      <c r="P74" s="324"/>
      <c r="Q74" s="324"/>
      <c r="R74" s="324"/>
      <c r="S74" s="325"/>
      <c r="T74" s="326">
        <v>42901</v>
      </c>
      <c r="U74" s="327"/>
      <c r="V74" s="328"/>
      <c r="W74" s="328"/>
      <c r="X74" s="329"/>
      <c r="Y74" s="329"/>
      <c r="Z74" s="329"/>
      <c r="AA74" s="329"/>
      <c r="AB74" s="329"/>
      <c r="AC74" s="329"/>
      <c r="AD74" s="330"/>
      <c r="AF74" s="53"/>
    </row>
    <row r="75" spans="1:32" ht="30" customHeight="1">
      <c r="A75" s="298">
        <f>A74+1</f>
        <v>2</v>
      </c>
      <c r="B75" s="299"/>
      <c r="C75" s="178" t="s">
        <v>114</v>
      </c>
      <c r="D75" s="178"/>
      <c r="E75" s="35" t="s">
        <v>116</v>
      </c>
      <c r="F75" s="299" t="s">
        <v>117</v>
      </c>
      <c r="G75" s="299"/>
      <c r="H75" s="299"/>
      <c r="I75" s="299"/>
      <c r="J75" s="299"/>
      <c r="K75" s="314" t="s">
        <v>118</v>
      </c>
      <c r="L75" s="315"/>
      <c r="M75" s="315"/>
      <c r="N75" s="315"/>
      <c r="O75" s="315"/>
      <c r="P75" s="315"/>
      <c r="Q75" s="315"/>
      <c r="R75" s="315"/>
      <c r="S75" s="316"/>
      <c r="T75" s="317">
        <v>42867</v>
      </c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ref="A76:A82" si="19">A75+1</f>
        <v>3</v>
      </c>
      <c r="B76" s="299"/>
      <c r="C76" s="178"/>
      <c r="D76" s="178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9"/>
        <v>4</v>
      </c>
      <c r="B77" s="299"/>
      <c r="C77" s="178"/>
      <c r="D77" s="178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9"/>
        <v>5</v>
      </c>
      <c r="B78" s="299"/>
      <c r="C78" s="178"/>
      <c r="D78" s="178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9"/>
        <v>6</v>
      </c>
      <c r="B79" s="299"/>
      <c r="C79" s="178"/>
      <c r="D79" s="178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9"/>
        <v>7</v>
      </c>
      <c r="B80" s="299"/>
      <c r="C80" s="178"/>
      <c r="D80" s="178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9"/>
        <v>8</v>
      </c>
      <c r="B81" s="299"/>
      <c r="C81" s="178"/>
      <c r="D81" s="178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0" customHeight="1">
      <c r="A82" s="298">
        <f t="shared" si="19"/>
        <v>9</v>
      </c>
      <c r="B82" s="299"/>
      <c r="C82" s="178"/>
      <c r="D82" s="178"/>
      <c r="E82" s="35"/>
      <c r="F82" s="299"/>
      <c r="G82" s="299"/>
      <c r="H82" s="299"/>
      <c r="I82" s="299"/>
      <c r="J82" s="299"/>
      <c r="K82" s="314"/>
      <c r="L82" s="315"/>
      <c r="M82" s="315"/>
      <c r="N82" s="315"/>
      <c r="O82" s="315"/>
      <c r="P82" s="315"/>
      <c r="Q82" s="315"/>
      <c r="R82" s="315"/>
      <c r="S82" s="316"/>
      <c r="T82" s="317"/>
      <c r="U82" s="317"/>
      <c r="V82" s="317"/>
      <c r="W82" s="317"/>
      <c r="X82" s="318"/>
      <c r="Y82" s="318"/>
      <c r="Z82" s="318"/>
      <c r="AA82" s="318"/>
      <c r="AB82" s="318"/>
      <c r="AC82" s="318"/>
      <c r="AD82" s="319"/>
      <c r="AF82" s="53"/>
    </row>
    <row r="83" spans="1:32" ht="36" thickBot="1">
      <c r="A83" s="311" t="s">
        <v>273</v>
      </c>
      <c r="B83" s="311"/>
      <c r="C83" s="311"/>
      <c r="D83" s="311"/>
      <c r="E83" s="311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12" t="s">
        <v>113</v>
      </c>
      <c r="B84" s="313"/>
      <c r="C84" s="303" t="s">
        <v>52</v>
      </c>
      <c r="D84" s="303"/>
      <c r="E84" s="303" t="s">
        <v>53</v>
      </c>
      <c r="F84" s="303"/>
      <c r="G84" s="303"/>
      <c r="H84" s="303"/>
      <c r="I84" s="303"/>
      <c r="J84" s="303"/>
      <c r="K84" s="303" t="s">
        <v>54</v>
      </c>
      <c r="L84" s="303"/>
      <c r="M84" s="303"/>
      <c r="N84" s="303"/>
      <c r="O84" s="303"/>
      <c r="P84" s="303"/>
      <c r="Q84" s="303"/>
      <c r="R84" s="303"/>
      <c r="S84" s="303"/>
      <c r="T84" s="303" t="s">
        <v>55</v>
      </c>
      <c r="U84" s="303"/>
      <c r="V84" s="303" t="s">
        <v>56</v>
      </c>
      <c r="W84" s="303"/>
      <c r="X84" s="303"/>
      <c r="Y84" s="303" t="s">
        <v>51</v>
      </c>
      <c r="Z84" s="303"/>
      <c r="AA84" s="303"/>
      <c r="AB84" s="303"/>
      <c r="AC84" s="303"/>
      <c r="AD84" s="304"/>
      <c r="AF84" s="53"/>
    </row>
    <row r="85" spans="1:32" ht="30.75" customHeight="1">
      <c r="A85" s="305">
        <v>1</v>
      </c>
      <c r="B85" s="306"/>
      <c r="C85" s="307">
        <v>9</v>
      </c>
      <c r="D85" s="307"/>
      <c r="E85" s="307" t="s">
        <v>141</v>
      </c>
      <c r="F85" s="307"/>
      <c r="G85" s="307"/>
      <c r="H85" s="307"/>
      <c r="I85" s="307"/>
      <c r="J85" s="307"/>
      <c r="K85" s="307" t="s">
        <v>142</v>
      </c>
      <c r="L85" s="307"/>
      <c r="M85" s="307"/>
      <c r="N85" s="307"/>
      <c r="O85" s="307"/>
      <c r="P85" s="307"/>
      <c r="Q85" s="307"/>
      <c r="R85" s="307"/>
      <c r="S85" s="307"/>
      <c r="T85" s="307" t="s">
        <v>143</v>
      </c>
      <c r="U85" s="307"/>
      <c r="V85" s="308">
        <v>11307000</v>
      </c>
      <c r="W85" s="308"/>
      <c r="X85" s="308"/>
      <c r="Y85" s="309"/>
      <c r="Z85" s="309"/>
      <c r="AA85" s="309"/>
      <c r="AB85" s="309"/>
      <c r="AC85" s="309"/>
      <c r="AD85" s="310"/>
      <c r="AF85" s="53"/>
    </row>
    <row r="86" spans="1:32" ht="30.75" customHeight="1">
      <c r="A86" s="298">
        <v>2</v>
      </c>
      <c r="B86" s="299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1"/>
      <c r="U86" s="301"/>
      <c r="V86" s="302"/>
      <c r="W86" s="302"/>
      <c r="X86" s="302"/>
      <c r="Y86" s="291"/>
      <c r="Z86" s="291"/>
      <c r="AA86" s="291"/>
      <c r="AB86" s="291"/>
      <c r="AC86" s="291"/>
      <c r="AD86" s="292"/>
      <c r="AF86" s="53"/>
    </row>
    <row r="87" spans="1:32" ht="30.75" customHeight="1" thickBot="1">
      <c r="A87" s="293">
        <v>3</v>
      </c>
      <c r="B87" s="294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  <c r="Y87" s="296"/>
      <c r="Z87" s="296"/>
      <c r="AA87" s="296"/>
      <c r="AB87" s="296"/>
      <c r="AC87" s="296"/>
      <c r="AD87" s="297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14AF-B854-414E-8C4B-651B90890F09}">
  <sheetPr>
    <pageSetUpPr fitToPage="1"/>
  </sheetPr>
  <dimension ref="A1:AF86"/>
  <sheetViews>
    <sheetView zoomScale="72" zoomScaleNormal="72" zoomScaleSheetLayoutView="70" workbookViewId="0">
      <selection activeCell="K17" sqref="K1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274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190" t="s">
        <v>17</v>
      </c>
      <c r="L5" s="190" t="s">
        <v>18</v>
      </c>
      <c r="M5" s="190" t="s">
        <v>19</v>
      </c>
      <c r="N5" s="19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0.30555555555555558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0.30555555555555558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114</v>
      </c>
      <c r="D8" s="55" t="s">
        <v>219</v>
      </c>
      <c r="E8" s="57" t="s">
        <v>217</v>
      </c>
      <c r="F8" s="33" t="s">
        <v>231</v>
      </c>
      <c r="G8" s="36">
        <v>1</v>
      </c>
      <c r="H8" s="38">
        <v>25</v>
      </c>
      <c r="I8" s="7">
        <v>13000</v>
      </c>
      <c r="J8" s="5">
        <v>2000</v>
      </c>
      <c r="K8" s="15">
        <f>L8+3665+2500+3483</f>
        <v>11648</v>
      </c>
      <c r="L8" s="15">
        <f>2000</f>
        <v>2000</v>
      </c>
      <c r="M8" s="16">
        <f t="shared" si="0"/>
        <v>2000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>
        <v>14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0.41666666666666669</v>
      </c>
      <c r="AD8" s="10">
        <f t="shared" si="6"/>
        <v>0.41666666666666669</v>
      </c>
      <c r="AE8" s="39">
        <f t="shared" si="7"/>
        <v>0.30555555555555558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125</v>
      </c>
      <c r="D9" s="55" t="s">
        <v>123</v>
      </c>
      <c r="E9" s="57" t="s">
        <v>270</v>
      </c>
      <c r="F9" s="12" t="s">
        <v>146</v>
      </c>
      <c r="G9" s="36">
        <v>1</v>
      </c>
      <c r="H9" s="38">
        <v>25</v>
      </c>
      <c r="I9" s="7">
        <v>3200</v>
      </c>
      <c r="J9" s="5">
        <v>4082</v>
      </c>
      <c r="K9" s="15">
        <f>L9</f>
        <v>4082</v>
      </c>
      <c r="L9" s="15">
        <f>2293+1789</f>
        <v>4082</v>
      </c>
      <c r="M9" s="16">
        <f t="shared" si="0"/>
        <v>4082</v>
      </c>
      <c r="N9" s="16">
        <v>0</v>
      </c>
      <c r="O9" s="62">
        <f t="shared" si="1"/>
        <v>0</v>
      </c>
      <c r="P9" s="42">
        <f t="shared" si="2"/>
        <v>21</v>
      </c>
      <c r="Q9" s="43">
        <f t="shared" si="3"/>
        <v>3</v>
      </c>
      <c r="R9" s="7"/>
      <c r="S9" s="6">
        <v>3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0.875</v>
      </c>
      <c r="AD9" s="10">
        <f t="shared" si="6"/>
        <v>0.875</v>
      </c>
      <c r="AE9" s="39">
        <f t="shared" si="7"/>
        <v>0.30555555555555558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136</v>
      </c>
      <c r="D10" s="55" t="s">
        <v>262</v>
      </c>
      <c r="E10" s="57" t="s">
        <v>263</v>
      </c>
      <c r="F10" s="12" t="s">
        <v>166</v>
      </c>
      <c r="G10" s="12">
        <v>1</v>
      </c>
      <c r="H10" s="13">
        <v>25</v>
      </c>
      <c r="I10" s="7">
        <v>3000</v>
      </c>
      <c r="J10" s="14">
        <v>1577</v>
      </c>
      <c r="K10" s="15">
        <f>L10+1577</f>
        <v>1577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>
        <v>24</v>
      </c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0.30555555555555558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6500</v>
      </c>
      <c r="J11" s="5">
        <v>2357</v>
      </c>
      <c r="K11" s="15">
        <f>L11+5687+2357</f>
        <v>8044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0.30555555555555558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246</v>
      </c>
      <c r="E12" s="57" t="s">
        <v>221</v>
      </c>
      <c r="F12" s="12" t="s">
        <v>146</v>
      </c>
      <c r="G12" s="12">
        <v>1</v>
      </c>
      <c r="H12" s="13">
        <v>25</v>
      </c>
      <c r="I12" s="7">
        <v>13000</v>
      </c>
      <c r="J12" s="14">
        <v>3410</v>
      </c>
      <c r="K12" s="15">
        <f>L12+397+1187</f>
        <v>4994</v>
      </c>
      <c r="L12" s="15">
        <f>2634+776</f>
        <v>3410</v>
      </c>
      <c r="M12" s="16">
        <f t="shared" si="0"/>
        <v>3410</v>
      </c>
      <c r="N12" s="16">
        <v>0</v>
      </c>
      <c r="O12" s="62">
        <f t="shared" si="1"/>
        <v>0</v>
      </c>
      <c r="P12" s="42">
        <f t="shared" si="2"/>
        <v>19</v>
      </c>
      <c r="Q12" s="43">
        <f t="shared" si="3"/>
        <v>5</v>
      </c>
      <c r="R12" s="7"/>
      <c r="S12" s="6">
        <v>5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0.79166666666666663</v>
      </c>
      <c r="AD12" s="10">
        <f t="shared" si="6"/>
        <v>0.79166666666666663</v>
      </c>
      <c r="AE12" s="39">
        <f t="shared" si="7"/>
        <v>0.30555555555555558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136</v>
      </c>
      <c r="D13" s="55" t="s">
        <v>123</v>
      </c>
      <c r="E13" s="57" t="s">
        <v>256</v>
      </c>
      <c r="F13" s="12" t="s">
        <v>146</v>
      </c>
      <c r="G13" s="12">
        <v>1</v>
      </c>
      <c r="H13" s="13">
        <v>25</v>
      </c>
      <c r="I13" s="7">
        <v>10000</v>
      </c>
      <c r="J13" s="14">
        <v>4582</v>
      </c>
      <c r="K13" s="15">
        <f>L13+4719</f>
        <v>9301</v>
      </c>
      <c r="L13" s="15">
        <f>2025+2557</f>
        <v>4582</v>
      </c>
      <c r="M13" s="16">
        <f t="shared" si="0"/>
        <v>4582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1</v>
      </c>
      <c r="AD13" s="10">
        <f t="shared" si="6"/>
        <v>1</v>
      </c>
      <c r="AE13" s="39">
        <f t="shared" si="7"/>
        <v>0.30555555555555558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139</v>
      </c>
      <c r="F14" s="33" t="s">
        <v>138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0.30555555555555558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136</v>
      </c>
      <c r="D15" s="55" t="s">
        <v>131</v>
      </c>
      <c r="E15" s="57" t="s">
        <v>195</v>
      </c>
      <c r="F15" s="12" t="s">
        <v>207</v>
      </c>
      <c r="G15" s="12">
        <v>3</v>
      </c>
      <c r="H15" s="13">
        <v>24</v>
      </c>
      <c r="I15" s="34">
        <v>6000</v>
      </c>
      <c r="J15" s="14">
        <v>7454</v>
      </c>
      <c r="K15" s="15">
        <f>L15+7545</f>
        <v>7545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0.30555555555555558</v>
      </c>
      <c r="AF15" s="93">
        <f t="shared" si="8"/>
        <v>10</v>
      </c>
    </row>
    <row r="16" spans="1:32" ht="27" customHeight="1">
      <c r="A16" s="108">
        <v>11</v>
      </c>
      <c r="B16" s="11"/>
      <c r="C16" s="37"/>
      <c r="D16" s="55"/>
      <c r="E16" s="57"/>
      <c r="F16" s="33"/>
      <c r="G16" s="36"/>
      <c r="H16" s="38"/>
      <c r="I16" s="7"/>
      <c r="J16" s="5"/>
      <c r="K16" s="15">
        <f>L16</f>
        <v>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/>
      <c r="X16" s="17"/>
      <c r="Y16" s="20"/>
      <c r="Z16" s="20"/>
      <c r="AA16" s="21">
        <v>24</v>
      </c>
      <c r="AB16" s="8" t="str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0.30555555555555558</v>
      </c>
      <c r="AF16" s="93">
        <f t="shared" si="8"/>
        <v>11</v>
      </c>
    </row>
    <row r="17" spans="1:32" ht="27" customHeight="1">
      <c r="A17" s="108">
        <v>12</v>
      </c>
      <c r="B17" s="11"/>
      <c r="C17" s="11"/>
      <c r="D17" s="55"/>
      <c r="E17" s="57"/>
      <c r="F17" s="12"/>
      <c r="G17" s="12"/>
      <c r="H17" s="13"/>
      <c r="I17" s="34"/>
      <c r="J17" s="14"/>
      <c r="K17" s="15">
        <f>L17</f>
        <v>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/>
      <c r="X17" s="17"/>
      <c r="Y17" s="20"/>
      <c r="Z17" s="20"/>
      <c r="AA17" s="21">
        <v>24</v>
      </c>
      <c r="AB17" s="8" t="str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0.30555555555555558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125</v>
      </c>
      <c r="D18" s="55" t="s">
        <v>219</v>
      </c>
      <c r="E18" s="57" t="s">
        <v>265</v>
      </c>
      <c r="F18" s="12" t="s">
        <v>146</v>
      </c>
      <c r="G18" s="36">
        <v>1</v>
      </c>
      <c r="H18" s="38">
        <v>30</v>
      </c>
      <c r="I18" s="7">
        <v>3000</v>
      </c>
      <c r="J18" s="5">
        <v>6562</v>
      </c>
      <c r="K18" s="15">
        <f>L18+3410</f>
        <v>9972</v>
      </c>
      <c r="L18" s="15">
        <f>3383+460+2719</f>
        <v>6562</v>
      </c>
      <c r="M18" s="16">
        <f t="shared" si="0"/>
        <v>6562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1</v>
      </c>
      <c r="AD18" s="10">
        <f t="shared" si="6"/>
        <v>1</v>
      </c>
      <c r="AE18" s="39">
        <f t="shared" si="7"/>
        <v>0.30555555555555558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11" t="s">
        <v>136</v>
      </c>
      <c r="D19" s="55" t="s">
        <v>262</v>
      </c>
      <c r="E19" s="57" t="s">
        <v>263</v>
      </c>
      <c r="F19" s="12" t="s">
        <v>166</v>
      </c>
      <c r="G19" s="12">
        <v>1</v>
      </c>
      <c r="H19" s="13">
        <v>25</v>
      </c>
      <c r="I19" s="7">
        <v>3000</v>
      </c>
      <c r="J19" s="14">
        <v>1828</v>
      </c>
      <c r="K19" s="15">
        <f>L19+1577</f>
        <v>3405</v>
      </c>
      <c r="L19" s="15">
        <f>826+1002</f>
        <v>1828</v>
      </c>
      <c r="M19" s="16">
        <f t="shared" ref="M19" si="9">L19-N19</f>
        <v>1828</v>
      </c>
      <c r="N19" s="16">
        <v>0</v>
      </c>
      <c r="O19" s="62">
        <f t="shared" ref="O19" si="10">IF(L19=0,"0",N19/L19)</f>
        <v>0</v>
      </c>
      <c r="P19" s="42">
        <f t="shared" ref="P19" si="11">IF(L19=0,"0",(24-Q19))</f>
        <v>12</v>
      </c>
      <c r="Q19" s="43">
        <f t="shared" ref="Q19" si="12">SUM(R19:AA19)</f>
        <v>12</v>
      </c>
      <c r="R19" s="7"/>
      <c r="S19" s="6"/>
      <c r="T19" s="17"/>
      <c r="U19" s="17"/>
      <c r="V19" s="18"/>
      <c r="W19" s="19">
        <v>12</v>
      </c>
      <c r="X19" s="17"/>
      <c r="Y19" s="20"/>
      <c r="Z19" s="20"/>
      <c r="AA19" s="21"/>
      <c r="AB19" s="8">
        <f t="shared" ref="AB19" si="13">IF(J19=0,"0",(L19/J19))</f>
        <v>1</v>
      </c>
      <c r="AC19" s="9">
        <f t="shared" ref="AC19" si="14">IF(P19=0,"0",(P19/24))</f>
        <v>0.5</v>
      </c>
      <c r="AD19" s="10">
        <f t="shared" ref="AD19" si="15">AC19*AB19*(1-O19)</f>
        <v>0.5</v>
      </c>
      <c r="AE19" s="39">
        <f t="shared" si="7"/>
        <v>0.30555555555555558</v>
      </c>
      <c r="AF19" s="93">
        <f t="shared" ref="AF19" si="16">A19</f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151</v>
      </c>
      <c r="F20" s="12" t="s">
        <v>122</v>
      </c>
      <c r="G20" s="12">
        <v>4</v>
      </c>
      <c r="H20" s="38">
        <v>20</v>
      </c>
      <c r="I20" s="7">
        <v>300000</v>
      </c>
      <c r="J20" s="14">
        <v>4524</v>
      </c>
      <c r="K20" s="15">
        <f>L20+20068+24564+48544+43996+30716+19196+21560+23324+19612+4524</f>
        <v>256104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0.30555555555555558</v>
      </c>
      <c r="AF20" s="93">
        <f t="shared" si="8"/>
        <v>15</v>
      </c>
    </row>
    <row r="21" spans="1:32" ht="31.5" customHeight="1" thickBot="1">
      <c r="A21" s="362" t="s">
        <v>34</v>
      </c>
      <c r="B21" s="363"/>
      <c r="C21" s="363"/>
      <c r="D21" s="363"/>
      <c r="E21" s="363"/>
      <c r="F21" s="363"/>
      <c r="G21" s="363"/>
      <c r="H21" s="364"/>
      <c r="I21" s="25">
        <f t="shared" ref="I21:N21" si="17">SUM(I6:I20)</f>
        <v>361700</v>
      </c>
      <c r="J21" s="22">
        <f t="shared" si="17"/>
        <v>39444</v>
      </c>
      <c r="K21" s="23">
        <f t="shared" si="17"/>
        <v>317740</v>
      </c>
      <c r="L21" s="24">
        <f t="shared" si="17"/>
        <v>22464</v>
      </c>
      <c r="M21" s="23">
        <f t="shared" si="17"/>
        <v>22464</v>
      </c>
      <c r="N21" s="24">
        <f t="shared" si="17"/>
        <v>0</v>
      </c>
      <c r="O21" s="44">
        <f t="shared" si="1"/>
        <v>0</v>
      </c>
      <c r="P21" s="45">
        <f t="shared" ref="P21:AA21" si="18">SUM(P6:P20)</f>
        <v>110</v>
      </c>
      <c r="Q21" s="46">
        <f t="shared" si="18"/>
        <v>250</v>
      </c>
      <c r="R21" s="26">
        <f t="shared" si="18"/>
        <v>48</v>
      </c>
      <c r="S21" s="27">
        <f t="shared" si="18"/>
        <v>46</v>
      </c>
      <c r="T21" s="27">
        <f t="shared" si="18"/>
        <v>0</v>
      </c>
      <c r="U21" s="27">
        <f t="shared" si="18"/>
        <v>0</v>
      </c>
      <c r="V21" s="28">
        <f t="shared" si="18"/>
        <v>24</v>
      </c>
      <c r="W21" s="29">
        <f t="shared" si="18"/>
        <v>84</v>
      </c>
      <c r="X21" s="30">
        <f t="shared" si="18"/>
        <v>0</v>
      </c>
      <c r="Y21" s="30">
        <f t="shared" si="18"/>
        <v>0</v>
      </c>
      <c r="Z21" s="30">
        <f t="shared" si="18"/>
        <v>0</v>
      </c>
      <c r="AA21" s="30">
        <f t="shared" si="18"/>
        <v>48</v>
      </c>
      <c r="AB21" s="31">
        <f>SUM(AB6:AB20)/15</f>
        <v>0.4</v>
      </c>
      <c r="AC21" s="4">
        <f>SUM(AC6:AC20)/15</f>
        <v>0.30555555555555558</v>
      </c>
      <c r="AD21" s="4">
        <f>SUM(AD6:AD20)/15</f>
        <v>0.30555555555555558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5" t="s">
        <v>45</v>
      </c>
      <c r="B48" s="365"/>
      <c r="C48" s="365"/>
      <c r="D48" s="365"/>
      <c r="E48" s="36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66" t="s">
        <v>275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8"/>
      <c r="N49" s="369" t="s">
        <v>279</v>
      </c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1"/>
    </row>
    <row r="50" spans="1:32" ht="27" customHeight="1">
      <c r="A50" s="372" t="s">
        <v>2</v>
      </c>
      <c r="B50" s="373"/>
      <c r="C50" s="189" t="s">
        <v>46</v>
      </c>
      <c r="D50" s="189" t="s">
        <v>47</v>
      </c>
      <c r="E50" s="189" t="s">
        <v>108</v>
      </c>
      <c r="F50" s="373" t="s">
        <v>107</v>
      </c>
      <c r="G50" s="373"/>
      <c r="H50" s="373"/>
      <c r="I50" s="373"/>
      <c r="J50" s="373"/>
      <c r="K50" s="373"/>
      <c r="L50" s="373"/>
      <c r="M50" s="374"/>
      <c r="N50" s="73" t="s">
        <v>112</v>
      </c>
      <c r="O50" s="189" t="s">
        <v>46</v>
      </c>
      <c r="P50" s="375" t="s">
        <v>47</v>
      </c>
      <c r="Q50" s="376"/>
      <c r="R50" s="375" t="s">
        <v>38</v>
      </c>
      <c r="S50" s="377"/>
      <c r="T50" s="377"/>
      <c r="U50" s="376"/>
      <c r="V50" s="375" t="s">
        <v>48</v>
      </c>
      <c r="W50" s="377"/>
      <c r="X50" s="377"/>
      <c r="Y50" s="377"/>
      <c r="Z50" s="377"/>
      <c r="AA50" s="377"/>
      <c r="AB50" s="377"/>
      <c r="AC50" s="377"/>
      <c r="AD50" s="378"/>
    </row>
    <row r="51" spans="1:32" ht="27" customHeight="1">
      <c r="A51" s="349" t="s">
        <v>114</v>
      </c>
      <c r="B51" s="350"/>
      <c r="C51" s="186" t="s">
        <v>218</v>
      </c>
      <c r="D51" s="186" t="s">
        <v>219</v>
      </c>
      <c r="E51" s="186" t="s">
        <v>217</v>
      </c>
      <c r="F51" s="341" t="s">
        <v>250</v>
      </c>
      <c r="G51" s="341"/>
      <c r="H51" s="341"/>
      <c r="I51" s="341"/>
      <c r="J51" s="341"/>
      <c r="K51" s="341"/>
      <c r="L51" s="341"/>
      <c r="M51" s="351"/>
      <c r="N51" s="185" t="s">
        <v>114</v>
      </c>
      <c r="O51" s="124" t="s">
        <v>218</v>
      </c>
      <c r="P51" s="358" t="s">
        <v>219</v>
      </c>
      <c r="Q51" s="359"/>
      <c r="R51" s="350" t="s">
        <v>217</v>
      </c>
      <c r="S51" s="350"/>
      <c r="T51" s="350"/>
      <c r="U51" s="350"/>
      <c r="V51" s="341" t="s">
        <v>134</v>
      </c>
      <c r="W51" s="341"/>
      <c r="X51" s="341"/>
      <c r="Y51" s="341"/>
      <c r="Z51" s="341"/>
      <c r="AA51" s="341"/>
      <c r="AB51" s="341"/>
      <c r="AC51" s="341"/>
      <c r="AD51" s="351"/>
    </row>
    <row r="52" spans="1:32" ht="27" customHeight="1">
      <c r="A52" s="349" t="s">
        <v>136</v>
      </c>
      <c r="B52" s="350"/>
      <c r="C52" s="186" t="s">
        <v>183</v>
      </c>
      <c r="D52" s="186" t="s">
        <v>262</v>
      </c>
      <c r="E52" s="186" t="s">
        <v>263</v>
      </c>
      <c r="F52" s="341" t="s">
        <v>276</v>
      </c>
      <c r="G52" s="341"/>
      <c r="H52" s="341"/>
      <c r="I52" s="341"/>
      <c r="J52" s="341"/>
      <c r="K52" s="341"/>
      <c r="L52" s="341"/>
      <c r="M52" s="351"/>
      <c r="N52" s="185" t="s">
        <v>114</v>
      </c>
      <c r="O52" s="124" t="s">
        <v>183</v>
      </c>
      <c r="P52" s="358" t="s">
        <v>119</v>
      </c>
      <c r="Q52" s="359"/>
      <c r="R52" s="350" t="s">
        <v>120</v>
      </c>
      <c r="S52" s="350"/>
      <c r="T52" s="350"/>
      <c r="U52" s="350"/>
      <c r="V52" s="341" t="s">
        <v>134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125</v>
      </c>
      <c r="B53" s="350"/>
      <c r="C53" s="186" t="s">
        <v>170</v>
      </c>
      <c r="D53" s="186" t="s">
        <v>123</v>
      </c>
      <c r="E53" s="186" t="s">
        <v>270</v>
      </c>
      <c r="F53" s="341" t="s">
        <v>215</v>
      </c>
      <c r="G53" s="341"/>
      <c r="H53" s="341"/>
      <c r="I53" s="341"/>
      <c r="J53" s="341"/>
      <c r="K53" s="341"/>
      <c r="L53" s="341"/>
      <c r="M53" s="351"/>
      <c r="N53" s="185"/>
      <c r="O53" s="124"/>
      <c r="P53" s="358"/>
      <c r="Q53" s="359"/>
      <c r="R53" s="350"/>
      <c r="S53" s="350"/>
      <c r="T53" s="350"/>
      <c r="U53" s="350"/>
      <c r="V53" s="341"/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114</v>
      </c>
      <c r="B54" s="350"/>
      <c r="C54" s="186" t="s">
        <v>145</v>
      </c>
      <c r="D54" s="186" t="s">
        <v>246</v>
      </c>
      <c r="E54" s="186" t="s">
        <v>221</v>
      </c>
      <c r="F54" s="341" t="s">
        <v>277</v>
      </c>
      <c r="G54" s="341"/>
      <c r="H54" s="341"/>
      <c r="I54" s="341"/>
      <c r="J54" s="341"/>
      <c r="K54" s="341"/>
      <c r="L54" s="341"/>
      <c r="M54" s="351"/>
      <c r="N54" s="185"/>
      <c r="O54" s="124"/>
      <c r="P54" s="350"/>
      <c r="Q54" s="350"/>
      <c r="R54" s="350"/>
      <c r="S54" s="350"/>
      <c r="T54" s="350"/>
      <c r="U54" s="350"/>
      <c r="V54" s="341"/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114</v>
      </c>
      <c r="B55" s="350"/>
      <c r="C55" s="186" t="s">
        <v>183</v>
      </c>
      <c r="D55" s="186" t="s">
        <v>119</v>
      </c>
      <c r="E55" s="186" t="s">
        <v>120</v>
      </c>
      <c r="F55" s="341" t="s">
        <v>278</v>
      </c>
      <c r="G55" s="341"/>
      <c r="H55" s="341"/>
      <c r="I55" s="341"/>
      <c r="J55" s="341"/>
      <c r="K55" s="341"/>
      <c r="L55" s="341"/>
      <c r="M55" s="351"/>
      <c r="N55" s="185"/>
      <c r="O55" s="124"/>
      <c r="P55" s="350"/>
      <c r="Q55" s="350"/>
      <c r="R55" s="350"/>
      <c r="S55" s="350"/>
      <c r="T55" s="350"/>
      <c r="U55" s="350"/>
      <c r="V55" s="341"/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/>
      <c r="B56" s="350"/>
      <c r="C56" s="186"/>
      <c r="D56" s="186"/>
      <c r="E56" s="186"/>
      <c r="F56" s="341"/>
      <c r="G56" s="341"/>
      <c r="H56" s="341"/>
      <c r="I56" s="341"/>
      <c r="J56" s="341"/>
      <c r="K56" s="341"/>
      <c r="L56" s="341"/>
      <c r="M56" s="351"/>
      <c r="N56" s="185"/>
      <c r="O56" s="124"/>
      <c r="P56" s="358"/>
      <c r="Q56" s="359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/>
      <c r="B57" s="350"/>
      <c r="C57" s="186"/>
      <c r="D57" s="186"/>
      <c r="E57" s="186"/>
      <c r="F57" s="341"/>
      <c r="G57" s="341"/>
      <c r="H57" s="341"/>
      <c r="I57" s="341"/>
      <c r="J57" s="341"/>
      <c r="K57" s="341"/>
      <c r="L57" s="341"/>
      <c r="M57" s="351"/>
      <c r="N57" s="185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186"/>
      <c r="D58" s="186"/>
      <c r="E58" s="186"/>
      <c r="F58" s="341"/>
      <c r="G58" s="341"/>
      <c r="H58" s="341"/>
      <c r="I58" s="341"/>
      <c r="J58" s="341"/>
      <c r="K58" s="341"/>
      <c r="L58" s="341"/>
      <c r="M58" s="351"/>
      <c r="N58" s="185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186"/>
      <c r="D59" s="186"/>
      <c r="E59" s="186"/>
      <c r="F59" s="341"/>
      <c r="G59" s="341"/>
      <c r="H59" s="341"/>
      <c r="I59" s="341"/>
      <c r="J59" s="341"/>
      <c r="K59" s="341"/>
      <c r="L59" s="341"/>
      <c r="M59" s="351"/>
      <c r="N59" s="185"/>
      <c r="O59" s="124"/>
      <c r="P59" s="350"/>
      <c r="Q59" s="350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  <c r="AF59" s="93">
        <f>8*3000</f>
        <v>24000</v>
      </c>
    </row>
    <row r="60" spans="1:32" ht="27" customHeight="1" thickBot="1">
      <c r="A60" s="352"/>
      <c r="B60" s="353"/>
      <c r="C60" s="188"/>
      <c r="D60" s="188"/>
      <c r="E60" s="188"/>
      <c r="F60" s="354"/>
      <c r="G60" s="354"/>
      <c r="H60" s="354"/>
      <c r="I60" s="354"/>
      <c r="J60" s="354"/>
      <c r="K60" s="354"/>
      <c r="L60" s="354"/>
      <c r="M60" s="355"/>
      <c r="N60" s="187"/>
      <c r="O60" s="120"/>
      <c r="P60" s="353"/>
      <c r="Q60" s="353"/>
      <c r="R60" s="353"/>
      <c r="S60" s="353"/>
      <c r="T60" s="353"/>
      <c r="U60" s="353"/>
      <c r="V60" s="356"/>
      <c r="W60" s="356"/>
      <c r="X60" s="356"/>
      <c r="Y60" s="356"/>
      <c r="Z60" s="356"/>
      <c r="AA60" s="356"/>
      <c r="AB60" s="356"/>
      <c r="AC60" s="356"/>
      <c r="AD60" s="357"/>
      <c r="AF60" s="93">
        <f>16*3000</f>
        <v>48000</v>
      </c>
    </row>
    <row r="61" spans="1:32" ht="27.75" thickBot="1">
      <c r="A61" s="347" t="s">
        <v>289</v>
      </c>
      <c r="B61" s="347"/>
      <c r="C61" s="347"/>
      <c r="D61" s="347"/>
      <c r="E61" s="34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48" t="s">
        <v>113</v>
      </c>
      <c r="B62" s="345"/>
      <c r="C62" s="184" t="s">
        <v>2</v>
      </c>
      <c r="D62" s="184" t="s">
        <v>37</v>
      </c>
      <c r="E62" s="184" t="s">
        <v>3</v>
      </c>
      <c r="F62" s="345" t="s">
        <v>110</v>
      </c>
      <c r="G62" s="345"/>
      <c r="H62" s="345"/>
      <c r="I62" s="345"/>
      <c r="J62" s="345"/>
      <c r="K62" s="345" t="s">
        <v>39</v>
      </c>
      <c r="L62" s="345"/>
      <c r="M62" s="184" t="s">
        <v>40</v>
      </c>
      <c r="N62" s="345" t="s">
        <v>41</v>
      </c>
      <c r="O62" s="345"/>
      <c r="P62" s="342" t="s">
        <v>42</v>
      </c>
      <c r="Q62" s="344"/>
      <c r="R62" s="342" t="s">
        <v>43</v>
      </c>
      <c r="S62" s="343"/>
      <c r="T62" s="343"/>
      <c r="U62" s="343"/>
      <c r="V62" s="343"/>
      <c r="W62" s="343"/>
      <c r="X62" s="343"/>
      <c r="Y62" s="343"/>
      <c r="Z62" s="343"/>
      <c r="AA62" s="344"/>
      <c r="AB62" s="345" t="s">
        <v>44</v>
      </c>
      <c r="AC62" s="345"/>
      <c r="AD62" s="346"/>
      <c r="AF62" s="93">
        <f>SUM(AF59:AF61)</f>
        <v>96000</v>
      </c>
    </row>
    <row r="63" spans="1:32" ht="25.5" customHeight="1">
      <c r="A63" s="337">
        <v>1</v>
      </c>
      <c r="B63" s="338"/>
      <c r="C63" s="123" t="s">
        <v>114</v>
      </c>
      <c r="D63" s="180"/>
      <c r="E63" s="183" t="s">
        <v>123</v>
      </c>
      <c r="F63" s="339" t="s">
        <v>280</v>
      </c>
      <c r="G63" s="331"/>
      <c r="H63" s="331"/>
      <c r="I63" s="331"/>
      <c r="J63" s="331"/>
      <c r="K63" s="331" t="s">
        <v>132</v>
      </c>
      <c r="L63" s="331"/>
      <c r="M63" s="54" t="s">
        <v>281</v>
      </c>
      <c r="N63" s="331">
        <v>11</v>
      </c>
      <c r="O63" s="331"/>
      <c r="P63" s="340">
        <v>50</v>
      </c>
      <c r="Q63" s="340"/>
      <c r="R63" s="341"/>
      <c r="S63" s="341"/>
      <c r="T63" s="341"/>
      <c r="U63" s="341"/>
      <c r="V63" s="341"/>
      <c r="W63" s="341"/>
      <c r="X63" s="341"/>
      <c r="Y63" s="341"/>
      <c r="Z63" s="341"/>
      <c r="AA63" s="341"/>
      <c r="AB63" s="331"/>
      <c r="AC63" s="331"/>
      <c r="AD63" s="332"/>
      <c r="AF63" s="53"/>
    </row>
    <row r="64" spans="1:32" ht="25.5" customHeight="1">
      <c r="A64" s="337">
        <v>2</v>
      </c>
      <c r="B64" s="338"/>
      <c r="C64" s="123" t="s">
        <v>114</v>
      </c>
      <c r="D64" s="180"/>
      <c r="E64" s="183" t="s">
        <v>152</v>
      </c>
      <c r="F64" s="339" t="s">
        <v>283</v>
      </c>
      <c r="G64" s="331"/>
      <c r="H64" s="331"/>
      <c r="I64" s="331"/>
      <c r="J64" s="331"/>
      <c r="K64" s="331" t="s">
        <v>132</v>
      </c>
      <c r="L64" s="331"/>
      <c r="M64" s="54" t="s">
        <v>281</v>
      </c>
      <c r="N64" s="331">
        <v>11</v>
      </c>
      <c r="O64" s="331"/>
      <c r="P64" s="340">
        <v>50</v>
      </c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3</v>
      </c>
      <c r="B65" s="338"/>
      <c r="C65" s="123" t="s">
        <v>125</v>
      </c>
      <c r="D65" s="180"/>
      <c r="E65" s="183" t="s">
        <v>285</v>
      </c>
      <c r="F65" s="339" t="s">
        <v>284</v>
      </c>
      <c r="G65" s="331"/>
      <c r="H65" s="331"/>
      <c r="I65" s="331"/>
      <c r="J65" s="331"/>
      <c r="K65" s="331">
        <v>8301</v>
      </c>
      <c r="L65" s="331"/>
      <c r="M65" s="54" t="s">
        <v>282</v>
      </c>
      <c r="N65" s="331">
        <v>12</v>
      </c>
      <c r="O65" s="331"/>
      <c r="P65" s="340">
        <v>50</v>
      </c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4</v>
      </c>
      <c r="B66" s="338"/>
      <c r="C66" s="123"/>
      <c r="D66" s="180"/>
      <c r="E66" s="183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5</v>
      </c>
      <c r="B67" s="338"/>
      <c r="C67" s="123"/>
      <c r="D67" s="180"/>
      <c r="E67" s="183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6</v>
      </c>
      <c r="B68" s="338"/>
      <c r="C68" s="123"/>
      <c r="D68" s="180"/>
      <c r="E68" s="183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7</v>
      </c>
      <c r="B69" s="338"/>
      <c r="C69" s="123"/>
      <c r="D69" s="180"/>
      <c r="E69" s="183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8</v>
      </c>
      <c r="B70" s="338"/>
      <c r="C70" s="123"/>
      <c r="D70" s="180"/>
      <c r="E70" s="183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6.25" customHeight="1" thickBot="1">
      <c r="A71" s="311" t="s">
        <v>288</v>
      </c>
      <c r="B71" s="311"/>
      <c r="C71" s="311"/>
      <c r="D71" s="311"/>
      <c r="E71" s="311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12" t="s">
        <v>113</v>
      </c>
      <c r="B72" s="313"/>
      <c r="C72" s="182" t="s">
        <v>2</v>
      </c>
      <c r="D72" s="182" t="s">
        <v>37</v>
      </c>
      <c r="E72" s="182" t="s">
        <v>3</v>
      </c>
      <c r="F72" s="313" t="s">
        <v>38</v>
      </c>
      <c r="G72" s="313"/>
      <c r="H72" s="313"/>
      <c r="I72" s="313"/>
      <c r="J72" s="313"/>
      <c r="K72" s="333" t="s">
        <v>58</v>
      </c>
      <c r="L72" s="334"/>
      <c r="M72" s="334"/>
      <c r="N72" s="334"/>
      <c r="O72" s="334"/>
      <c r="P72" s="334"/>
      <c r="Q72" s="334"/>
      <c r="R72" s="334"/>
      <c r="S72" s="335"/>
      <c r="T72" s="313" t="s">
        <v>49</v>
      </c>
      <c r="U72" s="313"/>
      <c r="V72" s="333" t="s">
        <v>50</v>
      </c>
      <c r="W72" s="335"/>
      <c r="X72" s="334" t="s">
        <v>51</v>
      </c>
      <c r="Y72" s="334"/>
      <c r="Z72" s="334"/>
      <c r="AA72" s="334"/>
      <c r="AB72" s="334"/>
      <c r="AC72" s="334"/>
      <c r="AD72" s="336"/>
      <c r="AF72" s="53"/>
    </row>
    <row r="73" spans="1:32" ht="33.75" customHeight="1">
      <c r="A73" s="305">
        <v>1</v>
      </c>
      <c r="B73" s="306"/>
      <c r="C73" s="181" t="s">
        <v>114</v>
      </c>
      <c r="D73" s="181"/>
      <c r="E73" s="71" t="s">
        <v>119</v>
      </c>
      <c r="F73" s="320" t="s">
        <v>120</v>
      </c>
      <c r="G73" s="321"/>
      <c r="H73" s="321"/>
      <c r="I73" s="321"/>
      <c r="J73" s="322"/>
      <c r="K73" s="323" t="s">
        <v>115</v>
      </c>
      <c r="L73" s="324"/>
      <c r="M73" s="324"/>
      <c r="N73" s="324"/>
      <c r="O73" s="324"/>
      <c r="P73" s="324"/>
      <c r="Q73" s="324"/>
      <c r="R73" s="324"/>
      <c r="S73" s="325"/>
      <c r="T73" s="326">
        <v>43383</v>
      </c>
      <c r="U73" s="327"/>
      <c r="V73" s="328"/>
      <c r="W73" s="328"/>
      <c r="X73" s="329"/>
      <c r="Y73" s="329"/>
      <c r="Z73" s="329"/>
      <c r="AA73" s="329"/>
      <c r="AB73" s="329"/>
      <c r="AC73" s="329"/>
      <c r="AD73" s="330"/>
      <c r="AF73" s="53"/>
    </row>
    <row r="74" spans="1:32" ht="30" customHeight="1">
      <c r="A74" s="298">
        <f>A73+1</f>
        <v>2</v>
      </c>
      <c r="B74" s="299"/>
      <c r="C74" s="180" t="s">
        <v>114</v>
      </c>
      <c r="D74" s="180"/>
      <c r="E74" s="35" t="s">
        <v>219</v>
      </c>
      <c r="F74" s="299" t="s">
        <v>217</v>
      </c>
      <c r="G74" s="299"/>
      <c r="H74" s="299"/>
      <c r="I74" s="299"/>
      <c r="J74" s="299"/>
      <c r="K74" s="314" t="s">
        <v>286</v>
      </c>
      <c r="L74" s="315"/>
      <c r="M74" s="315"/>
      <c r="N74" s="315"/>
      <c r="O74" s="315"/>
      <c r="P74" s="315"/>
      <c r="Q74" s="315"/>
      <c r="R74" s="315"/>
      <c r="S74" s="316"/>
      <c r="T74" s="317">
        <v>43383</v>
      </c>
      <c r="U74" s="317"/>
      <c r="V74" s="317"/>
      <c r="W74" s="317"/>
      <c r="X74" s="318"/>
      <c r="Y74" s="318"/>
      <c r="Z74" s="318"/>
      <c r="AA74" s="318"/>
      <c r="AB74" s="318"/>
      <c r="AC74" s="318"/>
      <c r="AD74" s="319"/>
      <c r="AF74" s="53"/>
    </row>
    <row r="75" spans="1:32" ht="30" customHeight="1">
      <c r="A75" s="298">
        <f t="shared" ref="A75:A81" si="19">A74+1</f>
        <v>3</v>
      </c>
      <c r="B75" s="299"/>
      <c r="C75" s="180"/>
      <c r="D75" s="180"/>
      <c r="E75" s="35"/>
      <c r="F75" s="299"/>
      <c r="G75" s="299"/>
      <c r="H75" s="299"/>
      <c r="I75" s="299"/>
      <c r="J75" s="299"/>
      <c r="K75" s="314"/>
      <c r="L75" s="315"/>
      <c r="M75" s="315"/>
      <c r="N75" s="315"/>
      <c r="O75" s="315"/>
      <c r="P75" s="315"/>
      <c r="Q75" s="315"/>
      <c r="R75" s="315"/>
      <c r="S75" s="316"/>
      <c r="T75" s="317"/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si="19"/>
        <v>4</v>
      </c>
      <c r="B76" s="299"/>
      <c r="C76" s="180"/>
      <c r="D76" s="180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9"/>
        <v>5</v>
      </c>
      <c r="B77" s="299"/>
      <c r="C77" s="180"/>
      <c r="D77" s="180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9"/>
        <v>6</v>
      </c>
      <c r="B78" s="299"/>
      <c r="C78" s="180"/>
      <c r="D78" s="180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9"/>
        <v>7</v>
      </c>
      <c r="B79" s="299"/>
      <c r="C79" s="180"/>
      <c r="D79" s="180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9"/>
        <v>8</v>
      </c>
      <c r="B80" s="299"/>
      <c r="C80" s="180"/>
      <c r="D80" s="180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9"/>
        <v>9</v>
      </c>
      <c r="B81" s="299"/>
      <c r="C81" s="180"/>
      <c r="D81" s="180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6" thickBot="1">
      <c r="A82" s="311" t="s">
        <v>287</v>
      </c>
      <c r="B82" s="311"/>
      <c r="C82" s="311"/>
      <c r="D82" s="311"/>
      <c r="E82" s="311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12" t="s">
        <v>113</v>
      </c>
      <c r="B83" s="313"/>
      <c r="C83" s="303" t="s">
        <v>52</v>
      </c>
      <c r="D83" s="303"/>
      <c r="E83" s="303" t="s">
        <v>53</v>
      </c>
      <c r="F83" s="303"/>
      <c r="G83" s="303"/>
      <c r="H83" s="303"/>
      <c r="I83" s="303"/>
      <c r="J83" s="303"/>
      <c r="K83" s="303" t="s">
        <v>54</v>
      </c>
      <c r="L83" s="303"/>
      <c r="M83" s="303"/>
      <c r="N83" s="303"/>
      <c r="O83" s="303"/>
      <c r="P83" s="303"/>
      <c r="Q83" s="303"/>
      <c r="R83" s="303"/>
      <c r="S83" s="303"/>
      <c r="T83" s="303" t="s">
        <v>55</v>
      </c>
      <c r="U83" s="303"/>
      <c r="V83" s="303" t="s">
        <v>56</v>
      </c>
      <c r="W83" s="303"/>
      <c r="X83" s="303"/>
      <c r="Y83" s="303" t="s">
        <v>51</v>
      </c>
      <c r="Z83" s="303"/>
      <c r="AA83" s="303"/>
      <c r="AB83" s="303"/>
      <c r="AC83" s="303"/>
      <c r="AD83" s="304"/>
      <c r="AF83" s="53"/>
    </row>
    <row r="84" spans="1:32" ht="30.75" customHeight="1">
      <c r="A84" s="305">
        <v>1</v>
      </c>
      <c r="B84" s="306"/>
      <c r="C84" s="307">
        <v>9</v>
      </c>
      <c r="D84" s="307"/>
      <c r="E84" s="307" t="s">
        <v>141</v>
      </c>
      <c r="F84" s="307"/>
      <c r="G84" s="307"/>
      <c r="H84" s="307"/>
      <c r="I84" s="307"/>
      <c r="J84" s="307"/>
      <c r="K84" s="307" t="s">
        <v>142</v>
      </c>
      <c r="L84" s="307"/>
      <c r="M84" s="307"/>
      <c r="N84" s="307"/>
      <c r="O84" s="307"/>
      <c r="P84" s="307"/>
      <c r="Q84" s="307"/>
      <c r="R84" s="307"/>
      <c r="S84" s="307"/>
      <c r="T84" s="307" t="s">
        <v>143</v>
      </c>
      <c r="U84" s="307"/>
      <c r="V84" s="308">
        <v>11307000</v>
      </c>
      <c r="W84" s="308"/>
      <c r="X84" s="308"/>
      <c r="Y84" s="309"/>
      <c r="Z84" s="309"/>
      <c r="AA84" s="309"/>
      <c r="AB84" s="309"/>
      <c r="AC84" s="309"/>
      <c r="AD84" s="310"/>
      <c r="AF84" s="53"/>
    </row>
    <row r="85" spans="1:32" ht="30.75" customHeight="1">
      <c r="A85" s="298">
        <v>2</v>
      </c>
      <c r="B85" s="299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1"/>
      <c r="U85" s="301"/>
      <c r="V85" s="302"/>
      <c r="W85" s="302"/>
      <c r="X85" s="302"/>
      <c r="Y85" s="291"/>
      <c r="Z85" s="291"/>
      <c r="AA85" s="291"/>
      <c r="AB85" s="291"/>
      <c r="AC85" s="291"/>
      <c r="AD85" s="292"/>
      <c r="AF85" s="53"/>
    </row>
    <row r="86" spans="1:32" ht="30.75" customHeight="1" thickBot="1">
      <c r="A86" s="293">
        <v>3</v>
      </c>
      <c r="B86" s="294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6"/>
      <c r="Z86" s="296"/>
      <c r="AA86" s="296"/>
      <c r="AB86" s="296"/>
      <c r="AC86" s="296"/>
      <c r="AD86" s="29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B96F-4AB4-42EA-97B0-82D12A898259}">
  <sheetPr>
    <pageSetUpPr fitToPage="1"/>
  </sheetPr>
  <dimension ref="A1:AF86"/>
  <sheetViews>
    <sheetView zoomScale="72" zoomScaleNormal="72" zoomScaleSheetLayoutView="70" workbookViewId="0">
      <selection activeCell="Y9" sqref="Y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290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191" t="s">
        <v>17</v>
      </c>
      <c r="L5" s="191" t="s">
        <v>18</v>
      </c>
      <c r="M5" s="191" t="s">
        <v>19</v>
      </c>
      <c r="N5" s="19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5.5555555555555559E-2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5.5555555555555559E-2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114</v>
      </c>
      <c r="D8" s="55" t="s">
        <v>219</v>
      </c>
      <c r="E8" s="57" t="s">
        <v>217</v>
      </c>
      <c r="F8" s="33" t="s">
        <v>231</v>
      </c>
      <c r="G8" s="36">
        <v>1</v>
      </c>
      <c r="H8" s="38">
        <v>25</v>
      </c>
      <c r="I8" s="7">
        <v>13000</v>
      </c>
      <c r="J8" s="5">
        <v>1207</v>
      </c>
      <c r="K8" s="15">
        <f>L8+3665+2500+3483+2000</f>
        <v>12855</v>
      </c>
      <c r="L8" s="15">
        <v>1207</v>
      </c>
      <c r="M8" s="16">
        <f t="shared" si="0"/>
        <v>1207</v>
      </c>
      <c r="N8" s="16">
        <v>0</v>
      </c>
      <c r="O8" s="62">
        <f t="shared" si="1"/>
        <v>0</v>
      </c>
      <c r="P8" s="42">
        <f t="shared" si="2"/>
        <v>4</v>
      </c>
      <c r="Q8" s="43">
        <f t="shared" si="3"/>
        <v>20</v>
      </c>
      <c r="R8" s="7"/>
      <c r="S8" s="6">
        <v>2</v>
      </c>
      <c r="T8" s="17"/>
      <c r="U8" s="17"/>
      <c r="V8" s="18">
        <v>18</v>
      </c>
      <c r="W8" s="19"/>
      <c r="X8" s="17"/>
      <c r="Y8" s="20"/>
      <c r="Z8" s="20"/>
      <c r="AA8" s="21"/>
      <c r="AB8" s="8">
        <f t="shared" si="4"/>
        <v>1</v>
      </c>
      <c r="AC8" s="9">
        <f t="shared" si="5"/>
        <v>0.16666666666666666</v>
      </c>
      <c r="AD8" s="10">
        <f t="shared" si="6"/>
        <v>0.16666666666666666</v>
      </c>
      <c r="AE8" s="39">
        <f t="shared" si="7"/>
        <v>5.5555555555555559E-2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125</v>
      </c>
      <c r="D9" s="55" t="s">
        <v>123</v>
      </c>
      <c r="E9" s="57" t="s">
        <v>270</v>
      </c>
      <c r="F9" s="12" t="s">
        <v>146</v>
      </c>
      <c r="G9" s="36">
        <v>1</v>
      </c>
      <c r="H9" s="38">
        <v>25</v>
      </c>
      <c r="I9" s="7">
        <v>3200</v>
      </c>
      <c r="J9" s="5">
        <v>4082</v>
      </c>
      <c r="K9" s="15">
        <f>L9+4082</f>
        <v>4082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5.5555555555555559E-2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136</v>
      </c>
      <c r="D10" s="55" t="s">
        <v>262</v>
      </c>
      <c r="E10" s="57" t="s">
        <v>263</v>
      </c>
      <c r="F10" s="12" t="s">
        <v>166</v>
      </c>
      <c r="G10" s="12">
        <v>1</v>
      </c>
      <c r="H10" s="13">
        <v>25</v>
      </c>
      <c r="I10" s="7">
        <v>3000</v>
      </c>
      <c r="J10" s="14">
        <v>1577</v>
      </c>
      <c r="K10" s="15">
        <f>L10+1577</f>
        <v>1577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>
        <v>24</v>
      </c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5.5555555555555559E-2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6500</v>
      </c>
      <c r="J11" s="5">
        <v>2357</v>
      </c>
      <c r="K11" s="15">
        <f>L11+5687+2357</f>
        <v>8044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5.5555555555555559E-2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246</v>
      </c>
      <c r="E12" s="57" t="s">
        <v>221</v>
      </c>
      <c r="F12" s="12" t="s">
        <v>146</v>
      </c>
      <c r="G12" s="12">
        <v>1</v>
      </c>
      <c r="H12" s="13">
        <v>25</v>
      </c>
      <c r="I12" s="7">
        <v>13000</v>
      </c>
      <c r="J12" s="14">
        <v>1354</v>
      </c>
      <c r="K12" s="15">
        <f>L12+397+1187+3410</f>
        <v>6348</v>
      </c>
      <c r="L12" s="15">
        <v>1354</v>
      </c>
      <c r="M12" s="16">
        <f t="shared" si="0"/>
        <v>1354</v>
      </c>
      <c r="N12" s="16">
        <v>0</v>
      </c>
      <c r="O12" s="62">
        <f t="shared" si="1"/>
        <v>0</v>
      </c>
      <c r="P12" s="42">
        <f t="shared" si="2"/>
        <v>5</v>
      </c>
      <c r="Q12" s="43">
        <f t="shared" si="3"/>
        <v>19</v>
      </c>
      <c r="R12" s="7"/>
      <c r="S12" s="6">
        <v>1</v>
      </c>
      <c r="T12" s="17"/>
      <c r="U12" s="17"/>
      <c r="V12" s="18">
        <v>18</v>
      </c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0.20833333333333334</v>
      </c>
      <c r="AD12" s="10">
        <f t="shared" si="6"/>
        <v>0.20833333333333334</v>
      </c>
      <c r="AE12" s="39">
        <f t="shared" si="7"/>
        <v>5.5555555555555559E-2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136</v>
      </c>
      <c r="D13" s="55" t="s">
        <v>123</v>
      </c>
      <c r="E13" s="57" t="s">
        <v>256</v>
      </c>
      <c r="F13" s="12" t="s">
        <v>146</v>
      </c>
      <c r="G13" s="12">
        <v>1</v>
      </c>
      <c r="H13" s="13">
        <v>25</v>
      </c>
      <c r="I13" s="7">
        <v>10000</v>
      </c>
      <c r="J13" s="14">
        <v>1374</v>
      </c>
      <c r="K13" s="15">
        <f>L13+4719+4582</f>
        <v>10675</v>
      </c>
      <c r="L13" s="15">
        <v>1374</v>
      </c>
      <c r="M13" s="16">
        <f t="shared" si="0"/>
        <v>1374</v>
      </c>
      <c r="N13" s="16">
        <v>0</v>
      </c>
      <c r="O13" s="62">
        <f t="shared" si="1"/>
        <v>0</v>
      </c>
      <c r="P13" s="42">
        <f t="shared" si="2"/>
        <v>5</v>
      </c>
      <c r="Q13" s="43">
        <f t="shared" si="3"/>
        <v>19</v>
      </c>
      <c r="R13" s="7"/>
      <c r="S13" s="6"/>
      <c r="T13" s="17"/>
      <c r="U13" s="17"/>
      <c r="V13" s="18"/>
      <c r="W13" s="19">
        <v>19</v>
      </c>
      <c r="X13" s="17"/>
      <c r="Y13" s="20"/>
      <c r="Z13" s="20"/>
      <c r="AA13" s="21"/>
      <c r="AB13" s="8">
        <f t="shared" si="4"/>
        <v>1</v>
      </c>
      <c r="AC13" s="9">
        <f t="shared" si="5"/>
        <v>0.20833333333333334</v>
      </c>
      <c r="AD13" s="10">
        <f t="shared" si="6"/>
        <v>0.20833333333333334</v>
      </c>
      <c r="AE13" s="39">
        <f t="shared" si="7"/>
        <v>5.5555555555555559E-2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139</v>
      </c>
      <c r="F14" s="33" t="s">
        <v>138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5.5555555555555559E-2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136</v>
      </c>
      <c r="D15" s="55" t="s">
        <v>131</v>
      </c>
      <c r="E15" s="57" t="s">
        <v>195</v>
      </c>
      <c r="F15" s="12" t="s">
        <v>207</v>
      </c>
      <c r="G15" s="12">
        <v>3</v>
      </c>
      <c r="H15" s="13">
        <v>24</v>
      </c>
      <c r="I15" s="34">
        <v>6000</v>
      </c>
      <c r="J15" s="14">
        <v>7454</v>
      </c>
      <c r="K15" s="15">
        <f>L15+7545</f>
        <v>7545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5.5555555555555559E-2</v>
      </c>
      <c r="AF15" s="93">
        <f t="shared" si="8"/>
        <v>10</v>
      </c>
    </row>
    <row r="16" spans="1:32" ht="27" customHeight="1">
      <c r="A16" s="108">
        <v>11</v>
      </c>
      <c r="B16" s="11"/>
      <c r="C16" s="37"/>
      <c r="D16" s="55"/>
      <c r="E16" s="57"/>
      <c r="F16" s="33"/>
      <c r="G16" s="36"/>
      <c r="H16" s="38"/>
      <c r="I16" s="7"/>
      <c r="J16" s="5"/>
      <c r="K16" s="15">
        <f>L16</f>
        <v>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/>
      <c r="X16" s="17"/>
      <c r="Y16" s="20"/>
      <c r="Z16" s="20"/>
      <c r="AA16" s="21">
        <v>24</v>
      </c>
      <c r="AB16" s="8" t="str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5.5555555555555559E-2</v>
      </c>
      <c r="AF16" s="93">
        <f t="shared" si="8"/>
        <v>11</v>
      </c>
    </row>
    <row r="17" spans="1:32" ht="27" customHeight="1">
      <c r="A17" s="108">
        <v>12</v>
      </c>
      <c r="B17" s="11"/>
      <c r="C17" s="11"/>
      <c r="D17" s="55"/>
      <c r="E17" s="57"/>
      <c r="F17" s="12"/>
      <c r="G17" s="12"/>
      <c r="H17" s="13"/>
      <c r="I17" s="34"/>
      <c r="J17" s="14"/>
      <c r="K17" s="15">
        <f>L17</f>
        <v>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/>
      <c r="X17" s="17"/>
      <c r="Y17" s="20"/>
      <c r="Z17" s="20"/>
      <c r="AA17" s="21">
        <v>24</v>
      </c>
      <c r="AB17" s="8" t="str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5.5555555555555559E-2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125</v>
      </c>
      <c r="D18" s="55" t="s">
        <v>219</v>
      </c>
      <c r="E18" s="57" t="s">
        <v>265</v>
      </c>
      <c r="F18" s="12" t="s">
        <v>146</v>
      </c>
      <c r="G18" s="36">
        <v>1</v>
      </c>
      <c r="H18" s="38">
        <v>30</v>
      </c>
      <c r="I18" s="7">
        <v>3000</v>
      </c>
      <c r="J18" s="5">
        <v>6562</v>
      </c>
      <c r="K18" s="15">
        <f>L18+3410+6562</f>
        <v>9972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5.5555555555555559E-2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11" t="s">
        <v>114</v>
      </c>
      <c r="D19" s="55" t="s">
        <v>119</v>
      </c>
      <c r="E19" s="57" t="s">
        <v>120</v>
      </c>
      <c r="F19" s="12" t="s">
        <v>291</v>
      </c>
      <c r="G19" s="12">
        <v>1</v>
      </c>
      <c r="H19" s="13">
        <v>25</v>
      </c>
      <c r="I19" s="7">
        <v>500</v>
      </c>
      <c r="J19" s="14">
        <v>1475</v>
      </c>
      <c r="K19" s="15">
        <f>L19</f>
        <v>1475</v>
      </c>
      <c r="L19" s="15">
        <f>1475</f>
        <v>1475</v>
      </c>
      <c r="M19" s="16">
        <f t="shared" si="0"/>
        <v>1475</v>
      </c>
      <c r="N19" s="16">
        <v>0</v>
      </c>
      <c r="O19" s="62">
        <f t="shared" si="1"/>
        <v>0</v>
      </c>
      <c r="P19" s="42">
        <f t="shared" si="2"/>
        <v>6</v>
      </c>
      <c r="Q19" s="43">
        <f t="shared" si="3"/>
        <v>18</v>
      </c>
      <c r="R19" s="7"/>
      <c r="S19" s="6"/>
      <c r="T19" s="17"/>
      <c r="U19" s="17"/>
      <c r="V19" s="18">
        <v>18</v>
      </c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0.25</v>
      </c>
      <c r="AD19" s="10">
        <f t="shared" si="6"/>
        <v>0.25</v>
      </c>
      <c r="AE19" s="39">
        <f t="shared" si="7"/>
        <v>5.5555555555555559E-2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151</v>
      </c>
      <c r="F20" s="12" t="s">
        <v>122</v>
      </c>
      <c r="G20" s="12">
        <v>4</v>
      </c>
      <c r="H20" s="38">
        <v>20</v>
      </c>
      <c r="I20" s="7">
        <v>300000</v>
      </c>
      <c r="J20" s="14">
        <v>4524</v>
      </c>
      <c r="K20" s="15">
        <f>L20+20068+24564+48544+43996+30716+19196+21560+23324+19612+4524</f>
        <v>256104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5.5555555555555559E-2</v>
      </c>
      <c r="AF20" s="93">
        <f t="shared" si="8"/>
        <v>15</v>
      </c>
    </row>
    <row r="21" spans="1:32" ht="31.5" customHeight="1" thickBot="1">
      <c r="A21" s="362" t="s">
        <v>34</v>
      </c>
      <c r="B21" s="363"/>
      <c r="C21" s="363"/>
      <c r="D21" s="363"/>
      <c r="E21" s="363"/>
      <c r="F21" s="363"/>
      <c r="G21" s="363"/>
      <c r="H21" s="364"/>
      <c r="I21" s="25">
        <f t="shared" ref="I21:N21" si="9">SUM(I6:I20)</f>
        <v>359200</v>
      </c>
      <c r="J21" s="22">
        <f t="shared" si="9"/>
        <v>33034</v>
      </c>
      <c r="K21" s="23">
        <f t="shared" si="9"/>
        <v>319745</v>
      </c>
      <c r="L21" s="24">
        <f t="shared" si="9"/>
        <v>5410</v>
      </c>
      <c r="M21" s="23">
        <f t="shared" si="9"/>
        <v>5410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20</v>
      </c>
      <c r="Q21" s="46">
        <f t="shared" si="10"/>
        <v>340</v>
      </c>
      <c r="R21" s="26">
        <f t="shared" si="10"/>
        <v>48</v>
      </c>
      <c r="S21" s="27">
        <f t="shared" si="10"/>
        <v>27</v>
      </c>
      <c r="T21" s="27">
        <f t="shared" si="10"/>
        <v>0</v>
      </c>
      <c r="U21" s="27">
        <f t="shared" si="10"/>
        <v>0</v>
      </c>
      <c r="V21" s="28">
        <f t="shared" si="10"/>
        <v>78</v>
      </c>
      <c r="W21" s="29">
        <f t="shared" si="10"/>
        <v>139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48</v>
      </c>
      <c r="AB21" s="31">
        <f>SUM(AB6:AB20)/15</f>
        <v>0.26666666666666666</v>
      </c>
      <c r="AC21" s="4">
        <f>SUM(AC6:AC20)/15</f>
        <v>5.5555555555555559E-2</v>
      </c>
      <c r="AD21" s="4">
        <f>SUM(AD6:AD20)/15</f>
        <v>5.5555555555555559E-2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5" t="s">
        <v>45</v>
      </c>
      <c r="B48" s="365"/>
      <c r="C48" s="365"/>
      <c r="D48" s="365"/>
      <c r="E48" s="36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66" t="s">
        <v>292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8"/>
      <c r="N49" s="369" t="s">
        <v>293</v>
      </c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1"/>
    </row>
    <row r="50" spans="1:32" ht="27" customHeight="1">
      <c r="A50" s="372" t="s">
        <v>2</v>
      </c>
      <c r="B50" s="373"/>
      <c r="C50" s="192" t="s">
        <v>46</v>
      </c>
      <c r="D50" s="192" t="s">
        <v>47</v>
      </c>
      <c r="E50" s="192" t="s">
        <v>108</v>
      </c>
      <c r="F50" s="373" t="s">
        <v>107</v>
      </c>
      <c r="G50" s="373"/>
      <c r="H50" s="373"/>
      <c r="I50" s="373"/>
      <c r="J50" s="373"/>
      <c r="K50" s="373"/>
      <c r="L50" s="373"/>
      <c r="M50" s="374"/>
      <c r="N50" s="73" t="s">
        <v>112</v>
      </c>
      <c r="O50" s="192" t="s">
        <v>46</v>
      </c>
      <c r="P50" s="375" t="s">
        <v>47</v>
      </c>
      <c r="Q50" s="376"/>
      <c r="R50" s="375" t="s">
        <v>38</v>
      </c>
      <c r="S50" s="377"/>
      <c r="T50" s="377"/>
      <c r="U50" s="376"/>
      <c r="V50" s="375" t="s">
        <v>48</v>
      </c>
      <c r="W50" s="377"/>
      <c r="X50" s="377"/>
      <c r="Y50" s="377"/>
      <c r="Z50" s="377"/>
      <c r="AA50" s="377"/>
      <c r="AB50" s="377"/>
      <c r="AC50" s="377"/>
      <c r="AD50" s="378"/>
    </row>
    <row r="51" spans="1:32" ht="27" customHeight="1">
      <c r="A51" s="349" t="s">
        <v>114</v>
      </c>
      <c r="B51" s="350"/>
      <c r="C51" s="194" t="s">
        <v>218</v>
      </c>
      <c r="D51" s="194" t="s">
        <v>219</v>
      </c>
      <c r="E51" s="194" t="s">
        <v>217</v>
      </c>
      <c r="F51" s="341" t="s">
        <v>134</v>
      </c>
      <c r="G51" s="341"/>
      <c r="H51" s="341"/>
      <c r="I51" s="341"/>
      <c r="J51" s="341"/>
      <c r="K51" s="341"/>
      <c r="L51" s="341"/>
      <c r="M51" s="351"/>
      <c r="N51" s="193" t="s">
        <v>114</v>
      </c>
      <c r="O51" s="124" t="s">
        <v>170</v>
      </c>
      <c r="P51" s="358" t="s">
        <v>224</v>
      </c>
      <c r="Q51" s="359"/>
      <c r="R51" s="350" t="s">
        <v>294</v>
      </c>
      <c r="S51" s="350"/>
      <c r="T51" s="350"/>
      <c r="U51" s="350"/>
      <c r="V51" s="341" t="s">
        <v>129</v>
      </c>
      <c r="W51" s="341"/>
      <c r="X51" s="341"/>
      <c r="Y51" s="341"/>
      <c r="Z51" s="341"/>
      <c r="AA51" s="341"/>
      <c r="AB51" s="341"/>
      <c r="AC51" s="341"/>
      <c r="AD51" s="351"/>
    </row>
    <row r="52" spans="1:32" ht="27" customHeight="1">
      <c r="A52" s="349" t="s">
        <v>114</v>
      </c>
      <c r="B52" s="350"/>
      <c r="C52" s="194" t="s">
        <v>145</v>
      </c>
      <c r="D52" s="194" t="s">
        <v>246</v>
      </c>
      <c r="E52" s="194" t="s">
        <v>221</v>
      </c>
      <c r="F52" s="341" t="s">
        <v>250</v>
      </c>
      <c r="G52" s="341"/>
      <c r="H52" s="341"/>
      <c r="I52" s="341"/>
      <c r="J52" s="341"/>
      <c r="K52" s="341"/>
      <c r="L52" s="341"/>
      <c r="M52" s="351"/>
      <c r="N52" s="193" t="s">
        <v>114</v>
      </c>
      <c r="O52" s="124" t="s">
        <v>145</v>
      </c>
      <c r="P52" s="358" t="s">
        <v>246</v>
      </c>
      <c r="Q52" s="359"/>
      <c r="R52" s="350" t="s">
        <v>221</v>
      </c>
      <c r="S52" s="350"/>
      <c r="T52" s="350"/>
      <c r="U52" s="350"/>
      <c r="V52" s="341" t="s">
        <v>134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114</v>
      </c>
      <c r="B53" s="350"/>
      <c r="C53" s="194" t="s">
        <v>183</v>
      </c>
      <c r="D53" s="194" t="s">
        <v>119</v>
      </c>
      <c r="E53" s="194" t="s">
        <v>120</v>
      </c>
      <c r="F53" s="341" t="s">
        <v>134</v>
      </c>
      <c r="G53" s="341"/>
      <c r="H53" s="341"/>
      <c r="I53" s="341"/>
      <c r="J53" s="341"/>
      <c r="K53" s="341"/>
      <c r="L53" s="341"/>
      <c r="M53" s="351"/>
      <c r="N53" s="193" t="s">
        <v>125</v>
      </c>
      <c r="O53" s="124" t="s">
        <v>135</v>
      </c>
      <c r="P53" s="358" t="s">
        <v>123</v>
      </c>
      <c r="Q53" s="359"/>
      <c r="R53" s="350" t="s">
        <v>295</v>
      </c>
      <c r="S53" s="350"/>
      <c r="T53" s="350"/>
      <c r="U53" s="350"/>
      <c r="V53" s="341" t="s">
        <v>296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/>
      <c r="B54" s="350"/>
      <c r="C54" s="194"/>
      <c r="D54" s="194"/>
      <c r="E54" s="194"/>
      <c r="F54" s="341"/>
      <c r="G54" s="341"/>
      <c r="H54" s="341"/>
      <c r="I54" s="341"/>
      <c r="J54" s="341"/>
      <c r="K54" s="341"/>
      <c r="L54" s="341"/>
      <c r="M54" s="351"/>
      <c r="N54" s="193" t="s">
        <v>114</v>
      </c>
      <c r="O54" s="124" t="s">
        <v>214</v>
      </c>
      <c r="P54" s="350" t="s">
        <v>224</v>
      </c>
      <c r="Q54" s="350"/>
      <c r="R54" s="350" t="s">
        <v>297</v>
      </c>
      <c r="S54" s="350"/>
      <c r="T54" s="350"/>
      <c r="U54" s="350"/>
      <c r="V54" s="341" t="s">
        <v>129</v>
      </c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/>
      <c r="B55" s="350"/>
      <c r="C55" s="194"/>
      <c r="D55" s="194"/>
      <c r="E55" s="194"/>
      <c r="F55" s="341"/>
      <c r="G55" s="341"/>
      <c r="H55" s="341"/>
      <c r="I55" s="341"/>
      <c r="J55" s="341"/>
      <c r="K55" s="341"/>
      <c r="L55" s="341"/>
      <c r="M55" s="351"/>
      <c r="N55" s="193"/>
      <c r="O55" s="124"/>
      <c r="P55" s="350"/>
      <c r="Q55" s="350"/>
      <c r="R55" s="350"/>
      <c r="S55" s="350"/>
      <c r="T55" s="350"/>
      <c r="U55" s="350"/>
      <c r="V55" s="341"/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/>
      <c r="B56" s="350"/>
      <c r="C56" s="194"/>
      <c r="D56" s="194"/>
      <c r="E56" s="194"/>
      <c r="F56" s="341"/>
      <c r="G56" s="341"/>
      <c r="H56" s="341"/>
      <c r="I56" s="341"/>
      <c r="J56" s="341"/>
      <c r="K56" s="341"/>
      <c r="L56" s="341"/>
      <c r="M56" s="351"/>
      <c r="N56" s="193"/>
      <c r="O56" s="124"/>
      <c r="P56" s="358"/>
      <c r="Q56" s="359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/>
      <c r="B57" s="350"/>
      <c r="C57" s="194"/>
      <c r="D57" s="194"/>
      <c r="E57" s="194"/>
      <c r="F57" s="341"/>
      <c r="G57" s="341"/>
      <c r="H57" s="341"/>
      <c r="I57" s="341"/>
      <c r="J57" s="341"/>
      <c r="K57" s="341"/>
      <c r="L57" s="341"/>
      <c r="M57" s="351"/>
      <c r="N57" s="193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194"/>
      <c r="D58" s="194"/>
      <c r="E58" s="194"/>
      <c r="F58" s="341"/>
      <c r="G58" s="341"/>
      <c r="H58" s="341"/>
      <c r="I58" s="341"/>
      <c r="J58" s="341"/>
      <c r="K58" s="341"/>
      <c r="L58" s="341"/>
      <c r="M58" s="351"/>
      <c r="N58" s="193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194"/>
      <c r="D59" s="194"/>
      <c r="E59" s="194"/>
      <c r="F59" s="341"/>
      <c r="G59" s="341"/>
      <c r="H59" s="341"/>
      <c r="I59" s="341"/>
      <c r="J59" s="341"/>
      <c r="K59" s="341"/>
      <c r="L59" s="341"/>
      <c r="M59" s="351"/>
      <c r="N59" s="193"/>
      <c r="O59" s="124"/>
      <c r="P59" s="350"/>
      <c r="Q59" s="350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  <c r="AF59" s="93">
        <f>8*3000</f>
        <v>24000</v>
      </c>
    </row>
    <row r="60" spans="1:32" ht="27" customHeight="1" thickBot="1">
      <c r="A60" s="352"/>
      <c r="B60" s="353"/>
      <c r="C60" s="196"/>
      <c r="D60" s="196"/>
      <c r="E60" s="196"/>
      <c r="F60" s="354"/>
      <c r="G60" s="354"/>
      <c r="H60" s="354"/>
      <c r="I60" s="354"/>
      <c r="J60" s="354"/>
      <c r="K60" s="354"/>
      <c r="L60" s="354"/>
      <c r="M60" s="355"/>
      <c r="N60" s="195"/>
      <c r="O60" s="120"/>
      <c r="P60" s="353"/>
      <c r="Q60" s="353"/>
      <c r="R60" s="353"/>
      <c r="S60" s="353"/>
      <c r="T60" s="353"/>
      <c r="U60" s="353"/>
      <c r="V60" s="356"/>
      <c r="W60" s="356"/>
      <c r="X60" s="356"/>
      <c r="Y60" s="356"/>
      <c r="Z60" s="356"/>
      <c r="AA60" s="356"/>
      <c r="AB60" s="356"/>
      <c r="AC60" s="356"/>
      <c r="AD60" s="357"/>
      <c r="AF60" s="93">
        <f>16*3000</f>
        <v>48000</v>
      </c>
    </row>
    <row r="61" spans="1:32" ht="27.75" thickBot="1">
      <c r="A61" s="347" t="s">
        <v>298</v>
      </c>
      <c r="B61" s="347"/>
      <c r="C61" s="347"/>
      <c r="D61" s="347"/>
      <c r="E61" s="34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48" t="s">
        <v>113</v>
      </c>
      <c r="B62" s="345"/>
      <c r="C62" s="197" t="s">
        <v>2</v>
      </c>
      <c r="D62" s="197" t="s">
        <v>37</v>
      </c>
      <c r="E62" s="197" t="s">
        <v>3</v>
      </c>
      <c r="F62" s="345" t="s">
        <v>110</v>
      </c>
      <c r="G62" s="345"/>
      <c r="H62" s="345"/>
      <c r="I62" s="345"/>
      <c r="J62" s="345"/>
      <c r="K62" s="345" t="s">
        <v>39</v>
      </c>
      <c r="L62" s="345"/>
      <c r="M62" s="197" t="s">
        <v>40</v>
      </c>
      <c r="N62" s="345" t="s">
        <v>41</v>
      </c>
      <c r="O62" s="345"/>
      <c r="P62" s="342" t="s">
        <v>42</v>
      </c>
      <c r="Q62" s="344"/>
      <c r="R62" s="342" t="s">
        <v>43</v>
      </c>
      <c r="S62" s="343"/>
      <c r="T62" s="343"/>
      <c r="U62" s="343"/>
      <c r="V62" s="343"/>
      <c r="W62" s="343"/>
      <c r="X62" s="343"/>
      <c r="Y62" s="343"/>
      <c r="Z62" s="343"/>
      <c r="AA62" s="344"/>
      <c r="AB62" s="345" t="s">
        <v>44</v>
      </c>
      <c r="AC62" s="345"/>
      <c r="AD62" s="346"/>
      <c r="AF62" s="93">
        <f>SUM(AF59:AF61)</f>
        <v>96000</v>
      </c>
    </row>
    <row r="63" spans="1:32" ht="25.5" customHeight="1">
      <c r="A63" s="337">
        <v>1</v>
      </c>
      <c r="B63" s="338"/>
      <c r="C63" s="123"/>
      <c r="D63" s="200"/>
      <c r="E63" s="198"/>
      <c r="F63" s="339"/>
      <c r="G63" s="331"/>
      <c r="H63" s="331"/>
      <c r="I63" s="331"/>
      <c r="J63" s="331"/>
      <c r="K63" s="331"/>
      <c r="L63" s="331"/>
      <c r="M63" s="54"/>
      <c r="N63" s="331"/>
      <c r="O63" s="331"/>
      <c r="P63" s="340"/>
      <c r="Q63" s="340"/>
      <c r="R63" s="341"/>
      <c r="S63" s="341"/>
      <c r="T63" s="341"/>
      <c r="U63" s="341"/>
      <c r="V63" s="341"/>
      <c r="W63" s="341"/>
      <c r="X63" s="341"/>
      <c r="Y63" s="341"/>
      <c r="Z63" s="341"/>
      <c r="AA63" s="341"/>
      <c r="AB63" s="331"/>
      <c r="AC63" s="331"/>
      <c r="AD63" s="332"/>
      <c r="AF63" s="53"/>
    </row>
    <row r="64" spans="1:32" ht="25.5" customHeight="1">
      <c r="A64" s="337">
        <v>2</v>
      </c>
      <c r="B64" s="338"/>
      <c r="C64" s="123"/>
      <c r="D64" s="200"/>
      <c r="E64" s="198"/>
      <c r="F64" s="339"/>
      <c r="G64" s="331"/>
      <c r="H64" s="331"/>
      <c r="I64" s="331"/>
      <c r="J64" s="331"/>
      <c r="K64" s="331"/>
      <c r="L64" s="331"/>
      <c r="M64" s="54"/>
      <c r="N64" s="331"/>
      <c r="O64" s="331"/>
      <c r="P64" s="340"/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3</v>
      </c>
      <c r="B65" s="338"/>
      <c r="C65" s="123"/>
      <c r="D65" s="200"/>
      <c r="E65" s="198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4</v>
      </c>
      <c r="B66" s="338"/>
      <c r="C66" s="123"/>
      <c r="D66" s="200"/>
      <c r="E66" s="198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5</v>
      </c>
      <c r="B67" s="338"/>
      <c r="C67" s="123"/>
      <c r="D67" s="200"/>
      <c r="E67" s="198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6</v>
      </c>
      <c r="B68" s="338"/>
      <c r="C68" s="123"/>
      <c r="D68" s="200"/>
      <c r="E68" s="198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7</v>
      </c>
      <c r="B69" s="338"/>
      <c r="C69" s="123"/>
      <c r="D69" s="200"/>
      <c r="E69" s="198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8</v>
      </c>
      <c r="B70" s="338"/>
      <c r="C70" s="123"/>
      <c r="D70" s="200"/>
      <c r="E70" s="198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6.25" customHeight="1" thickBot="1">
      <c r="A71" s="311" t="s">
        <v>299</v>
      </c>
      <c r="B71" s="311"/>
      <c r="C71" s="311"/>
      <c r="D71" s="311"/>
      <c r="E71" s="311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12" t="s">
        <v>113</v>
      </c>
      <c r="B72" s="313"/>
      <c r="C72" s="199" t="s">
        <v>2</v>
      </c>
      <c r="D72" s="199" t="s">
        <v>37</v>
      </c>
      <c r="E72" s="199" t="s">
        <v>3</v>
      </c>
      <c r="F72" s="313" t="s">
        <v>38</v>
      </c>
      <c r="G72" s="313"/>
      <c r="H72" s="313"/>
      <c r="I72" s="313"/>
      <c r="J72" s="313"/>
      <c r="K72" s="333" t="s">
        <v>58</v>
      </c>
      <c r="L72" s="334"/>
      <c r="M72" s="334"/>
      <c r="N72" s="334"/>
      <c r="O72" s="334"/>
      <c r="P72" s="334"/>
      <c r="Q72" s="334"/>
      <c r="R72" s="334"/>
      <c r="S72" s="335"/>
      <c r="T72" s="313" t="s">
        <v>49</v>
      </c>
      <c r="U72" s="313"/>
      <c r="V72" s="333" t="s">
        <v>50</v>
      </c>
      <c r="W72" s="335"/>
      <c r="X72" s="334" t="s">
        <v>51</v>
      </c>
      <c r="Y72" s="334"/>
      <c r="Z72" s="334"/>
      <c r="AA72" s="334"/>
      <c r="AB72" s="334"/>
      <c r="AC72" s="334"/>
      <c r="AD72" s="336"/>
      <c r="AF72" s="53"/>
    </row>
    <row r="73" spans="1:32" ht="33.75" customHeight="1">
      <c r="A73" s="305">
        <v>1</v>
      </c>
      <c r="B73" s="306"/>
      <c r="C73" s="201" t="s">
        <v>114</v>
      </c>
      <c r="D73" s="201"/>
      <c r="E73" s="71" t="s">
        <v>246</v>
      </c>
      <c r="F73" s="320" t="s">
        <v>221</v>
      </c>
      <c r="G73" s="321"/>
      <c r="H73" s="321"/>
      <c r="I73" s="321"/>
      <c r="J73" s="322"/>
      <c r="K73" s="323" t="s">
        <v>301</v>
      </c>
      <c r="L73" s="324"/>
      <c r="M73" s="324"/>
      <c r="N73" s="324"/>
      <c r="O73" s="324"/>
      <c r="P73" s="324"/>
      <c r="Q73" s="324"/>
      <c r="R73" s="324"/>
      <c r="S73" s="325"/>
      <c r="T73" s="326">
        <v>43384</v>
      </c>
      <c r="U73" s="327"/>
      <c r="V73" s="328"/>
      <c r="W73" s="328"/>
      <c r="X73" s="329"/>
      <c r="Y73" s="329"/>
      <c r="Z73" s="329"/>
      <c r="AA73" s="329"/>
      <c r="AB73" s="329"/>
      <c r="AC73" s="329"/>
      <c r="AD73" s="330"/>
      <c r="AF73" s="53"/>
    </row>
    <row r="74" spans="1:32" ht="30" customHeight="1">
      <c r="A74" s="298">
        <f>A73+1</f>
        <v>2</v>
      </c>
      <c r="B74" s="299"/>
      <c r="C74" s="200"/>
      <c r="D74" s="200"/>
      <c r="E74" s="35"/>
      <c r="F74" s="299"/>
      <c r="G74" s="299"/>
      <c r="H74" s="299"/>
      <c r="I74" s="299"/>
      <c r="J74" s="299"/>
      <c r="K74" s="314"/>
      <c r="L74" s="315"/>
      <c r="M74" s="315"/>
      <c r="N74" s="315"/>
      <c r="O74" s="315"/>
      <c r="P74" s="315"/>
      <c r="Q74" s="315"/>
      <c r="R74" s="315"/>
      <c r="S74" s="316"/>
      <c r="T74" s="317"/>
      <c r="U74" s="317"/>
      <c r="V74" s="317"/>
      <c r="W74" s="317"/>
      <c r="X74" s="318"/>
      <c r="Y74" s="318"/>
      <c r="Z74" s="318"/>
      <c r="AA74" s="318"/>
      <c r="AB74" s="318"/>
      <c r="AC74" s="318"/>
      <c r="AD74" s="319"/>
      <c r="AF74" s="53"/>
    </row>
    <row r="75" spans="1:32" ht="30" customHeight="1">
      <c r="A75" s="298">
        <f t="shared" ref="A75:A81" si="11">A74+1</f>
        <v>3</v>
      </c>
      <c r="B75" s="299"/>
      <c r="C75" s="200"/>
      <c r="D75" s="200"/>
      <c r="E75" s="35"/>
      <c r="F75" s="299"/>
      <c r="G75" s="299"/>
      <c r="H75" s="299"/>
      <c r="I75" s="299"/>
      <c r="J75" s="299"/>
      <c r="K75" s="314"/>
      <c r="L75" s="315"/>
      <c r="M75" s="315"/>
      <c r="N75" s="315"/>
      <c r="O75" s="315"/>
      <c r="P75" s="315"/>
      <c r="Q75" s="315"/>
      <c r="R75" s="315"/>
      <c r="S75" s="316"/>
      <c r="T75" s="317"/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si="11"/>
        <v>4</v>
      </c>
      <c r="B76" s="299"/>
      <c r="C76" s="200"/>
      <c r="D76" s="200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1"/>
        <v>5</v>
      </c>
      <c r="B77" s="299"/>
      <c r="C77" s="200"/>
      <c r="D77" s="200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1"/>
        <v>6</v>
      </c>
      <c r="B78" s="299"/>
      <c r="C78" s="200"/>
      <c r="D78" s="200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1"/>
        <v>7</v>
      </c>
      <c r="B79" s="299"/>
      <c r="C79" s="200"/>
      <c r="D79" s="200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1"/>
        <v>8</v>
      </c>
      <c r="B80" s="299"/>
      <c r="C80" s="200"/>
      <c r="D80" s="200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1"/>
        <v>9</v>
      </c>
      <c r="B81" s="299"/>
      <c r="C81" s="200"/>
      <c r="D81" s="200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6" thickBot="1">
      <c r="A82" s="311" t="s">
        <v>300</v>
      </c>
      <c r="B82" s="311"/>
      <c r="C82" s="311"/>
      <c r="D82" s="311"/>
      <c r="E82" s="311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12" t="s">
        <v>113</v>
      </c>
      <c r="B83" s="313"/>
      <c r="C83" s="303" t="s">
        <v>52</v>
      </c>
      <c r="D83" s="303"/>
      <c r="E83" s="303" t="s">
        <v>53</v>
      </c>
      <c r="F83" s="303"/>
      <c r="G83" s="303"/>
      <c r="H83" s="303"/>
      <c r="I83" s="303"/>
      <c r="J83" s="303"/>
      <c r="K83" s="303" t="s">
        <v>54</v>
      </c>
      <c r="L83" s="303"/>
      <c r="M83" s="303"/>
      <c r="N83" s="303"/>
      <c r="O83" s="303"/>
      <c r="P83" s="303"/>
      <c r="Q83" s="303"/>
      <c r="R83" s="303"/>
      <c r="S83" s="303"/>
      <c r="T83" s="303" t="s">
        <v>55</v>
      </c>
      <c r="U83" s="303"/>
      <c r="V83" s="303" t="s">
        <v>56</v>
      </c>
      <c r="W83" s="303"/>
      <c r="X83" s="303"/>
      <c r="Y83" s="303" t="s">
        <v>51</v>
      </c>
      <c r="Z83" s="303"/>
      <c r="AA83" s="303"/>
      <c r="AB83" s="303"/>
      <c r="AC83" s="303"/>
      <c r="AD83" s="304"/>
      <c r="AF83" s="53"/>
    </row>
    <row r="84" spans="1:32" ht="30.75" customHeight="1">
      <c r="A84" s="305">
        <v>1</v>
      </c>
      <c r="B84" s="306"/>
      <c r="C84" s="307">
        <v>9</v>
      </c>
      <c r="D84" s="307"/>
      <c r="E84" s="307" t="s">
        <v>141</v>
      </c>
      <c r="F84" s="307"/>
      <c r="G84" s="307"/>
      <c r="H84" s="307"/>
      <c r="I84" s="307"/>
      <c r="J84" s="307"/>
      <c r="K84" s="307" t="s">
        <v>142</v>
      </c>
      <c r="L84" s="307"/>
      <c r="M84" s="307"/>
      <c r="N84" s="307"/>
      <c r="O84" s="307"/>
      <c r="P84" s="307"/>
      <c r="Q84" s="307"/>
      <c r="R84" s="307"/>
      <c r="S84" s="307"/>
      <c r="T84" s="307" t="s">
        <v>143</v>
      </c>
      <c r="U84" s="307"/>
      <c r="V84" s="308">
        <v>11307000</v>
      </c>
      <c r="W84" s="308"/>
      <c r="X84" s="308"/>
      <c r="Y84" s="309"/>
      <c r="Z84" s="309"/>
      <c r="AA84" s="309"/>
      <c r="AB84" s="309"/>
      <c r="AC84" s="309"/>
      <c r="AD84" s="310"/>
      <c r="AF84" s="53"/>
    </row>
    <row r="85" spans="1:32" ht="30.75" customHeight="1">
      <c r="A85" s="298">
        <v>2</v>
      </c>
      <c r="B85" s="299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1"/>
      <c r="U85" s="301"/>
      <c r="V85" s="302"/>
      <c r="W85" s="302"/>
      <c r="X85" s="302"/>
      <c r="Y85" s="291"/>
      <c r="Z85" s="291"/>
      <c r="AA85" s="291"/>
      <c r="AB85" s="291"/>
      <c r="AC85" s="291"/>
      <c r="AD85" s="292"/>
      <c r="AF85" s="53"/>
    </row>
    <row r="86" spans="1:32" ht="30.75" customHeight="1" thickBot="1">
      <c r="A86" s="293">
        <v>3</v>
      </c>
      <c r="B86" s="294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6"/>
      <c r="Z86" s="296"/>
      <c r="AA86" s="296"/>
      <c r="AB86" s="296"/>
      <c r="AC86" s="296"/>
      <c r="AD86" s="297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9524-E6CE-43D9-9FB4-9C431A56A737}">
  <sheetPr>
    <pageSetUpPr fitToPage="1"/>
  </sheetPr>
  <dimension ref="A1:AF86"/>
  <sheetViews>
    <sheetView zoomScale="72" zoomScaleNormal="72" zoomScaleSheetLayoutView="70" workbookViewId="0">
      <selection activeCell="A9" sqref="A9:XFD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389" t="s">
        <v>302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390"/>
      <c r="B3" s="390"/>
      <c r="C3" s="390"/>
      <c r="D3" s="390"/>
      <c r="E3" s="390"/>
      <c r="F3" s="390"/>
      <c r="G3" s="390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391" t="s">
        <v>0</v>
      </c>
      <c r="B4" s="393" t="s">
        <v>1</v>
      </c>
      <c r="C4" s="393" t="s">
        <v>2</v>
      </c>
      <c r="D4" s="396" t="s">
        <v>3</v>
      </c>
      <c r="E4" s="398" t="s">
        <v>4</v>
      </c>
      <c r="F4" s="396" t="s">
        <v>5</v>
      </c>
      <c r="G4" s="393" t="s">
        <v>6</v>
      </c>
      <c r="H4" s="399" t="s">
        <v>7</v>
      </c>
      <c r="I4" s="379" t="s">
        <v>8</v>
      </c>
      <c r="J4" s="380"/>
      <c r="K4" s="380"/>
      <c r="L4" s="380"/>
      <c r="M4" s="380"/>
      <c r="N4" s="380"/>
      <c r="O4" s="381"/>
      <c r="P4" s="382" t="s">
        <v>9</v>
      </c>
      <c r="Q4" s="383"/>
      <c r="R4" s="384" t="s">
        <v>10</v>
      </c>
      <c r="S4" s="384"/>
      <c r="T4" s="384"/>
      <c r="U4" s="384"/>
      <c r="V4" s="384"/>
      <c r="W4" s="385" t="s">
        <v>11</v>
      </c>
      <c r="X4" s="384"/>
      <c r="Y4" s="384"/>
      <c r="Z4" s="384"/>
      <c r="AA4" s="386"/>
      <c r="AB4" s="387" t="s">
        <v>12</v>
      </c>
      <c r="AC4" s="360" t="s">
        <v>13</v>
      </c>
      <c r="AD4" s="360" t="s">
        <v>14</v>
      </c>
      <c r="AE4" s="58"/>
    </row>
    <row r="5" spans="1:32" ht="51" customHeight="1" thickBot="1">
      <c r="A5" s="392"/>
      <c r="B5" s="394"/>
      <c r="C5" s="395"/>
      <c r="D5" s="397"/>
      <c r="E5" s="397"/>
      <c r="F5" s="397"/>
      <c r="G5" s="394"/>
      <c r="H5" s="400"/>
      <c r="I5" s="59" t="s">
        <v>15</v>
      </c>
      <c r="J5" s="60" t="s">
        <v>16</v>
      </c>
      <c r="K5" s="212" t="s">
        <v>17</v>
      </c>
      <c r="L5" s="212" t="s">
        <v>18</v>
      </c>
      <c r="M5" s="212" t="s">
        <v>19</v>
      </c>
      <c r="N5" s="21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388"/>
      <c r="AC5" s="361"/>
      <c r="AD5" s="361"/>
      <c r="AE5" s="58"/>
    </row>
    <row r="6" spans="1:32" ht="27" customHeight="1">
      <c r="A6" s="107">
        <v>1</v>
      </c>
      <c r="B6" s="11"/>
      <c r="C6" s="37"/>
      <c r="D6" s="55"/>
      <c r="E6" s="57"/>
      <c r="F6" s="33"/>
      <c r="G6" s="12"/>
      <c r="H6" s="13"/>
      <c r="I6" s="34"/>
      <c r="J6" s="5">
        <v>0</v>
      </c>
      <c r="K6" s="15">
        <f>L6</f>
        <v>0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 t="str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0.28333333333333333</v>
      </c>
      <c r="AF6" s="93">
        <f t="shared" ref="AF6:AF20" si="8">A6</f>
        <v>1</v>
      </c>
    </row>
    <row r="7" spans="1:32" ht="27" customHeight="1">
      <c r="A7" s="107">
        <v>2</v>
      </c>
      <c r="B7" s="11"/>
      <c r="C7" s="37"/>
      <c r="D7" s="55"/>
      <c r="E7" s="57"/>
      <c r="F7" s="33"/>
      <c r="G7" s="12"/>
      <c r="H7" s="13"/>
      <c r="I7" s="34"/>
      <c r="J7" s="5">
        <v>0</v>
      </c>
      <c r="K7" s="15">
        <f>L7</f>
        <v>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 t="str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0.28333333333333333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114</v>
      </c>
      <c r="D8" s="55" t="s">
        <v>219</v>
      </c>
      <c r="E8" s="57" t="s">
        <v>217</v>
      </c>
      <c r="F8" s="33" t="s">
        <v>231</v>
      </c>
      <c r="G8" s="36">
        <v>1</v>
      </c>
      <c r="H8" s="38">
        <v>25</v>
      </c>
      <c r="I8" s="7">
        <v>13000</v>
      </c>
      <c r="J8" s="5">
        <v>3121</v>
      </c>
      <c r="K8" s="15">
        <f>L8+3665+2500+3483+2000+1207</f>
        <v>15976</v>
      </c>
      <c r="L8" s="15">
        <f>2431+690</f>
        <v>3121</v>
      </c>
      <c r="M8" s="16">
        <f t="shared" si="0"/>
        <v>3121</v>
      </c>
      <c r="N8" s="16">
        <v>0</v>
      </c>
      <c r="O8" s="62">
        <f t="shared" si="1"/>
        <v>0</v>
      </c>
      <c r="P8" s="42">
        <f t="shared" si="2"/>
        <v>17</v>
      </c>
      <c r="Q8" s="43">
        <f t="shared" si="3"/>
        <v>7</v>
      </c>
      <c r="R8" s="7"/>
      <c r="S8" s="6">
        <v>7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0.70833333333333337</v>
      </c>
      <c r="AD8" s="10">
        <f t="shared" si="6"/>
        <v>0.70833333333333337</v>
      </c>
      <c r="AE8" s="39">
        <f t="shared" si="7"/>
        <v>0.28333333333333333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37" t="s">
        <v>114</v>
      </c>
      <c r="D9" s="55" t="s">
        <v>224</v>
      </c>
      <c r="E9" s="57" t="s">
        <v>294</v>
      </c>
      <c r="F9" s="12" t="s">
        <v>146</v>
      </c>
      <c r="G9" s="36">
        <v>1</v>
      </c>
      <c r="H9" s="38">
        <v>25</v>
      </c>
      <c r="I9" s="7">
        <v>1600</v>
      </c>
      <c r="J9" s="5">
        <v>2615</v>
      </c>
      <c r="K9" s="15">
        <f>L9</f>
        <v>2615</v>
      </c>
      <c r="L9" s="15">
        <f>2360+255</f>
        <v>2615</v>
      </c>
      <c r="M9" s="16">
        <f t="shared" si="0"/>
        <v>2615</v>
      </c>
      <c r="N9" s="16">
        <v>0</v>
      </c>
      <c r="O9" s="62">
        <f t="shared" si="1"/>
        <v>0</v>
      </c>
      <c r="P9" s="42">
        <f t="shared" si="2"/>
        <v>15</v>
      </c>
      <c r="Q9" s="43">
        <f t="shared" si="3"/>
        <v>9</v>
      </c>
      <c r="R9" s="7"/>
      <c r="S9" s="6">
        <v>9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0.625</v>
      </c>
      <c r="AD9" s="10">
        <f t="shared" si="6"/>
        <v>0.625</v>
      </c>
      <c r="AE9" s="39">
        <f t="shared" si="7"/>
        <v>0.28333333333333333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136</v>
      </c>
      <c r="D10" s="55" t="s">
        <v>262</v>
      </c>
      <c r="E10" s="57" t="s">
        <v>263</v>
      </c>
      <c r="F10" s="12" t="s">
        <v>166</v>
      </c>
      <c r="G10" s="12">
        <v>1</v>
      </c>
      <c r="H10" s="13">
        <v>25</v>
      </c>
      <c r="I10" s="7">
        <v>3000</v>
      </c>
      <c r="J10" s="14">
        <v>1577</v>
      </c>
      <c r="K10" s="15">
        <f>L10+1577</f>
        <v>1577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>
        <v>24</v>
      </c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0.28333333333333333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136</v>
      </c>
      <c r="D11" s="55" t="s">
        <v>131</v>
      </c>
      <c r="E11" s="57" t="s">
        <v>154</v>
      </c>
      <c r="F11" s="12" t="s">
        <v>144</v>
      </c>
      <c r="G11" s="12">
        <v>1</v>
      </c>
      <c r="H11" s="13">
        <v>25</v>
      </c>
      <c r="I11" s="34">
        <v>6500</v>
      </c>
      <c r="J11" s="5">
        <v>2357</v>
      </c>
      <c r="K11" s="15">
        <f>L11+5687+2357</f>
        <v>8044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0.28333333333333333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246</v>
      </c>
      <c r="E12" s="57" t="s">
        <v>221</v>
      </c>
      <c r="F12" s="12" t="s">
        <v>146</v>
      </c>
      <c r="G12" s="12">
        <v>1</v>
      </c>
      <c r="H12" s="13">
        <v>25</v>
      </c>
      <c r="I12" s="7">
        <v>13000</v>
      </c>
      <c r="J12" s="14">
        <v>4087</v>
      </c>
      <c r="K12" s="15">
        <f>L12+397+1187+3410+1354</f>
        <v>10435</v>
      </c>
      <c r="L12" s="15">
        <f>2475+1612</f>
        <v>4087</v>
      </c>
      <c r="M12" s="16">
        <f t="shared" si="0"/>
        <v>4087</v>
      </c>
      <c r="N12" s="16">
        <v>0</v>
      </c>
      <c r="O12" s="62">
        <f t="shared" si="1"/>
        <v>0</v>
      </c>
      <c r="P12" s="42">
        <f t="shared" si="2"/>
        <v>22</v>
      </c>
      <c r="Q12" s="43">
        <f t="shared" si="3"/>
        <v>2</v>
      </c>
      <c r="R12" s="7"/>
      <c r="S12" s="6">
        <v>2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0.91666666666666663</v>
      </c>
      <c r="AD12" s="10">
        <f t="shared" si="6"/>
        <v>0.91666666666666663</v>
      </c>
      <c r="AE12" s="39">
        <f t="shared" si="7"/>
        <v>0.28333333333333333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295</v>
      </c>
      <c r="F13" s="12" t="s">
        <v>146</v>
      </c>
      <c r="G13" s="12">
        <v>1</v>
      </c>
      <c r="H13" s="13">
        <v>25</v>
      </c>
      <c r="I13" s="7">
        <v>35000</v>
      </c>
      <c r="J13" s="14">
        <v>761</v>
      </c>
      <c r="K13" s="15">
        <f>L13</f>
        <v>761</v>
      </c>
      <c r="L13" s="15">
        <f>504+257</f>
        <v>761</v>
      </c>
      <c r="M13" s="16">
        <f t="shared" si="0"/>
        <v>761</v>
      </c>
      <c r="N13" s="16">
        <v>0</v>
      </c>
      <c r="O13" s="62">
        <f t="shared" si="1"/>
        <v>0</v>
      </c>
      <c r="P13" s="42">
        <f t="shared" si="2"/>
        <v>5</v>
      </c>
      <c r="Q13" s="43">
        <f t="shared" si="3"/>
        <v>19</v>
      </c>
      <c r="R13" s="7"/>
      <c r="S13" s="6">
        <v>19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0.20833333333333334</v>
      </c>
      <c r="AD13" s="10">
        <f t="shared" si="6"/>
        <v>0.20833333333333334</v>
      </c>
      <c r="AE13" s="39">
        <f t="shared" si="7"/>
        <v>0.28333333333333333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139</v>
      </c>
      <c r="F14" s="33" t="s">
        <v>138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0.28333333333333333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136</v>
      </c>
      <c r="D15" s="55" t="s">
        <v>131</v>
      </c>
      <c r="E15" s="57" t="s">
        <v>195</v>
      </c>
      <c r="F15" s="12" t="s">
        <v>207</v>
      </c>
      <c r="G15" s="12">
        <v>3</v>
      </c>
      <c r="H15" s="13">
        <v>24</v>
      </c>
      <c r="I15" s="34">
        <v>6000</v>
      </c>
      <c r="J15" s="14">
        <v>7454</v>
      </c>
      <c r="K15" s="15">
        <f>L15+7545</f>
        <v>7545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0.28333333333333333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114</v>
      </c>
      <c r="D16" s="55" t="s">
        <v>152</v>
      </c>
      <c r="E16" s="57" t="s">
        <v>283</v>
      </c>
      <c r="F16" s="33" t="s">
        <v>132</v>
      </c>
      <c r="G16" s="36">
        <v>1</v>
      </c>
      <c r="H16" s="38">
        <v>24</v>
      </c>
      <c r="I16" s="7">
        <v>850</v>
      </c>
      <c r="J16" s="5">
        <v>1150</v>
      </c>
      <c r="K16" s="15">
        <f>L16</f>
        <v>1150</v>
      </c>
      <c r="L16" s="15">
        <v>1150</v>
      </c>
      <c r="M16" s="16">
        <f t="shared" si="0"/>
        <v>1150</v>
      </c>
      <c r="N16" s="16">
        <v>0</v>
      </c>
      <c r="O16" s="62">
        <f t="shared" si="1"/>
        <v>0</v>
      </c>
      <c r="P16" s="42">
        <f t="shared" si="2"/>
        <v>8</v>
      </c>
      <c r="Q16" s="43">
        <f t="shared" si="3"/>
        <v>16</v>
      </c>
      <c r="R16" s="7"/>
      <c r="S16" s="6"/>
      <c r="T16" s="17"/>
      <c r="U16" s="17"/>
      <c r="V16" s="18"/>
      <c r="W16" s="19">
        <v>16</v>
      </c>
      <c r="X16" s="17"/>
      <c r="Y16" s="20"/>
      <c r="Z16" s="20"/>
      <c r="AA16" s="21"/>
      <c r="AB16" s="8">
        <f t="shared" si="4"/>
        <v>1</v>
      </c>
      <c r="AC16" s="9">
        <f t="shared" si="5"/>
        <v>0.33333333333333331</v>
      </c>
      <c r="AD16" s="10">
        <f t="shared" si="6"/>
        <v>0.33333333333333331</v>
      </c>
      <c r="AE16" s="39">
        <f t="shared" si="7"/>
        <v>0.28333333333333333</v>
      </c>
      <c r="AF16" s="93">
        <f t="shared" si="8"/>
        <v>11</v>
      </c>
    </row>
    <row r="17" spans="1:32" ht="27" customHeight="1">
      <c r="A17" s="108">
        <v>12</v>
      </c>
      <c r="B17" s="11"/>
      <c r="C17" s="11"/>
      <c r="D17" s="55"/>
      <c r="E17" s="57"/>
      <c r="F17" s="12"/>
      <c r="G17" s="12"/>
      <c r="H17" s="13"/>
      <c r="I17" s="34"/>
      <c r="J17" s="14"/>
      <c r="K17" s="15">
        <f>L17</f>
        <v>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/>
      <c r="X17" s="17"/>
      <c r="Y17" s="20"/>
      <c r="Z17" s="20"/>
      <c r="AA17" s="21">
        <v>24</v>
      </c>
      <c r="AB17" s="8" t="str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0.28333333333333333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224</v>
      </c>
      <c r="E18" s="57" t="s">
        <v>297</v>
      </c>
      <c r="F18" s="12" t="s">
        <v>146</v>
      </c>
      <c r="G18" s="36">
        <v>1</v>
      </c>
      <c r="H18" s="38">
        <v>30</v>
      </c>
      <c r="I18" s="7">
        <v>1000</v>
      </c>
      <c r="J18" s="5">
        <v>1565</v>
      </c>
      <c r="K18" s="15">
        <f>L18</f>
        <v>1565</v>
      </c>
      <c r="L18" s="15">
        <f>836+729</f>
        <v>1565</v>
      </c>
      <c r="M18" s="16">
        <f t="shared" si="0"/>
        <v>1565</v>
      </c>
      <c r="N18" s="16">
        <v>0</v>
      </c>
      <c r="O18" s="62">
        <f t="shared" si="1"/>
        <v>0</v>
      </c>
      <c r="P18" s="42">
        <f t="shared" si="2"/>
        <v>15</v>
      </c>
      <c r="Q18" s="43">
        <f t="shared" si="3"/>
        <v>9</v>
      </c>
      <c r="R18" s="7"/>
      <c r="S18" s="6">
        <v>4</v>
      </c>
      <c r="T18" s="17"/>
      <c r="U18" s="17"/>
      <c r="V18" s="18"/>
      <c r="W18" s="19">
        <v>5</v>
      </c>
      <c r="X18" s="17"/>
      <c r="Y18" s="20"/>
      <c r="Z18" s="20"/>
      <c r="AA18" s="21"/>
      <c r="AB18" s="8">
        <f t="shared" si="4"/>
        <v>1</v>
      </c>
      <c r="AC18" s="9">
        <f t="shared" si="5"/>
        <v>0.625</v>
      </c>
      <c r="AD18" s="10">
        <f t="shared" si="6"/>
        <v>0.625</v>
      </c>
      <c r="AE18" s="39">
        <f t="shared" si="7"/>
        <v>0.28333333333333333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11" t="s">
        <v>114</v>
      </c>
      <c r="D19" s="55" t="s">
        <v>119</v>
      </c>
      <c r="E19" s="57" t="s">
        <v>120</v>
      </c>
      <c r="F19" s="12" t="s">
        <v>291</v>
      </c>
      <c r="G19" s="12">
        <v>1</v>
      </c>
      <c r="H19" s="13">
        <v>25</v>
      </c>
      <c r="I19" s="7">
        <v>500</v>
      </c>
      <c r="J19" s="14">
        <v>3726</v>
      </c>
      <c r="K19" s="15">
        <f>L19+1475</f>
        <v>5201</v>
      </c>
      <c r="L19" s="15">
        <f>1450+2276</f>
        <v>3726</v>
      </c>
      <c r="M19" s="16">
        <f t="shared" si="0"/>
        <v>3726</v>
      </c>
      <c r="N19" s="16">
        <v>0</v>
      </c>
      <c r="O19" s="62">
        <f t="shared" si="1"/>
        <v>0</v>
      </c>
      <c r="P19" s="42">
        <f t="shared" si="2"/>
        <v>20</v>
      </c>
      <c r="Q19" s="43">
        <f t="shared" si="3"/>
        <v>4</v>
      </c>
      <c r="R19" s="7"/>
      <c r="S19" s="6">
        <v>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0.83333333333333337</v>
      </c>
      <c r="AD19" s="10">
        <f t="shared" si="6"/>
        <v>0.83333333333333337</v>
      </c>
      <c r="AE19" s="39">
        <f t="shared" si="7"/>
        <v>0.28333333333333333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151</v>
      </c>
      <c r="F20" s="12" t="s">
        <v>122</v>
      </c>
      <c r="G20" s="12">
        <v>4</v>
      </c>
      <c r="H20" s="38">
        <v>20</v>
      </c>
      <c r="I20" s="7">
        <v>300000</v>
      </c>
      <c r="J20" s="14">
        <v>4524</v>
      </c>
      <c r="K20" s="15">
        <f>L20+20068+24564+48544+43996+30716+19196+21560+23324+19612+4524</f>
        <v>256104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0.28333333333333333</v>
      </c>
      <c r="AF20" s="93">
        <f t="shared" si="8"/>
        <v>15</v>
      </c>
    </row>
    <row r="21" spans="1:32" ht="31.5" customHeight="1" thickBot="1">
      <c r="A21" s="362" t="s">
        <v>34</v>
      </c>
      <c r="B21" s="363"/>
      <c r="C21" s="363"/>
      <c r="D21" s="363"/>
      <c r="E21" s="363"/>
      <c r="F21" s="363"/>
      <c r="G21" s="363"/>
      <c r="H21" s="364"/>
      <c r="I21" s="25">
        <f t="shared" ref="I21:N21" si="9">SUM(I6:I20)</f>
        <v>381450</v>
      </c>
      <c r="J21" s="22">
        <f t="shared" si="9"/>
        <v>34005</v>
      </c>
      <c r="K21" s="23">
        <f t="shared" si="9"/>
        <v>312041</v>
      </c>
      <c r="L21" s="24">
        <f t="shared" si="9"/>
        <v>17025</v>
      </c>
      <c r="M21" s="23">
        <f t="shared" si="9"/>
        <v>17025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102</v>
      </c>
      <c r="Q21" s="46">
        <f t="shared" si="10"/>
        <v>258</v>
      </c>
      <c r="R21" s="26">
        <f t="shared" si="10"/>
        <v>48</v>
      </c>
      <c r="S21" s="27">
        <f t="shared" si="10"/>
        <v>69</v>
      </c>
      <c r="T21" s="27">
        <f t="shared" si="10"/>
        <v>0</v>
      </c>
      <c r="U21" s="27">
        <f t="shared" si="10"/>
        <v>0</v>
      </c>
      <c r="V21" s="28">
        <f t="shared" si="10"/>
        <v>24</v>
      </c>
      <c r="W21" s="29">
        <f t="shared" si="10"/>
        <v>93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24</v>
      </c>
      <c r="AB21" s="31">
        <f>SUM(AB6:AB20)/15</f>
        <v>0.46666666666666667</v>
      </c>
      <c r="AC21" s="4">
        <f>SUM(AC6:AC20)/15</f>
        <v>0.28333333333333333</v>
      </c>
      <c r="AD21" s="4">
        <f>SUM(AD6:AD20)/15</f>
        <v>0.28333333333333333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365" t="s">
        <v>45</v>
      </c>
      <c r="B48" s="365"/>
      <c r="C48" s="365"/>
      <c r="D48" s="365"/>
      <c r="E48" s="36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366" t="s">
        <v>303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8"/>
      <c r="N49" s="369" t="s">
        <v>304</v>
      </c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1"/>
    </row>
    <row r="50" spans="1:32" ht="27" customHeight="1">
      <c r="A50" s="372" t="s">
        <v>2</v>
      </c>
      <c r="B50" s="373"/>
      <c r="C50" s="211" t="s">
        <v>46</v>
      </c>
      <c r="D50" s="211" t="s">
        <v>47</v>
      </c>
      <c r="E50" s="211" t="s">
        <v>108</v>
      </c>
      <c r="F50" s="373" t="s">
        <v>107</v>
      </c>
      <c r="G50" s="373"/>
      <c r="H50" s="373"/>
      <c r="I50" s="373"/>
      <c r="J50" s="373"/>
      <c r="K50" s="373"/>
      <c r="L50" s="373"/>
      <c r="M50" s="374"/>
      <c r="N50" s="73" t="s">
        <v>112</v>
      </c>
      <c r="O50" s="211" t="s">
        <v>46</v>
      </c>
      <c r="P50" s="375" t="s">
        <v>47</v>
      </c>
      <c r="Q50" s="376"/>
      <c r="R50" s="375" t="s">
        <v>38</v>
      </c>
      <c r="S50" s="377"/>
      <c r="T50" s="377"/>
      <c r="U50" s="376"/>
      <c r="V50" s="375" t="s">
        <v>48</v>
      </c>
      <c r="W50" s="377"/>
      <c r="X50" s="377"/>
      <c r="Y50" s="377"/>
      <c r="Z50" s="377"/>
      <c r="AA50" s="377"/>
      <c r="AB50" s="377"/>
      <c r="AC50" s="377"/>
      <c r="AD50" s="378"/>
    </row>
    <row r="51" spans="1:32" ht="27" customHeight="1">
      <c r="A51" s="349" t="s">
        <v>114</v>
      </c>
      <c r="B51" s="350"/>
      <c r="C51" s="208" t="s">
        <v>218</v>
      </c>
      <c r="D51" s="208" t="s">
        <v>219</v>
      </c>
      <c r="E51" s="208" t="s">
        <v>217</v>
      </c>
      <c r="F51" s="341" t="s">
        <v>134</v>
      </c>
      <c r="G51" s="341"/>
      <c r="H51" s="341"/>
      <c r="I51" s="341"/>
      <c r="J51" s="341"/>
      <c r="K51" s="341"/>
      <c r="L51" s="341"/>
      <c r="M51" s="351"/>
      <c r="N51" s="207" t="s">
        <v>125</v>
      </c>
      <c r="O51" s="124" t="s">
        <v>135</v>
      </c>
      <c r="P51" s="358" t="s">
        <v>123</v>
      </c>
      <c r="Q51" s="359"/>
      <c r="R51" s="350" t="s">
        <v>295</v>
      </c>
      <c r="S51" s="350"/>
      <c r="T51" s="350"/>
      <c r="U51" s="350"/>
      <c r="V51" s="341" t="s">
        <v>134</v>
      </c>
      <c r="W51" s="341"/>
      <c r="X51" s="341"/>
      <c r="Y51" s="341"/>
      <c r="Z51" s="341"/>
      <c r="AA51" s="341"/>
      <c r="AB51" s="341"/>
      <c r="AC51" s="341"/>
      <c r="AD51" s="351"/>
    </row>
    <row r="52" spans="1:32" ht="27" customHeight="1">
      <c r="A52" s="349" t="s">
        <v>114</v>
      </c>
      <c r="B52" s="350"/>
      <c r="C52" s="208" t="s">
        <v>145</v>
      </c>
      <c r="D52" s="208" t="s">
        <v>246</v>
      </c>
      <c r="E52" s="208" t="s">
        <v>221</v>
      </c>
      <c r="F52" s="341" t="s">
        <v>134</v>
      </c>
      <c r="G52" s="341"/>
      <c r="H52" s="341"/>
      <c r="I52" s="341"/>
      <c r="J52" s="341"/>
      <c r="K52" s="341"/>
      <c r="L52" s="341"/>
      <c r="M52" s="351"/>
      <c r="N52" s="207" t="s">
        <v>247</v>
      </c>
      <c r="O52" s="124" t="s">
        <v>218</v>
      </c>
      <c r="P52" s="358"/>
      <c r="Q52" s="359"/>
      <c r="R52" s="350" t="s">
        <v>305</v>
      </c>
      <c r="S52" s="350"/>
      <c r="T52" s="350"/>
      <c r="U52" s="350"/>
      <c r="V52" s="341" t="s">
        <v>129</v>
      </c>
      <c r="W52" s="341"/>
      <c r="X52" s="341"/>
      <c r="Y52" s="341"/>
      <c r="Z52" s="341"/>
      <c r="AA52" s="341"/>
      <c r="AB52" s="341"/>
      <c r="AC52" s="341"/>
      <c r="AD52" s="351"/>
    </row>
    <row r="53" spans="1:32" ht="27" customHeight="1">
      <c r="A53" s="349" t="s">
        <v>114</v>
      </c>
      <c r="B53" s="350"/>
      <c r="C53" s="208" t="s">
        <v>183</v>
      </c>
      <c r="D53" s="208" t="s">
        <v>119</v>
      </c>
      <c r="E53" s="208" t="s">
        <v>120</v>
      </c>
      <c r="F53" s="341" t="s">
        <v>134</v>
      </c>
      <c r="G53" s="341"/>
      <c r="H53" s="341"/>
      <c r="I53" s="341"/>
      <c r="J53" s="341"/>
      <c r="K53" s="341"/>
      <c r="L53" s="341"/>
      <c r="M53" s="351"/>
      <c r="N53" s="207" t="s">
        <v>114</v>
      </c>
      <c r="O53" s="124" t="s">
        <v>223</v>
      </c>
      <c r="P53" s="358" t="s">
        <v>123</v>
      </c>
      <c r="Q53" s="359"/>
      <c r="R53" s="350" t="s">
        <v>280</v>
      </c>
      <c r="S53" s="350"/>
      <c r="T53" s="350"/>
      <c r="U53" s="350"/>
      <c r="V53" s="341" t="s">
        <v>129</v>
      </c>
      <c r="W53" s="341"/>
      <c r="X53" s="341"/>
      <c r="Y53" s="341"/>
      <c r="Z53" s="341"/>
      <c r="AA53" s="341"/>
      <c r="AB53" s="341"/>
      <c r="AC53" s="341"/>
      <c r="AD53" s="351"/>
    </row>
    <row r="54" spans="1:32" ht="27" customHeight="1">
      <c r="A54" s="349" t="s">
        <v>114</v>
      </c>
      <c r="B54" s="350"/>
      <c r="C54" s="208" t="s">
        <v>170</v>
      </c>
      <c r="D54" s="208" t="s">
        <v>224</v>
      </c>
      <c r="E54" s="208" t="s">
        <v>294</v>
      </c>
      <c r="F54" s="341" t="s">
        <v>129</v>
      </c>
      <c r="G54" s="341"/>
      <c r="H54" s="341"/>
      <c r="I54" s="341"/>
      <c r="J54" s="341"/>
      <c r="K54" s="341"/>
      <c r="L54" s="341"/>
      <c r="M54" s="351"/>
      <c r="N54" s="207"/>
      <c r="O54" s="124"/>
      <c r="P54" s="350"/>
      <c r="Q54" s="350"/>
      <c r="R54" s="350"/>
      <c r="S54" s="350"/>
      <c r="T54" s="350"/>
      <c r="U54" s="350"/>
      <c r="V54" s="341"/>
      <c r="W54" s="341"/>
      <c r="X54" s="341"/>
      <c r="Y54" s="341"/>
      <c r="Z54" s="341"/>
      <c r="AA54" s="341"/>
      <c r="AB54" s="341"/>
      <c r="AC54" s="341"/>
      <c r="AD54" s="351"/>
    </row>
    <row r="55" spans="1:32" ht="27" customHeight="1">
      <c r="A55" s="349" t="s">
        <v>114</v>
      </c>
      <c r="B55" s="350"/>
      <c r="C55" s="208" t="s">
        <v>214</v>
      </c>
      <c r="D55" s="208" t="s">
        <v>224</v>
      </c>
      <c r="E55" s="208" t="s">
        <v>297</v>
      </c>
      <c r="F55" s="341" t="s">
        <v>129</v>
      </c>
      <c r="G55" s="341"/>
      <c r="H55" s="341"/>
      <c r="I55" s="341"/>
      <c r="J55" s="341"/>
      <c r="K55" s="341"/>
      <c r="L55" s="341"/>
      <c r="M55" s="351"/>
      <c r="N55" s="207"/>
      <c r="O55" s="124"/>
      <c r="P55" s="350"/>
      <c r="Q55" s="350"/>
      <c r="R55" s="350"/>
      <c r="S55" s="350"/>
      <c r="T55" s="350"/>
      <c r="U55" s="350"/>
      <c r="V55" s="341"/>
      <c r="W55" s="341"/>
      <c r="X55" s="341"/>
      <c r="Y55" s="341"/>
      <c r="Z55" s="341"/>
      <c r="AA55" s="341"/>
      <c r="AB55" s="341"/>
      <c r="AC55" s="341"/>
      <c r="AD55" s="351"/>
    </row>
    <row r="56" spans="1:32" ht="27" customHeight="1">
      <c r="A56" s="349" t="s">
        <v>114</v>
      </c>
      <c r="B56" s="350"/>
      <c r="C56" s="208" t="s">
        <v>223</v>
      </c>
      <c r="D56" s="208" t="s">
        <v>152</v>
      </c>
      <c r="E56" s="208" t="s">
        <v>283</v>
      </c>
      <c r="F56" s="341" t="s">
        <v>129</v>
      </c>
      <c r="G56" s="341"/>
      <c r="H56" s="341"/>
      <c r="I56" s="341"/>
      <c r="J56" s="341"/>
      <c r="K56" s="341"/>
      <c r="L56" s="341"/>
      <c r="M56" s="351"/>
      <c r="N56" s="207"/>
      <c r="O56" s="124"/>
      <c r="P56" s="358"/>
      <c r="Q56" s="359"/>
      <c r="R56" s="350"/>
      <c r="S56" s="350"/>
      <c r="T56" s="350"/>
      <c r="U56" s="350"/>
      <c r="V56" s="341"/>
      <c r="W56" s="341"/>
      <c r="X56" s="341"/>
      <c r="Y56" s="341"/>
      <c r="Z56" s="341"/>
      <c r="AA56" s="341"/>
      <c r="AB56" s="341"/>
      <c r="AC56" s="341"/>
      <c r="AD56" s="351"/>
    </row>
    <row r="57" spans="1:32" ht="27" customHeight="1">
      <c r="A57" s="349" t="s">
        <v>125</v>
      </c>
      <c r="B57" s="350"/>
      <c r="C57" s="208" t="s">
        <v>135</v>
      </c>
      <c r="D57" s="208" t="s">
        <v>123</v>
      </c>
      <c r="E57" s="208" t="s">
        <v>295</v>
      </c>
      <c r="F57" s="341" t="s">
        <v>278</v>
      </c>
      <c r="G57" s="341"/>
      <c r="H57" s="341"/>
      <c r="I57" s="341"/>
      <c r="J57" s="341"/>
      <c r="K57" s="341"/>
      <c r="L57" s="341"/>
      <c r="M57" s="351"/>
      <c r="N57" s="207"/>
      <c r="O57" s="124"/>
      <c r="P57" s="358"/>
      <c r="Q57" s="359"/>
      <c r="R57" s="350"/>
      <c r="S57" s="350"/>
      <c r="T57" s="350"/>
      <c r="U57" s="350"/>
      <c r="V57" s="341"/>
      <c r="W57" s="341"/>
      <c r="X57" s="341"/>
      <c r="Y57" s="341"/>
      <c r="Z57" s="341"/>
      <c r="AA57" s="341"/>
      <c r="AB57" s="341"/>
      <c r="AC57" s="341"/>
      <c r="AD57" s="351"/>
    </row>
    <row r="58" spans="1:32" ht="27" customHeight="1">
      <c r="A58" s="349"/>
      <c r="B58" s="350"/>
      <c r="C58" s="208"/>
      <c r="D58" s="208"/>
      <c r="E58" s="208"/>
      <c r="F58" s="341"/>
      <c r="G58" s="341"/>
      <c r="H58" s="341"/>
      <c r="I58" s="341"/>
      <c r="J58" s="341"/>
      <c r="K58" s="341"/>
      <c r="L58" s="341"/>
      <c r="M58" s="351"/>
      <c r="N58" s="207"/>
      <c r="O58" s="124"/>
      <c r="P58" s="358"/>
      <c r="Q58" s="359"/>
      <c r="R58" s="350"/>
      <c r="S58" s="350"/>
      <c r="T58" s="350"/>
      <c r="U58" s="350"/>
      <c r="V58" s="341"/>
      <c r="W58" s="341"/>
      <c r="X58" s="341"/>
      <c r="Y58" s="341"/>
      <c r="Z58" s="341"/>
      <c r="AA58" s="341"/>
      <c r="AB58" s="341"/>
      <c r="AC58" s="341"/>
      <c r="AD58" s="351"/>
    </row>
    <row r="59" spans="1:32" ht="27" customHeight="1">
      <c r="A59" s="349"/>
      <c r="B59" s="350"/>
      <c r="C59" s="208"/>
      <c r="D59" s="208"/>
      <c r="E59" s="208"/>
      <c r="F59" s="341"/>
      <c r="G59" s="341"/>
      <c r="H59" s="341"/>
      <c r="I59" s="341"/>
      <c r="J59" s="341"/>
      <c r="K59" s="341"/>
      <c r="L59" s="341"/>
      <c r="M59" s="351"/>
      <c r="N59" s="207"/>
      <c r="O59" s="124"/>
      <c r="P59" s="350"/>
      <c r="Q59" s="350"/>
      <c r="R59" s="350"/>
      <c r="S59" s="350"/>
      <c r="T59" s="350"/>
      <c r="U59" s="350"/>
      <c r="V59" s="341"/>
      <c r="W59" s="341"/>
      <c r="X59" s="341"/>
      <c r="Y59" s="341"/>
      <c r="Z59" s="341"/>
      <c r="AA59" s="341"/>
      <c r="AB59" s="341"/>
      <c r="AC59" s="341"/>
      <c r="AD59" s="351"/>
      <c r="AF59" s="93">
        <f>8*3000</f>
        <v>24000</v>
      </c>
    </row>
    <row r="60" spans="1:32" ht="27" customHeight="1" thickBot="1">
      <c r="A60" s="352"/>
      <c r="B60" s="353"/>
      <c r="C60" s="210"/>
      <c r="D60" s="210"/>
      <c r="E60" s="210"/>
      <c r="F60" s="354"/>
      <c r="G60" s="354"/>
      <c r="H60" s="354"/>
      <c r="I60" s="354"/>
      <c r="J60" s="354"/>
      <c r="K60" s="354"/>
      <c r="L60" s="354"/>
      <c r="M60" s="355"/>
      <c r="N60" s="209"/>
      <c r="O60" s="120"/>
      <c r="P60" s="353"/>
      <c r="Q60" s="353"/>
      <c r="R60" s="353"/>
      <c r="S60" s="353"/>
      <c r="T60" s="353"/>
      <c r="U60" s="353"/>
      <c r="V60" s="356"/>
      <c r="W60" s="356"/>
      <c r="X60" s="356"/>
      <c r="Y60" s="356"/>
      <c r="Z60" s="356"/>
      <c r="AA60" s="356"/>
      <c r="AB60" s="356"/>
      <c r="AC60" s="356"/>
      <c r="AD60" s="357"/>
      <c r="AF60" s="93">
        <f>16*3000</f>
        <v>48000</v>
      </c>
    </row>
    <row r="61" spans="1:32" ht="27.75" thickBot="1">
      <c r="A61" s="347" t="s">
        <v>306</v>
      </c>
      <c r="B61" s="347"/>
      <c r="C61" s="347"/>
      <c r="D61" s="347"/>
      <c r="E61" s="34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48" t="s">
        <v>113</v>
      </c>
      <c r="B62" s="345"/>
      <c r="C62" s="206" t="s">
        <v>2</v>
      </c>
      <c r="D62" s="206" t="s">
        <v>37</v>
      </c>
      <c r="E62" s="206" t="s">
        <v>3</v>
      </c>
      <c r="F62" s="345" t="s">
        <v>110</v>
      </c>
      <c r="G62" s="345"/>
      <c r="H62" s="345"/>
      <c r="I62" s="345"/>
      <c r="J62" s="345"/>
      <c r="K62" s="345" t="s">
        <v>39</v>
      </c>
      <c r="L62" s="345"/>
      <c r="M62" s="206" t="s">
        <v>40</v>
      </c>
      <c r="N62" s="345" t="s">
        <v>41</v>
      </c>
      <c r="O62" s="345"/>
      <c r="P62" s="342" t="s">
        <v>42</v>
      </c>
      <c r="Q62" s="344"/>
      <c r="R62" s="342" t="s">
        <v>43</v>
      </c>
      <c r="S62" s="343"/>
      <c r="T62" s="343"/>
      <c r="U62" s="343"/>
      <c r="V62" s="343"/>
      <c r="W62" s="343"/>
      <c r="X62" s="343"/>
      <c r="Y62" s="343"/>
      <c r="Z62" s="343"/>
      <c r="AA62" s="344"/>
      <c r="AB62" s="345" t="s">
        <v>44</v>
      </c>
      <c r="AC62" s="345"/>
      <c r="AD62" s="346"/>
      <c r="AF62" s="93">
        <f>SUM(AF59:AF61)</f>
        <v>96000</v>
      </c>
    </row>
    <row r="63" spans="1:32" ht="25.5" customHeight="1">
      <c r="A63" s="337">
        <v>1</v>
      </c>
      <c r="B63" s="338"/>
      <c r="C63" s="123" t="s">
        <v>114</v>
      </c>
      <c r="D63" s="202"/>
      <c r="E63" s="205" t="s">
        <v>123</v>
      </c>
      <c r="F63" s="339" t="s">
        <v>307</v>
      </c>
      <c r="G63" s="331"/>
      <c r="H63" s="331"/>
      <c r="I63" s="331"/>
      <c r="J63" s="331"/>
      <c r="K63" s="331" t="s">
        <v>308</v>
      </c>
      <c r="L63" s="331"/>
      <c r="M63" s="54" t="s">
        <v>309</v>
      </c>
      <c r="N63" s="331">
        <v>8</v>
      </c>
      <c r="O63" s="331"/>
      <c r="P63" s="340">
        <v>50</v>
      </c>
      <c r="Q63" s="340"/>
      <c r="R63" s="341"/>
      <c r="S63" s="341"/>
      <c r="T63" s="341"/>
      <c r="U63" s="341"/>
      <c r="V63" s="341"/>
      <c r="W63" s="341"/>
      <c r="X63" s="341"/>
      <c r="Y63" s="341"/>
      <c r="Z63" s="341"/>
      <c r="AA63" s="341"/>
      <c r="AB63" s="331"/>
      <c r="AC63" s="331"/>
      <c r="AD63" s="332"/>
      <c r="AF63" s="53"/>
    </row>
    <row r="64" spans="1:32" ht="25.5" customHeight="1">
      <c r="A64" s="337">
        <v>2</v>
      </c>
      <c r="B64" s="338"/>
      <c r="C64" s="123" t="s">
        <v>125</v>
      </c>
      <c r="D64" s="202"/>
      <c r="E64" s="205" t="s">
        <v>285</v>
      </c>
      <c r="F64" s="339" t="s">
        <v>310</v>
      </c>
      <c r="G64" s="331"/>
      <c r="H64" s="331"/>
      <c r="I64" s="331"/>
      <c r="J64" s="331"/>
      <c r="K64" s="331">
        <v>8301</v>
      </c>
      <c r="L64" s="331"/>
      <c r="M64" s="54" t="s">
        <v>227</v>
      </c>
      <c r="N64" s="331">
        <v>12</v>
      </c>
      <c r="O64" s="331"/>
      <c r="P64" s="340">
        <v>50</v>
      </c>
      <c r="Q64" s="340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31"/>
      <c r="AC64" s="331"/>
      <c r="AD64" s="332"/>
      <c r="AF64" s="53"/>
    </row>
    <row r="65" spans="1:32" ht="25.5" customHeight="1">
      <c r="A65" s="337">
        <v>3</v>
      </c>
      <c r="B65" s="338"/>
      <c r="C65" s="123"/>
      <c r="D65" s="202"/>
      <c r="E65" s="205"/>
      <c r="F65" s="339"/>
      <c r="G65" s="331"/>
      <c r="H65" s="331"/>
      <c r="I65" s="331"/>
      <c r="J65" s="331"/>
      <c r="K65" s="331"/>
      <c r="L65" s="331"/>
      <c r="M65" s="54"/>
      <c r="N65" s="331"/>
      <c r="O65" s="331"/>
      <c r="P65" s="340"/>
      <c r="Q65" s="340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31"/>
      <c r="AC65" s="331"/>
      <c r="AD65" s="332"/>
      <c r="AF65" s="53"/>
    </row>
    <row r="66" spans="1:32" ht="25.5" customHeight="1">
      <c r="A66" s="337">
        <v>4</v>
      </c>
      <c r="B66" s="338"/>
      <c r="C66" s="123"/>
      <c r="D66" s="202"/>
      <c r="E66" s="205"/>
      <c r="F66" s="339"/>
      <c r="G66" s="331"/>
      <c r="H66" s="331"/>
      <c r="I66" s="331"/>
      <c r="J66" s="331"/>
      <c r="K66" s="331"/>
      <c r="L66" s="331"/>
      <c r="M66" s="54"/>
      <c r="N66" s="331"/>
      <c r="O66" s="331"/>
      <c r="P66" s="340"/>
      <c r="Q66" s="340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31"/>
      <c r="AC66" s="331"/>
      <c r="AD66" s="332"/>
      <c r="AF66" s="53"/>
    </row>
    <row r="67" spans="1:32" ht="25.5" customHeight="1">
      <c r="A67" s="337">
        <v>5</v>
      </c>
      <c r="B67" s="338"/>
      <c r="C67" s="123"/>
      <c r="D67" s="202"/>
      <c r="E67" s="205"/>
      <c r="F67" s="339"/>
      <c r="G67" s="331"/>
      <c r="H67" s="331"/>
      <c r="I67" s="331"/>
      <c r="J67" s="331"/>
      <c r="K67" s="331"/>
      <c r="L67" s="331"/>
      <c r="M67" s="54"/>
      <c r="N67" s="331"/>
      <c r="O67" s="331"/>
      <c r="P67" s="340"/>
      <c r="Q67" s="340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31"/>
      <c r="AC67" s="331"/>
      <c r="AD67" s="332"/>
      <c r="AF67" s="53"/>
    </row>
    <row r="68" spans="1:32" ht="25.5" customHeight="1">
      <c r="A68" s="337">
        <v>6</v>
      </c>
      <c r="B68" s="338"/>
      <c r="C68" s="123"/>
      <c r="D68" s="202"/>
      <c r="E68" s="205"/>
      <c r="F68" s="339"/>
      <c r="G68" s="331"/>
      <c r="H68" s="331"/>
      <c r="I68" s="331"/>
      <c r="J68" s="331"/>
      <c r="K68" s="331"/>
      <c r="L68" s="331"/>
      <c r="M68" s="54"/>
      <c r="N68" s="331"/>
      <c r="O68" s="331"/>
      <c r="P68" s="340"/>
      <c r="Q68" s="340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31"/>
      <c r="AC68" s="331"/>
      <c r="AD68" s="332"/>
      <c r="AF68" s="53"/>
    </row>
    <row r="69" spans="1:32" ht="25.5" customHeight="1">
      <c r="A69" s="337">
        <v>7</v>
      </c>
      <c r="B69" s="338"/>
      <c r="C69" s="123"/>
      <c r="D69" s="202"/>
      <c r="E69" s="205"/>
      <c r="F69" s="339"/>
      <c r="G69" s="331"/>
      <c r="H69" s="331"/>
      <c r="I69" s="331"/>
      <c r="J69" s="331"/>
      <c r="K69" s="331"/>
      <c r="L69" s="331"/>
      <c r="M69" s="54"/>
      <c r="N69" s="331"/>
      <c r="O69" s="331"/>
      <c r="P69" s="340"/>
      <c r="Q69" s="340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31"/>
      <c r="AC69" s="331"/>
      <c r="AD69" s="332"/>
      <c r="AF69" s="53"/>
    </row>
    <row r="70" spans="1:32" ht="25.5" customHeight="1">
      <c r="A70" s="337">
        <v>8</v>
      </c>
      <c r="B70" s="338"/>
      <c r="C70" s="123"/>
      <c r="D70" s="202"/>
      <c r="E70" s="205"/>
      <c r="F70" s="339"/>
      <c r="G70" s="331"/>
      <c r="H70" s="331"/>
      <c r="I70" s="331"/>
      <c r="J70" s="331"/>
      <c r="K70" s="331"/>
      <c r="L70" s="331"/>
      <c r="M70" s="54"/>
      <c r="N70" s="331"/>
      <c r="O70" s="331"/>
      <c r="P70" s="340"/>
      <c r="Q70" s="340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31"/>
      <c r="AC70" s="331"/>
      <c r="AD70" s="332"/>
      <c r="AF70" s="53"/>
    </row>
    <row r="71" spans="1:32" ht="26.25" customHeight="1" thickBot="1">
      <c r="A71" s="311" t="s">
        <v>311</v>
      </c>
      <c r="B71" s="311"/>
      <c r="C71" s="311"/>
      <c r="D71" s="311"/>
      <c r="E71" s="311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12" t="s">
        <v>113</v>
      </c>
      <c r="B72" s="313"/>
      <c r="C72" s="204" t="s">
        <v>2</v>
      </c>
      <c r="D72" s="204" t="s">
        <v>37</v>
      </c>
      <c r="E72" s="204" t="s">
        <v>3</v>
      </c>
      <c r="F72" s="313" t="s">
        <v>38</v>
      </c>
      <c r="G72" s="313"/>
      <c r="H72" s="313"/>
      <c r="I72" s="313"/>
      <c r="J72" s="313"/>
      <c r="K72" s="333" t="s">
        <v>58</v>
      </c>
      <c r="L72" s="334"/>
      <c r="M72" s="334"/>
      <c r="N72" s="334"/>
      <c r="O72" s="334"/>
      <c r="P72" s="334"/>
      <c r="Q72" s="334"/>
      <c r="R72" s="334"/>
      <c r="S72" s="335"/>
      <c r="T72" s="313" t="s">
        <v>49</v>
      </c>
      <c r="U72" s="313"/>
      <c r="V72" s="333" t="s">
        <v>50</v>
      </c>
      <c r="W72" s="335"/>
      <c r="X72" s="334" t="s">
        <v>51</v>
      </c>
      <c r="Y72" s="334"/>
      <c r="Z72" s="334"/>
      <c r="AA72" s="334"/>
      <c r="AB72" s="334"/>
      <c r="AC72" s="334"/>
      <c r="AD72" s="336"/>
      <c r="AF72" s="53"/>
    </row>
    <row r="73" spans="1:32" ht="33.75" customHeight="1">
      <c r="A73" s="305">
        <v>1</v>
      </c>
      <c r="B73" s="306"/>
      <c r="C73" s="203" t="s">
        <v>114</v>
      </c>
      <c r="D73" s="203"/>
      <c r="E73" s="71" t="s">
        <v>246</v>
      </c>
      <c r="F73" s="320" t="s">
        <v>221</v>
      </c>
      <c r="G73" s="321"/>
      <c r="H73" s="321"/>
      <c r="I73" s="321"/>
      <c r="J73" s="322"/>
      <c r="K73" s="323" t="s">
        <v>301</v>
      </c>
      <c r="L73" s="324"/>
      <c r="M73" s="324"/>
      <c r="N73" s="324"/>
      <c r="O73" s="324"/>
      <c r="P73" s="324"/>
      <c r="Q73" s="324"/>
      <c r="R73" s="324"/>
      <c r="S73" s="325"/>
      <c r="T73" s="326">
        <v>43384</v>
      </c>
      <c r="U73" s="327"/>
      <c r="V73" s="328"/>
      <c r="W73" s="328"/>
      <c r="X73" s="329"/>
      <c r="Y73" s="329"/>
      <c r="Z73" s="329"/>
      <c r="AA73" s="329"/>
      <c r="AB73" s="329"/>
      <c r="AC73" s="329"/>
      <c r="AD73" s="330"/>
      <c r="AF73" s="53"/>
    </row>
    <row r="74" spans="1:32" ht="30" customHeight="1">
      <c r="A74" s="298">
        <f>A73+1</f>
        <v>2</v>
      </c>
      <c r="B74" s="299"/>
      <c r="C74" s="202"/>
      <c r="D74" s="202"/>
      <c r="E74" s="35"/>
      <c r="F74" s="299"/>
      <c r="G74" s="299"/>
      <c r="H74" s="299"/>
      <c r="I74" s="299"/>
      <c r="J74" s="299"/>
      <c r="K74" s="314"/>
      <c r="L74" s="315"/>
      <c r="M74" s="315"/>
      <c r="N74" s="315"/>
      <c r="O74" s="315"/>
      <c r="P74" s="315"/>
      <c r="Q74" s="315"/>
      <c r="R74" s="315"/>
      <c r="S74" s="316"/>
      <c r="T74" s="317"/>
      <c r="U74" s="317"/>
      <c r="V74" s="317"/>
      <c r="W74" s="317"/>
      <c r="X74" s="318"/>
      <c r="Y74" s="318"/>
      <c r="Z74" s="318"/>
      <c r="AA74" s="318"/>
      <c r="AB74" s="318"/>
      <c r="AC74" s="318"/>
      <c r="AD74" s="319"/>
      <c r="AF74" s="53"/>
    </row>
    <row r="75" spans="1:32" ht="30" customHeight="1">
      <c r="A75" s="298">
        <f t="shared" ref="A75:A81" si="11">A74+1</f>
        <v>3</v>
      </c>
      <c r="B75" s="299"/>
      <c r="C75" s="202"/>
      <c r="D75" s="202"/>
      <c r="E75" s="35"/>
      <c r="F75" s="299"/>
      <c r="G75" s="299"/>
      <c r="H75" s="299"/>
      <c r="I75" s="299"/>
      <c r="J75" s="299"/>
      <c r="K75" s="314"/>
      <c r="L75" s="315"/>
      <c r="M75" s="315"/>
      <c r="N75" s="315"/>
      <c r="O75" s="315"/>
      <c r="P75" s="315"/>
      <c r="Q75" s="315"/>
      <c r="R75" s="315"/>
      <c r="S75" s="316"/>
      <c r="T75" s="317"/>
      <c r="U75" s="317"/>
      <c r="V75" s="317"/>
      <c r="W75" s="317"/>
      <c r="X75" s="318"/>
      <c r="Y75" s="318"/>
      <c r="Z75" s="318"/>
      <c r="AA75" s="318"/>
      <c r="AB75" s="318"/>
      <c r="AC75" s="318"/>
      <c r="AD75" s="319"/>
      <c r="AF75" s="53"/>
    </row>
    <row r="76" spans="1:32" ht="30" customHeight="1">
      <c r="A76" s="298">
        <f t="shared" si="11"/>
        <v>4</v>
      </c>
      <c r="B76" s="299"/>
      <c r="C76" s="202"/>
      <c r="D76" s="202"/>
      <c r="E76" s="35"/>
      <c r="F76" s="299"/>
      <c r="G76" s="299"/>
      <c r="H76" s="299"/>
      <c r="I76" s="299"/>
      <c r="J76" s="299"/>
      <c r="K76" s="314"/>
      <c r="L76" s="315"/>
      <c r="M76" s="315"/>
      <c r="N76" s="315"/>
      <c r="O76" s="315"/>
      <c r="P76" s="315"/>
      <c r="Q76" s="315"/>
      <c r="R76" s="315"/>
      <c r="S76" s="316"/>
      <c r="T76" s="317"/>
      <c r="U76" s="317"/>
      <c r="V76" s="317"/>
      <c r="W76" s="317"/>
      <c r="X76" s="318"/>
      <c r="Y76" s="318"/>
      <c r="Z76" s="318"/>
      <c r="AA76" s="318"/>
      <c r="AB76" s="318"/>
      <c r="AC76" s="318"/>
      <c r="AD76" s="319"/>
      <c r="AF76" s="53"/>
    </row>
    <row r="77" spans="1:32" ht="30" customHeight="1">
      <c r="A77" s="298">
        <f t="shared" si="11"/>
        <v>5</v>
      </c>
      <c r="B77" s="299"/>
      <c r="C77" s="202"/>
      <c r="D77" s="202"/>
      <c r="E77" s="35"/>
      <c r="F77" s="299"/>
      <c r="G77" s="299"/>
      <c r="H77" s="299"/>
      <c r="I77" s="299"/>
      <c r="J77" s="299"/>
      <c r="K77" s="314"/>
      <c r="L77" s="315"/>
      <c r="M77" s="315"/>
      <c r="N77" s="315"/>
      <c r="O77" s="315"/>
      <c r="P77" s="315"/>
      <c r="Q77" s="315"/>
      <c r="R77" s="315"/>
      <c r="S77" s="316"/>
      <c r="T77" s="317"/>
      <c r="U77" s="317"/>
      <c r="V77" s="317"/>
      <c r="W77" s="317"/>
      <c r="X77" s="318"/>
      <c r="Y77" s="318"/>
      <c r="Z77" s="318"/>
      <c r="AA77" s="318"/>
      <c r="AB77" s="318"/>
      <c r="AC77" s="318"/>
      <c r="AD77" s="319"/>
      <c r="AF77" s="53"/>
    </row>
    <row r="78" spans="1:32" ht="30" customHeight="1">
      <c r="A78" s="298">
        <f t="shared" si="11"/>
        <v>6</v>
      </c>
      <c r="B78" s="299"/>
      <c r="C78" s="202"/>
      <c r="D78" s="202"/>
      <c r="E78" s="35"/>
      <c r="F78" s="299"/>
      <c r="G78" s="299"/>
      <c r="H78" s="299"/>
      <c r="I78" s="299"/>
      <c r="J78" s="299"/>
      <c r="K78" s="314"/>
      <c r="L78" s="315"/>
      <c r="M78" s="315"/>
      <c r="N78" s="315"/>
      <c r="O78" s="315"/>
      <c r="P78" s="315"/>
      <c r="Q78" s="315"/>
      <c r="R78" s="315"/>
      <c r="S78" s="316"/>
      <c r="T78" s="317"/>
      <c r="U78" s="317"/>
      <c r="V78" s="317"/>
      <c r="W78" s="317"/>
      <c r="X78" s="318"/>
      <c r="Y78" s="318"/>
      <c r="Z78" s="318"/>
      <c r="AA78" s="318"/>
      <c r="AB78" s="318"/>
      <c r="AC78" s="318"/>
      <c r="AD78" s="319"/>
      <c r="AF78" s="53"/>
    </row>
    <row r="79" spans="1:32" ht="30" customHeight="1">
      <c r="A79" s="298">
        <f t="shared" si="11"/>
        <v>7</v>
      </c>
      <c r="B79" s="299"/>
      <c r="C79" s="202"/>
      <c r="D79" s="202"/>
      <c r="E79" s="35"/>
      <c r="F79" s="299"/>
      <c r="G79" s="299"/>
      <c r="H79" s="299"/>
      <c r="I79" s="299"/>
      <c r="J79" s="299"/>
      <c r="K79" s="314"/>
      <c r="L79" s="315"/>
      <c r="M79" s="315"/>
      <c r="N79" s="315"/>
      <c r="O79" s="315"/>
      <c r="P79" s="315"/>
      <c r="Q79" s="315"/>
      <c r="R79" s="315"/>
      <c r="S79" s="316"/>
      <c r="T79" s="317"/>
      <c r="U79" s="317"/>
      <c r="V79" s="317"/>
      <c r="W79" s="317"/>
      <c r="X79" s="318"/>
      <c r="Y79" s="318"/>
      <c r="Z79" s="318"/>
      <c r="AA79" s="318"/>
      <c r="AB79" s="318"/>
      <c r="AC79" s="318"/>
      <c r="AD79" s="319"/>
      <c r="AF79" s="53"/>
    </row>
    <row r="80" spans="1:32" ht="30" customHeight="1">
      <c r="A80" s="298">
        <f t="shared" si="11"/>
        <v>8</v>
      </c>
      <c r="B80" s="299"/>
      <c r="C80" s="202"/>
      <c r="D80" s="202"/>
      <c r="E80" s="35"/>
      <c r="F80" s="299"/>
      <c r="G80" s="299"/>
      <c r="H80" s="299"/>
      <c r="I80" s="299"/>
      <c r="J80" s="299"/>
      <c r="K80" s="314"/>
      <c r="L80" s="315"/>
      <c r="M80" s="315"/>
      <c r="N80" s="315"/>
      <c r="O80" s="315"/>
      <c r="P80" s="315"/>
      <c r="Q80" s="315"/>
      <c r="R80" s="315"/>
      <c r="S80" s="316"/>
      <c r="T80" s="317"/>
      <c r="U80" s="317"/>
      <c r="V80" s="317"/>
      <c r="W80" s="317"/>
      <c r="X80" s="318"/>
      <c r="Y80" s="318"/>
      <c r="Z80" s="318"/>
      <c r="AA80" s="318"/>
      <c r="AB80" s="318"/>
      <c r="AC80" s="318"/>
      <c r="AD80" s="319"/>
      <c r="AF80" s="53"/>
    </row>
    <row r="81" spans="1:32" ht="30" customHeight="1">
      <c r="A81" s="298">
        <f t="shared" si="11"/>
        <v>9</v>
      </c>
      <c r="B81" s="299"/>
      <c r="C81" s="202"/>
      <c r="D81" s="202"/>
      <c r="E81" s="35"/>
      <c r="F81" s="299"/>
      <c r="G81" s="299"/>
      <c r="H81" s="299"/>
      <c r="I81" s="299"/>
      <c r="J81" s="299"/>
      <c r="K81" s="314"/>
      <c r="L81" s="315"/>
      <c r="M81" s="315"/>
      <c r="N81" s="315"/>
      <c r="O81" s="315"/>
      <c r="P81" s="315"/>
      <c r="Q81" s="315"/>
      <c r="R81" s="315"/>
      <c r="S81" s="316"/>
      <c r="T81" s="317"/>
      <c r="U81" s="317"/>
      <c r="V81" s="317"/>
      <c r="W81" s="317"/>
      <c r="X81" s="318"/>
      <c r="Y81" s="318"/>
      <c r="Z81" s="318"/>
      <c r="AA81" s="318"/>
      <c r="AB81" s="318"/>
      <c r="AC81" s="318"/>
      <c r="AD81" s="319"/>
      <c r="AF81" s="53"/>
    </row>
    <row r="82" spans="1:32" ht="36" thickBot="1">
      <c r="A82" s="311" t="s">
        <v>312</v>
      </c>
      <c r="B82" s="311"/>
      <c r="C82" s="311"/>
      <c r="D82" s="311"/>
      <c r="E82" s="311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12" t="s">
        <v>113</v>
      </c>
      <c r="B83" s="313"/>
      <c r="C83" s="303" t="s">
        <v>52</v>
      </c>
      <c r="D83" s="303"/>
      <c r="E83" s="303" t="s">
        <v>53</v>
      </c>
      <c r="F83" s="303"/>
      <c r="G83" s="303"/>
      <c r="H83" s="303"/>
      <c r="I83" s="303"/>
      <c r="J83" s="303"/>
      <c r="K83" s="303" t="s">
        <v>54</v>
      </c>
      <c r="L83" s="303"/>
      <c r="M83" s="303"/>
      <c r="N83" s="303"/>
      <c r="O83" s="303"/>
      <c r="P83" s="303"/>
      <c r="Q83" s="303"/>
      <c r="R83" s="303"/>
      <c r="S83" s="303"/>
      <c r="T83" s="303" t="s">
        <v>55</v>
      </c>
      <c r="U83" s="303"/>
      <c r="V83" s="303" t="s">
        <v>56</v>
      </c>
      <c r="W83" s="303"/>
      <c r="X83" s="303"/>
      <c r="Y83" s="303" t="s">
        <v>51</v>
      </c>
      <c r="Z83" s="303"/>
      <c r="AA83" s="303"/>
      <c r="AB83" s="303"/>
      <c r="AC83" s="303"/>
      <c r="AD83" s="304"/>
      <c r="AF83" s="53"/>
    </row>
    <row r="84" spans="1:32" ht="30.75" customHeight="1">
      <c r="A84" s="305">
        <v>1</v>
      </c>
      <c r="B84" s="306"/>
      <c r="C84" s="307">
        <v>9</v>
      </c>
      <c r="D84" s="307"/>
      <c r="E84" s="307" t="s">
        <v>141</v>
      </c>
      <c r="F84" s="307"/>
      <c r="G84" s="307"/>
      <c r="H84" s="307"/>
      <c r="I84" s="307"/>
      <c r="J84" s="307"/>
      <c r="K84" s="307" t="s">
        <v>142</v>
      </c>
      <c r="L84" s="307"/>
      <c r="M84" s="307"/>
      <c r="N84" s="307"/>
      <c r="O84" s="307"/>
      <c r="P84" s="307"/>
      <c r="Q84" s="307"/>
      <c r="R84" s="307"/>
      <c r="S84" s="307"/>
      <c r="T84" s="307" t="s">
        <v>143</v>
      </c>
      <c r="U84" s="307"/>
      <c r="V84" s="308">
        <v>11307000</v>
      </c>
      <c r="W84" s="308"/>
      <c r="X84" s="308"/>
      <c r="Y84" s="309"/>
      <c r="Z84" s="309"/>
      <c r="AA84" s="309"/>
      <c r="AB84" s="309"/>
      <c r="AC84" s="309"/>
      <c r="AD84" s="310"/>
      <c r="AF84" s="53"/>
    </row>
    <row r="85" spans="1:32" ht="30.75" customHeight="1">
      <c r="A85" s="298">
        <v>2</v>
      </c>
      <c r="B85" s="299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1"/>
      <c r="U85" s="301"/>
      <c r="V85" s="302"/>
      <c r="W85" s="302"/>
      <c r="X85" s="302"/>
      <c r="Y85" s="291"/>
      <c r="Z85" s="291"/>
      <c r="AA85" s="291"/>
      <c r="AB85" s="291"/>
      <c r="AC85" s="291"/>
      <c r="AD85" s="292"/>
      <c r="AF85" s="53"/>
    </row>
    <row r="86" spans="1:32" ht="30.75" customHeight="1" thickBot="1">
      <c r="A86" s="293">
        <v>3</v>
      </c>
      <c r="B86" s="294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6"/>
      <c r="Z86" s="296"/>
      <c r="AA86" s="296"/>
      <c r="AB86" s="296"/>
      <c r="AC86" s="296"/>
      <c r="AD86" s="297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 지정된 범위</vt:lpstr>
      </vt:variant>
      <vt:variant>
        <vt:i4>18</vt:i4>
      </vt:variant>
    </vt:vector>
  </HeadingPairs>
  <TitlesOfParts>
    <vt:vector size="37" baseType="lpstr">
      <vt:lpstr>총괄</vt:lpstr>
      <vt:lpstr>01</vt:lpstr>
      <vt:lpstr>02</vt:lpstr>
      <vt:lpstr>04</vt:lpstr>
      <vt:lpstr>05</vt:lpstr>
      <vt:lpstr>08</vt:lpstr>
      <vt:lpstr>10</vt:lpstr>
      <vt:lpstr>11</vt:lpstr>
      <vt:lpstr>15</vt:lpstr>
      <vt:lpstr>16</vt:lpstr>
      <vt:lpstr>17</vt:lpstr>
      <vt:lpstr>18</vt:lpstr>
      <vt:lpstr>22</vt:lpstr>
      <vt:lpstr>23</vt:lpstr>
      <vt:lpstr>24</vt:lpstr>
      <vt:lpstr>25</vt:lpstr>
      <vt:lpstr>29</vt:lpstr>
      <vt:lpstr>30</vt:lpstr>
      <vt:lpstr>31</vt:lpstr>
      <vt:lpstr>'01'!Print_Area</vt:lpstr>
      <vt:lpstr>'02'!Print_Area</vt:lpstr>
      <vt:lpstr>'04'!Print_Area</vt:lpstr>
      <vt:lpstr>'05'!Print_Area</vt:lpstr>
      <vt:lpstr>'08'!Print_Area</vt:lpstr>
      <vt:lpstr>'10'!Print_Area</vt:lpstr>
      <vt:lpstr>'11'!Print_Area</vt:lpstr>
      <vt:lpstr>'15'!Print_Area</vt:lpstr>
      <vt:lpstr>'16'!Print_Area</vt:lpstr>
      <vt:lpstr>'17'!Print_Area</vt:lpstr>
      <vt:lpstr>'18'!Print_Area</vt:lpstr>
      <vt:lpstr>'22'!Print_Area</vt:lpstr>
      <vt:lpstr>'23'!Print_Area</vt:lpstr>
      <vt:lpstr>'24'!Print_Area</vt:lpstr>
      <vt:lpstr>'25'!Print_Area</vt:lpstr>
      <vt:lpstr>'29'!Print_Area</vt:lpstr>
      <vt:lpstr>'30'!Print_Area</vt:lpstr>
      <vt:lpstr>'31'!Print_Area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2018-10-10T23:54:56Z</cp:lastPrinted>
  <dcterms:created xsi:type="dcterms:W3CDTF">2014-05-16T00:06:55Z</dcterms:created>
  <dcterms:modified xsi:type="dcterms:W3CDTF">2018-11-02T01:59:46Z</dcterms:modified>
</cp:coreProperties>
</file>