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8년도\일일업무\생산일보\"/>
    </mc:Choice>
  </mc:AlternateContent>
  <xr:revisionPtr revIDLastSave="0" documentId="13_ncr:1_{45ABB71D-720B-481E-B675-4E645D0BEBF9}" xr6:coauthVersionLast="38" xr6:coauthVersionMax="38" xr10:uidLastSave="{00000000-0000-0000-0000-000000000000}"/>
  <bookViews>
    <workbookView xWindow="480" yWindow="1470" windowWidth="14880" windowHeight="7125" activeTab="23" xr2:uid="{00000000-000D-0000-FFFF-FFFF00000000}"/>
  </bookViews>
  <sheets>
    <sheet name="총괄" sheetId="16" r:id="rId1"/>
    <sheet name="01" sheetId="1307" r:id="rId2"/>
    <sheet name="02" sheetId="1308" r:id="rId3"/>
    <sheet name="05" sheetId="1309" r:id="rId4"/>
    <sheet name="06" sheetId="1310" r:id="rId5"/>
    <sheet name="07" sheetId="1311" r:id="rId6"/>
    <sheet name="08" sheetId="1312" r:id="rId7"/>
    <sheet name="09" sheetId="1313" r:id="rId8"/>
    <sheet name="12" sheetId="1314" r:id="rId9"/>
    <sheet name="13" sheetId="1315" r:id="rId10"/>
    <sheet name="14" sheetId="1316" r:id="rId11"/>
    <sheet name="15" sheetId="1317" r:id="rId12"/>
    <sheet name="16" sheetId="1318" r:id="rId13"/>
    <sheet name="19" sheetId="1319" r:id="rId14"/>
    <sheet name="20" sheetId="1320" r:id="rId15"/>
    <sheet name="21" sheetId="1321" r:id="rId16"/>
    <sheet name="22" sheetId="1322" r:id="rId17"/>
    <sheet name="23" sheetId="1323" r:id="rId18"/>
    <sheet name="24" sheetId="1324" r:id="rId19"/>
    <sheet name="26" sheetId="1325" r:id="rId20"/>
    <sheet name="27" sheetId="1326" r:id="rId21"/>
    <sheet name="28" sheetId="1327" r:id="rId22"/>
    <sheet name="29" sheetId="1328" r:id="rId23"/>
    <sheet name="30" sheetId="1329" r:id="rId24"/>
  </sheets>
  <definedNames>
    <definedName name="_xlnm.Print_Area" localSheetId="1">'01'!$A$1:$AD$86</definedName>
    <definedName name="_xlnm.Print_Area" localSheetId="2">'02'!$A$1:$AD$86</definedName>
    <definedName name="_xlnm.Print_Area" localSheetId="3">'05'!$A$1:$AD$86</definedName>
    <definedName name="_xlnm.Print_Area" localSheetId="4">'06'!$A$1:$AD$86</definedName>
    <definedName name="_xlnm.Print_Area" localSheetId="5">'07'!$A$1:$AD$86</definedName>
    <definedName name="_xlnm.Print_Area" localSheetId="6">'08'!$A$1:$AD$87</definedName>
    <definedName name="_xlnm.Print_Area" localSheetId="7">'09'!$A$1:$AD$86</definedName>
    <definedName name="_xlnm.Print_Area" localSheetId="8">'12'!$A$1:$AD$87</definedName>
    <definedName name="_xlnm.Print_Area" localSheetId="9">'13'!$A$1:$AD$86</definedName>
    <definedName name="_xlnm.Print_Area" localSheetId="10">'14'!$A$1:$AD$88</definedName>
    <definedName name="_xlnm.Print_Area" localSheetId="11">'15'!$A$1:$AD$86</definedName>
    <definedName name="_xlnm.Print_Area" localSheetId="12">'16'!$A$1:$AD$86</definedName>
    <definedName name="_xlnm.Print_Area" localSheetId="13">'19'!$A$1:$AD$86</definedName>
    <definedName name="_xlnm.Print_Area" localSheetId="14">'20'!$A$1:$AD$86</definedName>
    <definedName name="_xlnm.Print_Area" localSheetId="15">'21'!$A$1:$AD$88</definedName>
    <definedName name="_xlnm.Print_Area" localSheetId="16">'22'!$A$1:$AD$86</definedName>
    <definedName name="_xlnm.Print_Area" localSheetId="17">'23'!$A$1:$AD$87</definedName>
    <definedName name="_xlnm.Print_Area" localSheetId="18">'24'!$A$1:$AD$88</definedName>
    <definedName name="_xlnm.Print_Area" localSheetId="19">'26'!$A$1:$AD$87</definedName>
    <definedName name="_xlnm.Print_Area" localSheetId="20">'27'!$A$1:$AD$86</definedName>
    <definedName name="_xlnm.Print_Area" localSheetId="21">'28'!$A$1:$AD$86</definedName>
    <definedName name="_xlnm.Print_Area" localSheetId="22">'29'!$A$1:$AD$86</definedName>
    <definedName name="_xlnm.Print_Area" localSheetId="23">'30'!$A$1:$AD$86</definedName>
  </definedNames>
  <calcPr calcId="181029"/>
</workbook>
</file>

<file path=xl/calcChain.xml><?xml version="1.0" encoding="utf-8"?>
<calcChain xmlns="http://schemas.openxmlformats.org/spreadsheetml/2006/main">
  <c r="AE18" i="16" l="1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1329"/>
  <c r="M20" i="1329" s="1"/>
  <c r="P20" i="1329"/>
  <c r="AC20" i="1329" s="1"/>
  <c r="L18" i="1329"/>
  <c r="P18" i="1329" s="1"/>
  <c r="AC18" i="1329" s="1"/>
  <c r="L17" i="1329"/>
  <c r="L15" i="1329"/>
  <c r="O15" i="1329" s="1"/>
  <c r="L13" i="1329"/>
  <c r="K13" i="1329"/>
  <c r="L12" i="1329"/>
  <c r="M12" i="1329" s="1"/>
  <c r="K12" i="1329"/>
  <c r="L10" i="1329"/>
  <c r="K10" i="1329" s="1"/>
  <c r="L9" i="1329"/>
  <c r="AB9" i="1329" s="1"/>
  <c r="K9" i="1329"/>
  <c r="L8" i="1329"/>
  <c r="AB8" i="1329" s="1"/>
  <c r="K20" i="1329"/>
  <c r="K19" i="1329"/>
  <c r="K18" i="1329"/>
  <c r="K17" i="1329"/>
  <c r="K15" i="1329"/>
  <c r="K8" i="1329"/>
  <c r="A74" i="1329"/>
  <c r="A75" i="1329" s="1"/>
  <c r="A76" i="1329" s="1"/>
  <c r="A77" i="1329" s="1"/>
  <c r="A78" i="1329" s="1"/>
  <c r="A79" i="1329" s="1"/>
  <c r="A80" i="1329" s="1"/>
  <c r="A81" i="1329" s="1"/>
  <c r="AF62" i="1329"/>
  <c r="AF60" i="1329"/>
  <c r="AF59" i="1329"/>
  <c r="AA21" i="1329"/>
  <c r="Z21" i="1329"/>
  <c r="Y21" i="1329"/>
  <c r="X21" i="1329"/>
  <c r="W21" i="1329"/>
  <c r="V21" i="1329"/>
  <c r="U21" i="1329"/>
  <c r="T21" i="1329"/>
  <c r="S21" i="1329"/>
  <c r="R21" i="1329"/>
  <c r="N21" i="1329"/>
  <c r="J21" i="1329"/>
  <c r="I21" i="1329"/>
  <c r="AF20" i="1329"/>
  <c r="AB20" i="1329"/>
  <c r="Q20" i="1329"/>
  <c r="AF19" i="1329"/>
  <c r="AB19" i="1329"/>
  <c r="Q19" i="1329"/>
  <c r="O19" i="1329"/>
  <c r="M19" i="1329"/>
  <c r="P19" i="1329"/>
  <c r="AC19" i="1329" s="1"/>
  <c r="AF18" i="1329"/>
  <c r="Q18" i="1329"/>
  <c r="M18" i="1329"/>
  <c r="AF17" i="1329"/>
  <c r="Q17" i="1329"/>
  <c r="P17" i="1329"/>
  <c r="AC17" i="1329" s="1"/>
  <c r="AF16" i="1329"/>
  <c r="AB16" i="1329"/>
  <c r="Q16" i="1329"/>
  <c r="P16" i="1329"/>
  <c r="AC16" i="1329" s="1"/>
  <c r="O16" i="1329"/>
  <c r="M16" i="1329"/>
  <c r="K16" i="1329"/>
  <c r="AF15" i="1329"/>
  <c r="AB15" i="1329"/>
  <c r="Q15" i="1329"/>
  <c r="P15" i="1329" s="1"/>
  <c r="AC15" i="1329" s="1"/>
  <c r="AF14" i="1329"/>
  <c r="AB14" i="1329"/>
  <c r="Q14" i="1329"/>
  <c r="P14" i="1329" s="1"/>
  <c r="AC14" i="1329" s="1"/>
  <c r="O14" i="1329"/>
  <c r="M14" i="1329"/>
  <c r="K14" i="1329"/>
  <c r="AF13" i="1329"/>
  <c r="AB13" i="1329"/>
  <c r="Q13" i="1329"/>
  <c r="M13" i="1329"/>
  <c r="AF12" i="1329"/>
  <c r="AB12" i="1329"/>
  <c r="Q12" i="1329"/>
  <c r="P12" i="1329" s="1"/>
  <c r="AC12" i="1329" s="1"/>
  <c r="O12" i="1329"/>
  <c r="AF11" i="1329"/>
  <c r="AC11" i="1329"/>
  <c r="AD11" i="1329" s="1"/>
  <c r="AB11" i="1329"/>
  <c r="Q11" i="1329"/>
  <c r="P11" i="1329"/>
  <c r="O11" i="1329"/>
  <c r="M11" i="1329"/>
  <c r="K11" i="1329"/>
  <c r="AF10" i="1329"/>
  <c r="Q10" i="1329"/>
  <c r="P10" i="1329"/>
  <c r="AC10" i="1329" s="1"/>
  <c r="AF9" i="1329"/>
  <c r="Q9" i="1329"/>
  <c r="P9" i="1329" s="1"/>
  <c r="AC9" i="1329" s="1"/>
  <c r="O9" i="1329"/>
  <c r="M9" i="1329"/>
  <c r="AF8" i="1329"/>
  <c r="Q8" i="1329"/>
  <c r="AF7" i="1329"/>
  <c r="AB7" i="1329"/>
  <c r="Q7" i="1329"/>
  <c r="P7" i="1329"/>
  <c r="AC7" i="1329" s="1"/>
  <c r="AD7" i="1329" s="1"/>
  <c r="O7" i="1329"/>
  <c r="M7" i="1329"/>
  <c r="K7" i="1329"/>
  <c r="AF6" i="1329"/>
  <c r="AC6" i="1329"/>
  <c r="AB6" i="1329"/>
  <c r="Q6" i="1329"/>
  <c r="P6" i="1329"/>
  <c r="O6" i="1329"/>
  <c r="M6" i="1329"/>
  <c r="K6" i="1329"/>
  <c r="O20" i="1329" l="1"/>
  <c r="AD20" i="1329" s="1"/>
  <c r="AB18" i="1329"/>
  <c r="L21" i="1329"/>
  <c r="O21" i="1329" s="1"/>
  <c r="M15" i="1329"/>
  <c r="P13" i="1329"/>
  <c r="AC13" i="1329" s="1"/>
  <c r="Q21" i="1329"/>
  <c r="AD12" i="1329"/>
  <c r="M8" i="1329"/>
  <c r="AD15" i="1329"/>
  <c r="AD9" i="1329"/>
  <c r="AD14" i="1329"/>
  <c r="AD16" i="1329"/>
  <c r="AD19" i="1329"/>
  <c r="AD6" i="1329"/>
  <c r="O8" i="1329"/>
  <c r="M10" i="1329"/>
  <c r="AB10" i="1329"/>
  <c r="O13" i="1329"/>
  <c r="M17" i="1329"/>
  <c r="AB17" i="1329"/>
  <c r="O18" i="1329"/>
  <c r="AD18" i="1329" s="1"/>
  <c r="P8" i="1329"/>
  <c r="AC8" i="1329" s="1"/>
  <c r="O10" i="1329"/>
  <c r="K21" i="1329"/>
  <c r="O17" i="1329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0" i="1328"/>
  <c r="M20" i="1328" s="1"/>
  <c r="L19" i="1328"/>
  <c r="O19" i="1328" s="1"/>
  <c r="K19" i="1328"/>
  <c r="L18" i="1328"/>
  <c r="O18" i="1328" s="1"/>
  <c r="L17" i="1328"/>
  <c r="L13" i="1328"/>
  <c r="O13" i="1328" s="1"/>
  <c r="K13" i="1328"/>
  <c r="L10" i="1328"/>
  <c r="L8" i="1328"/>
  <c r="K20" i="1328"/>
  <c r="K18" i="1328"/>
  <c r="K17" i="1328"/>
  <c r="K15" i="1328"/>
  <c r="K14" i="1328"/>
  <c r="K12" i="1328"/>
  <c r="K10" i="1328"/>
  <c r="K9" i="1328"/>
  <c r="K8" i="1328"/>
  <c r="A76" i="1328"/>
  <c r="A77" i="1328" s="1"/>
  <c r="A78" i="1328" s="1"/>
  <c r="A79" i="1328" s="1"/>
  <c r="A80" i="1328" s="1"/>
  <c r="A81" i="1328" s="1"/>
  <c r="A75" i="1328"/>
  <c r="A74" i="1328"/>
  <c r="AF60" i="1328"/>
  <c r="AF59" i="1328"/>
  <c r="AF62" i="1328" s="1"/>
  <c r="AA21" i="1328"/>
  <c r="Z21" i="1328"/>
  <c r="Y21" i="1328"/>
  <c r="X21" i="1328"/>
  <c r="W21" i="1328"/>
  <c r="V21" i="1328"/>
  <c r="U21" i="1328"/>
  <c r="T21" i="1328"/>
  <c r="S21" i="1328"/>
  <c r="R21" i="1328"/>
  <c r="N21" i="1328"/>
  <c r="J21" i="1328"/>
  <c r="I21" i="1328"/>
  <c r="AF20" i="1328"/>
  <c r="AB20" i="1328"/>
  <c r="Q20" i="1328"/>
  <c r="O20" i="1328"/>
  <c r="AF19" i="1328"/>
  <c r="AB19" i="1328"/>
  <c r="Q19" i="1328"/>
  <c r="P19" i="1328" s="1"/>
  <c r="AC19" i="1328" s="1"/>
  <c r="M19" i="1328"/>
  <c r="AF18" i="1328"/>
  <c r="AB18" i="1328"/>
  <c r="Q18" i="1328"/>
  <c r="P18" i="1328" s="1"/>
  <c r="AC18" i="1328" s="1"/>
  <c r="M18" i="1328"/>
  <c r="AF17" i="1328"/>
  <c r="AB17" i="1328"/>
  <c r="Q17" i="1328"/>
  <c r="M17" i="1328"/>
  <c r="O17" i="1328"/>
  <c r="AF16" i="1328"/>
  <c r="AB16" i="1328"/>
  <c r="Q16" i="1328"/>
  <c r="P16" i="1328"/>
  <c r="AC16" i="1328" s="1"/>
  <c r="O16" i="1328"/>
  <c r="M16" i="1328"/>
  <c r="K16" i="1328"/>
  <c r="AF15" i="1328"/>
  <c r="AB15" i="1328"/>
  <c r="Q15" i="1328"/>
  <c r="P15" i="1328" s="1"/>
  <c r="AC15" i="1328" s="1"/>
  <c r="AD15" i="1328" s="1"/>
  <c r="O15" i="1328"/>
  <c r="M15" i="1328"/>
  <c r="AF14" i="1328"/>
  <c r="AB14" i="1328"/>
  <c r="Q14" i="1328"/>
  <c r="P14" i="1328" s="1"/>
  <c r="AC14" i="1328" s="1"/>
  <c r="O14" i="1328"/>
  <c r="M14" i="1328"/>
  <c r="AF13" i="1328"/>
  <c r="AB13" i="1328"/>
  <c r="Q13" i="1328"/>
  <c r="P13" i="1328"/>
  <c r="AC13" i="1328" s="1"/>
  <c r="M13" i="1328"/>
  <c r="AF12" i="1328"/>
  <c r="AB12" i="1328"/>
  <c r="Q12" i="1328"/>
  <c r="M12" i="1328"/>
  <c r="O12" i="1328"/>
  <c r="AF11" i="1328"/>
  <c r="AB11" i="1328"/>
  <c r="Q11" i="1328"/>
  <c r="P11" i="1328"/>
  <c r="AC11" i="1328" s="1"/>
  <c r="AD11" i="1328" s="1"/>
  <c r="O11" i="1328"/>
  <c r="M11" i="1328"/>
  <c r="K11" i="1328"/>
  <c r="AF10" i="1328"/>
  <c r="AB10" i="1328"/>
  <c r="Q10" i="1328"/>
  <c r="O10" i="1328"/>
  <c r="M10" i="1328"/>
  <c r="P10" i="1328"/>
  <c r="AC10" i="1328" s="1"/>
  <c r="AF9" i="1328"/>
  <c r="AB9" i="1328"/>
  <c r="Q9" i="1328"/>
  <c r="M9" i="1328"/>
  <c r="O9" i="1328"/>
  <c r="AF8" i="1328"/>
  <c r="Q8" i="1328"/>
  <c r="AB8" i="1328"/>
  <c r="AF7" i="1328"/>
  <c r="AB7" i="1328"/>
  <c r="Q7" i="1328"/>
  <c r="P7" i="1328"/>
  <c r="AC7" i="1328" s="1"/>
  <c r="AD7" i="1328" s="1"/>
  <c r="O7" i="1328"/>
  <c r="M7" i="1328"/>
  <c r="K7" i="1328"/>
  <c r="AF6" i="1328"/>
  <c r="AB6" i="1328"/>
  <c r="Q6" i="1328"/>
  <c r="P6" i="1328"/>
  <c r="AC6" i="1328" s="1"/>
  <c r="O6" i="1328"/>
  <c r="M6" i="1328"/>
  <c r="K6" i="1328"/>
  <c r="AD13" i="1329" l="1"/>
  <c r="AD8" i="1329"/>
  <c r="AD10" i="1329"/>
  <c r="AD17" i="1329"/>
  <c r="M21" i="1329"/>
  <c r="AC21" i="1329"/>
  <c r="AB21" i="1329"/>
  <c r="P21" i="1329"/>
  <c r="AD13" i="1328"/>
  <c r="Q21" i="1328"/>
  <c r="AB21" i="1328"/>
  <c r="AD14" i="1328"/>
  <c r="AD16" i="1328"/>
  <c r="AD10" i="1328"/>
  <c r="AD18" i="1328"/>
  <c r="AD19" i="1328"/>
  <c r="AD6" i="1328"/>
  <c r="O8" i="1328"/>
  <c r="P9" i="1328"/>
  <c r="AC9" i="1328" s="1"/>
  <c r="AD9" i="1328" s="1"/>
  <c r="P12" i="1328"/>
  <c r="AC12" i="1328" s="1"/>
  <c r="AD12" i="1328" s="1"/>
  <c r="P17" i="1328"/>
  <c r="AC17" i="1328" s="1"/>
  <c r="AD17" i="1328" s="1"/>
  <c r="P20" i="1328"/>
  <c r="AC20" i="1328" s="1"/>
  <c r="AD20" i="1328" s="1"/>
  <c r="K21" i="1328"/>
  <c r="P8" i="1328"/>
  <c r="AC8" i="1328" s="1"/>
  <c r="L21" i="1328"/>
  <c r="O21" i="1328" s="1"/>
  <c r="M8" i="1328"/>
  <c r="M21" i="1328" s="1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327"/>
  <c r="P20" i="1327" s="1"/>
  <c r="AC20" i="1327" s="1"/>
  <c r="K19" i="1327"/>
  <c r="L18" i="1327"/>
  <c r="P18" i="1327" s="1"/>
  <c r="AC18" i="1327" s="1"/>
  <c r="L17" i="1327"/>
  <c r="L15" i="1327"/>
  <c r="L12" i="1327"/>
  <c r="K12" i="1327" s="1"/>
  <c r="L10" i="1327"/>
  <c r="K10" i="1327" s="1"/>
  <c r="L9" i="1327"/>
  <c r="K9" i="1327" s="1"/>
  <c r="L8" i="1327"/>
  <c r="K8" i="1327" s="1"/>
  <c r="K20" i="1327"/>
  <c r="K17" i="1327"/>
  <c r="K15" i="1327"/>
  <c r="K14" i="1327"/>
  <c r="K13" i="1327"/>
  <c r="A74" i="1327"/>
  <c r="A75" i="1327" s="1"/>
  <c r="A76" i="1327" s="1"/>
  <c r="A77" i="1327" s="1"/>
  <c r="A78" i="1327" s="1"/>
  <c r="A79" i="1327" s="1"/>
  <c r="A80" i="1327" s="1"/>
  <c r="A81" i="1327" s="1"/>
  <c r="AF62" i="1327"/>
  <c r="AF60" i="1327"/>
  <c r="AF59" i="1327"/>
  <c r="AA21" i="1327"/>
  <c r="Z21" i="1327"/>
  <c r="Y21" i="1327"/>
  <c r="X21" i="1327"/>
  <c r="W21" i="1327"/>
  <c r="V21" i="1327"/>
  <c r="U21" i="1327"/>
  <c r="T21" i="1327"/>
  <c r="S21" i="1327"/>
  <c r="R21" i="1327"/>
  <c r="N21" i="1327"/>
  <c r="J21" i="1327"/>
  <c r="I21" i="1327"/>
  <c r="AF20" i="1327"/>
  <c r="AB20" i="1327"/>
  <c r="Q20" i="1327"/>
  <c r="O20" i="1327"/>
  <c r="AF19" i="1327"/>
  <c r="AB19" i="1327"/>
  <c r="Q19" i="1327"/>
  <c r="P19" i="1327"/>
  <c r="AC19" i="1327" s="1"/>
  <c r="O19" i="1327"/>
  <c r="M19" i="1327"/>
  <c r="AF18" i="1327"/>
  <c r="Q18" i="1327"/>
  <c r="AF17" i="1327"/>
  <c r="Q17" i="1327"/>
  <c r="P17" i="1327"/>
  <c r="AC17" i="1327" s="1"/>
  <c r="O17" i="1327"/>
  <c r="AF16" i="1327"/>
  <c r="AB16" i="1327"/>
  <c r="Q16" i="1327"/>
  <c r="P16" i="1327"/>
  <c r="AC16" i="1327" s="1"/>
  <c r="AD16" i="1327" s="1"/>
  <c r="O16" i="1327"/>
  <c r="M16" i="1327"/>
  <c r="K16" i="1327"/>
  <c r="AF15" i="1327"/>
  <c r="Q15" i="1327"/>
  <c r="AF14" i="1327"/>
  <c r="AB14" i="1327"/>
  <c r="Q14" i="1327"/>
  <c r="P14" i="1327"/>
  <c r="AC14" i="1327" s="1"/>
  <c r="O14" i="1327"/>
  <c r="M14" i="1327"/>
  <c r="AF13" i="1327"/>
  <c r="AC13" i="1327"/>
  <c r="AB13" i="1327"/>
  <c r="Q13" i="1327"/>
  <c r="P13" i="1327"/>
  <c r="O13" i="1327"/>
  <c r="M13" i="1327"/>
  <c r="AF12" i="1327"/>
  <c r="Q12" i="1327"/>
  <c r="AF11" i="1327"/>
  <c r="AB11" i="1327"/>
  <c r="Q11" i="1327"/>
  <c r="P11" i="1327"/>
  <c r="AC11" i="1327" s="1"/>
  <c r="O11" i="1327"/>
  <c r="M11" i="1327"/>
  <c r="K11" i="1327"/>
  <c r="AF10" i="1327"/>
  <c r="Q10" i="1327"/>
  <c r="AF9" i="1327"/>
  <c r="Q9" i="1327"/>
  <c r="P9" i="1327"/>
  <c r="AC9" i="1327" s="1"/>
  <c r="AF8" i="1327"/>
  <c r="Q8" i="1327"/>
  <c r="P8" i="1327"/>
  <c r="AC8" i="1327" s="1"/>
  <c r="AF7" i="1327"/>
  <c r="AC7" i="1327"/>
  <c r="AD7" i="1327" s="1"/>
  <c r="AB7" i="1327"/>
  <c r="Q7" i="1327"/>
  <c r="P7" i="1327"/>
  <c r="O7" i="1327"/>
  <c r="M7" i="1327"/>
  <c r="K7" i="1327"/>
  <c r="AF6" i="1327"/>
  <c r="AB6" i="1327"/>
  <c r="Q6" i="1327"/>
  <c r="P6" i="1327"/>
  <c r="O6" i="1327"/>
  <c r="M6" i="1327"/>
  <c r="K6" i="1327"/>
  <c r="AD21" i="1329" l="1"/>
  <c r="AE15" i="1329" s="1"/>
  <c r="AE18" i="1329"/>
  <c r="P21" i="1328"/>
  <c r="AD8" i="1328"/>
  <c r="AD21" i="1328" s="1"/>
  <c r="AC21" i="1328"/>
  <c r="AD20" i="1327"/>
  <c r="M20" i="1327"/>
  <c r="K18" i="1327"/>
  <c r="K21" i="1327" s="1"/>
  <c r="P15" i="1327"/>
  <c r="AC15" i="1327" s="1"/>
  <c r="P12" i="1327"/>
  <c r="AC12" i="1327" s="1"/>
  <c r="O10" i="1327"/>
  <c r="P10" i="1327"/>
  <c r="AC10" i="1327" s="1"/>
  <c r="AD10" i="1327" s="1"/>
  <c r="AB10" i="1327"/>
  <c r="M10" i="1327"/>
  <c r="Q21" i="1327"/>
  <c r="O8" i="1327"/>
  <c r="AD14" i="1327"/>
  <c r="AD13" i="1327"/>
  <c r="AD11" i="1327"/>
  <c r="AD19" i="1327"/>
  <c r="M12" i="1327"/>
  <c r="M15" i="1327"/>
  <c r="M18" i="1327"/>
  <c r="AB18" i="1327"/>
  <c r="M9" i="1327"/>
  <c r="AB15" i="1327"/>
  <c r="AD15" i="1327" s="1"/>
  <c r="AC6" i="1327"/>
  <c r="M8" i="1327"/>
  <c r="AB8" i="1327"/>
  <c r="O9" i="1327"/>
  <c r="O12" i="1327"/>
  <c r="O15" i="1327"/>
  <c r="M17" i="1327"/>
  <c r="AB17" i="1327"/>
  <c r="AD17" i="1327" s="1"/>
  <c r="O18" i="1327"/>
  <c r="L21" i="1327"/>
  <c r="O21" i="1327" s="1"/>
  <c r="AB9" i="1327"/>
  <c r="AB12" i="1327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326"/>
  <c r="O20" i="1326" s="1"/>
  <c r="K20" i="1326"/>
  <c r="L18" i="1326"/>
  <c r="O18" i="1326" s="1"/>
  <c r="L17" i="1326"/>
  <c r="O17" i="1326" s="1"/>
  <c r="L15" i="1326"/>
  <c r="L13" i="1326"/>
  <c r="L12" i="1326"/>
  <c r="M12" i="1326" s="1"/>
  <c r="L10" i="1326"/>
  <c r="K10" i="1326" s="1"/>
  <c r="L9" i="1326"/>
  <c r="O9" i="1326" s="1"/>
  <c r="L8" i="1326"/>
  <c r="K8" i="1326" s="1"/>
  <c r="K13" i="1326"/>
  <c r="K11" i="1326"/>
  <c r="A74" i="1326"/>
  <c r="A75" i="1326" s="1"/>
  <c r="A76" i="1326" s="1"/>
  <c r="A77" i="1326" s="1"/>
  <c r="A78" i="1326" s="1"/>
  <c r="A79" i="1326" s="1"/>
  <c r="A80" i="1326" s="1"/>
  <c r="A81" i="1326" s="1"/>
  <c r="AF60" i="1326"/>
  <c r="AF62" i="1326" s="1"/>
  <c r="AF59" i="1326"/>
  <c r="AA21" i="1326"/>
  <c r="Z21" i="1326"/>
  <c r="Y21" i="1326"/>
  <c r="X21" i="1326"/>
  <c r="W21" i="1326"/>
  <c r="V21" i="1326"/>
  <c r="U21" i="1326"/>
  <c r="T21" i="1326"/>
  <c r="S21" i="1326"/>
  <c r="R21" i="1326"/>
  <c r="N21" i="1326"/>
  <c r="J21" i="1326"/>
  <c r="I21" i="1326"/>
  <c r="AF20" i="1326"/>
  <c r="Q20" i="1326"/>
  <c r="P20" i="1326" s="1"/>
  <c r="AC20" i="1326" s="1"/>
  <c r="M20" i="1326"/>
  <c r="AF19" i="1326"/>
  <c r="AB19" i="1326"/>
  <c r="Q19" i="1326"/>
  <c r="P19" i="1326"/>
  <c r="AC19" i="1326" s="1"/>
  <c r="O19" i="1326"/>
  <c r="M19" i="1326"/>
  <c r="K19" i="1326"/>
  <c r="AF18" i="1326"/>
  <c r="Q18" i="1326"/>
  <c r="AF17" i="1326"/>
  <c r="Q17" i="1326"/>
  <c r="AB17" i="1326"/>
  <c r="AF16" i="1326"/>
  <c r="AB16" i="1326"/>
  <c r="Q16" i="1326"/>
  <c r="P16" i="1326"/>
  <c r="AC16" i="1326" s="1"/>
  <c r="O16" i="1326"/>
  <c r="M16" i="1326"/>
  <c r="K16" i="1326"/>
  <c r="AF15" i="1326"/>
  <c r="AB15" i="1326"/>
  <c r="Q15" i="1326"/>
  <c r="O15" i="1326"/>
  <c r="AF14" i="1326"/>
  <c r="AB14" i="1326"/>
  <c r="Q14" i="1326"/>
  <c r="P14" i="1326" s="1"/>
  <c r="AC14" i="1326" s="1"/>
  <c r="O14" i="1326"/>
  <c r="M14" i="1326"/>
  <c r="K14" i="1326"/>
  <c r="AF13" i="1326"/>
  <c r="Q13" i="1326"/>
  <c r="AF12" i="1326"/>
  <c r="Q12" i="1326"/>
  <c r="P12" i="1326" s="1"/>
  <c r="AC12" i="1326" s="1"/>
  <c r="AF11" i="1326"/>
  <c r="Q11" i="1326"/>
  <c r="P11" i="1326"/>
  <c r="AC11" i="1326" s="1"/>
  <c r="AF10" i="1326"/>
  <c r="AB10" i="1326"/>
  <c r="Q10" i="1326"/>
  <c r="M10" i="1326"/>
  <c r="O10" i="1326"/>
  <c r="AF9" i="1326"/>
  <c r="Q9" i="1326"/>
  <c r="P9" i="1326" s="1"/>
  <c r="AC9" i="1326" s="1"/>
  <c r="AF8" i="1326"/>
  <c r="Q8" i="1326"/>
  <c r="AF7" i="1326"/>
  <c r="AB7" i="1326"/>
  <c r="Q7" i="1326"/>
  <c r="P7" i="1326"/>
  <c r="AC7" i="1326" s="1"/>
  <c r="O7" i="1326"/>
  <c r="M7" i="1326"/>
  <c r="K7" i="1326"/>
  <c r="AF6" i="1326"/>
  <c r="AB6" i="1326"/>
  <c r="Q6" i="1326"/>
  <c r="P6" i="1326"/>
  <c r="O6" i="1326"/>
  <c r="M6" i="1326"/>
  <c r="K6" i="1326"/>
  <c r="AE7" i="1329" l="1"/>
  <c r="AE10" i="1329"/>
  <c r="AE9" i="1329"/>
  <c r="AE19" i="1329"/>
  <c r="AE14" i="1329"/>
  <c r="AE8" i="1329"/>
  <c r="AE12" i="1329"/>
  <c r="AE16" i="1329"/>
  <c r="AE6" i="1329"/>
  <c r="AE13" i="1329"/>
  <c r="AE17" i="1329"/>
  <c r="AE20" i="1329"/>
  <c r="AE11" i="1329"/>
  <c r="AE13" i="1328"/>
  <c r="AE7" i="1328"/>
  <c r="AE19" i="1328"/>
  <c r="AE16" i="1328"/>
  <c r="AE8" i="1328"/>
  <c r="AE20" i="1328"/>
  <c r="AE17" i="1328"/>
  <c r="AE14" i="1328"/>
  <c r="AE12" i="1328"/>
  <c r="AE9" i="1328"/>
  <c r="AE6" i="1328"/>
  <c r="AE11" i="1328"/>
  <c r="AE18" i="1328"/>
  <c r="AE15" i="1328"/>
  <c r="AE10" i="1328"/>
  <c r="AD12" i="1327"/>
  <c r="P21" i="1327"/>
  <c r="AD8" i="1327"/>
  <c r="AB21" i="1327"/>
  <c r="M21" i="1327"/>
  <c r="AD18" i="1327"/>
  <c r="AD9" i="1327"/>
  <c r="AC21" i="1327"/>
  <c r="AD6" i="1327"/>
  <c r="K12" i="1326"/>
  <c r="P18" i="1326"/>
  <c r="AC18" i="1326" s="1"/>
  <c r="AD18" i="1326" s="1"/>
  <c r="AB18" i="1326"/>
  <c r="AD7" i="1326"/>
  <c r="AD19" i="1326"/>
  <c r="AB20" i="1326"/>
  <c r="AD20" i="1326" s="1"/>
  <c r="K18" i="1326"/>
  <c r="M18" i="1326"/>
  <c r="K17" i="1326"/>
  <c r="P15" i="1326"/>
  <c r="AC15" i="1326" s="1"/>
  <c r="AD15" i="1326" s="1"/>
  <c r="M15" i="1326"/>
  <c r="K15" i="1326"/>
  <c r="AD14" i="1326"/>
  <c r="P13" i="1326"/>
  <c r="AC13" i="1326" s="1"/>
  <c r="Q21" i="1326"/>
  <c r="O12" i="1326"/>
  <c r="AB12" i="1326"/>
  <c r="P10" i="1326"/>
  <c r="AC10" i="1326" s="1"/>
  <c r="AD10" i="1326" s="1"/>
  <c r="K9" i="1326"/>
  <c r="M9" i="1326"/>
  <c r="AB9" i="1326"/>
  <c r="AD9" i="1326" s="1"/>
  <c r="P8" i="1326"/>
  <c r="AC8" i="1326" s="1"/>
  <c r="AD16" i="1326"/>
  <c r="AC6" i="1326"/>
  <c r="M8" i="1326"/>
  <c r="AB8" i="1326"/>
  <c r="AD8" i="1326" s="1"/>
  <c r="M11" i="1326"/>
  <c r="AB11" i="1326"/>
  <c r="M13" i="1326"/>
  <c r="AB13" i="1326"/>
  <c r="P17" i="1326"/>
  <c r="AC17" i="1326" s="1"/>
  <c r="AD17" i="1326" s="1"/>
  <c r="O8" i="1326"/>
  <c r="O11" i="1326"/>
  <c r="O13" i="1326"/>
  <c r="L21" i="1326"/>
  <c r="O21" i="1326" s="1"/>
  <c r="M17" i="132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19" i="1325"/>
  <c r="O19" i="1325" s="1"/>
  <c r="L18" i="1325"/>
  <c r="AB18" i="1325" s="1"/>
  <c r="L16" i="1325"/>
  <c r="O16" i="1325" s="1"/>
  <c r="L14" i="1325"/>
  <c r="K14" i="1325"/>
  <c r="L13" i="1325"/>
  <c r="M13" i="1325" s="1"/>
  <c r="AF13" i="1325"/>
  <c r="Q13" i="1325"/>
  <c r="P13" i="1325" s="1"/>
  <c r="AC13" i="1325" s="1"/>
  <c r="O13" i="1325"/>
  <c r="L11" i="1325"/>
  <c r="K11" i="1325"/>
  <c r="L10" i="1325"/>
  <c r="O10" i="1325" s="1"/>
  <c r="L8" i="1325"/>
  <c r="K8" i="1325" s="1"/>
  <c r="K20" i="1325"/>
  <c r="K19" i="1325"/>
  <c r="K18" i="1325"/>
  <c r="K16" i="1325"/>
  <c r="K12" i="1325"/>
  <c r="K9" i="1325"/>
  <c r="A75" i="1325"/>
  <c r="A76" i="1325" s="1"/>
  <c r="A77" i="1325" s="1"/>
  <c r="A78" i="1325" s="1"/>
  <c r="A79" i="1325" s="1"/>
  <c r="A80" i="1325" s="1"/>
  <c r="A81" i="1325" s="1"/>
  <c r="A82" i="1325" s="1"/>
  <c r="AF61" i="1325"/>
  <c r="AF60" i="1325"/>
  <c r="AA22" i="1325"/>
  <c r="Z22" i="1325"/>
  <c r="Y22" i="1325"/>
  <c r="X22" i="1325"/>
  <c r="W22" i="1325"/>
  <c r="V22" i="1325"/>
  <c r="U22" i="1325"/>
  <c r="T22" i="1325"/>
  <c r="S22" i="1325"/>
  <c r="R22" i="1325"/>
  <c r="N22" i="1325"/>
  <c r="J22" i="1325"/>
  <c r="I22" i="1325"/>
  <c r="AF21" i="1325"/>
  <c r="AB21" i="1325"/>
  <c r="Q21" i="1325"/>
  <c r="P21" i="1325"/>
  <c r="AC21" i="1325" s="1"/>
  <c r="O21" i="1325"/>
  <c r="M21" i="1325"/>
  <c r="K21" i="1325"/>
  <c r="AF20" i="1325"/>
  <c r="AB20" i="1325"/>
  <c r="Q20" i="1325"/>
  <c r="P20" i="1325"/>
  <c r="AC20" i="1325" s="1"/>
  <c r="O20" i="1325"/>
  <c r="M20" i="1325"/>
  <c r="AF19" i="1325"/>
  <c r="Q19" i="1325"/>
  <c r="AB19" i="1325"/>
  <c r="AF18" i="1325"/>
  <c r="Q18" i="1325"/>
  <c r="P18" i="1325"/>
  <c r="AC18" i="1325" s="1"/>
  <c r="M18" i="1325"/>
  <c r="AF17" i="1325"/>
  <c r="AB17" i="1325"/>
  <c r="Q17" i="1325"/>
  <c r="P17" i="1325"/>
  <c r="AC17" i="1325" s="1"/>
  <c r="O17" i="1325"/>
  <c r="M17" i="1325"/>
  <c r="K17" i="1325"/>
  <c r="AF16" i="1325"/>
  <c r="Q16" i="1325"/>
  <c r="AB16" i="1325"/>
  <c r="AF15" i="1325"/>
  <c r="AB15" i="1325"/>
  <c r="Q15" i="1325"/>
  <c r="P15" i="1325"/>
  <c r="AC15" i="1325" s="1"/>
  <c r="O15" i="1325"/>
  <c r="M15" i="1325"/>
  <c r="K15" i="1325"/>
  <c r="AF14" i="1325"/>
  <c r="AB14" i="1325"/>
  <c r="Q14" i="1325"/>
  <c r="M14" i="1325"/>
  <c r="AF12" i="1325"/>
  <c r="AB12" i="1325"/>
  <c r="Q12" i="1325"/>
  <c r="P12" i="1325" s="1"/>
  <c r="AC12" i="1325" s="1"/>
  <c r="M12" i="1325"/>
  <c r="O12" i="1325"/>
  <c r="AF11" i="1325"/>
  <c r="AB11" i="1325"/>
  <c r="Q11" i="1325"/>
  <c r="O11" i="1325"/>
  <c r="M11" i="1325"/>
  <c r="AF10" i="1325"/>
  <c r="Q10" i="1325"/>
  <c r="AB10" i="1325"/>
  <c r="AF9" i="1325"/>
  <c r="AB9" i="1325"/>
  <c r="Q9" i="1325"/>
  <c r="P9" i="1325"/>
  <c r="AC9" i="1325" s="1"/>
  <c r="M9" i="1325"/>
  <c r="O9" i="1325"/>
  <c r="AF8" i="1325"/>
  <c r="Q8" i="1325"/>
  <c r="O8" i="1325"/>
  <c r="AB8" i="1325"/>
  <c r="AF7" i="1325"/>
  <c r="AB7" i="1325"/>
  <c r="Q7" i="1325"/>
  <c r="P7" i="1325"/>
  <c r="AC7" i="1325" s="1"/>
  <c r="O7" i="1325"/>
  <c r="M7" i="1325"/>
  <c r="K7" i="1325"/>
  <c r="AF6" i="1325"/>
  <c r="AB6" i="1325"/>
  <c r="Q6" i="1325"/>
  <c r="P6" i="1325"/>
  <c r="AC6" i="1325" s="1"/>
  <c r="O6" i="1325"/>
  <c r="M6" i="1325"/>
  <c r="K6" i="1325"/>
  <c r="AD21" i="1327" l="1"/>
  <c r="AE13" i="1327" s="1"/>
  <c r="AD12" i="1326"/>
  <c r="K21" i="1326"/>
  <c r="AD13" i="1326"/>
  <c r="M21" i="1326"/>
  <c r="AD11" i="1326"/>
  <c r="AC21" i="1326"/>
  <c r="AD6" i="1326"/>
  <c r="AB21" i="1326"/>
  <c r="P21" i="1326"/>
  <c r="K13" i="1325"/>
  <c r="K10" i="1325"/>
  <c r="AB13" i="1325"/>
  <c r="AB22" i="1325" s="1"/>
  <c r="O18" i="1325"/>
  <c r="AD18" i="1325" s="1"/>
  <c r="P14" i="1325"/>
  <c r="AC14" i="1325" s="1"/>
  <c r="O14" i="1325"/>
  <c r="AD13" i="1325"/>
  <c r="AD9" i="1325"/>
  <c r="AD20" i="1325"/>
  <c r="P11" i="1325"/>
  <c r="AC11" i="1325" s="1"/>
  <c r="AD11" i="1325" s="1"/>
  <c r="AD7" i="1325"/>
  <c r="AD21" i="1325"/>
  <c r="AD17" i="1325"/>
  <c r="Q22" i="1325"/>
  <c r="AF63" i="1325"/>
  <c r="AD15" i="1325"/>
  <c r="K22" i="1325"/>
  <c r="AD12" i="1325"/>
  <c r="AD6" i="1325"/>
  <c r="P8" i="1325"/>
  <c r="AC8" i="1325" s="1"/>
  <c r="AD8" i="1325" s="1"/>
  <c r="P10" i="1325"/>
  <c r="AC10" i="1325" s="1"/>
  <c r="AD10" i="1325" s="1"/>
  <c r="P16" i="1325"/>
  <c r="AC16" i="1325" s="1"/>
  <c r="AD16" i="1325" s="1"/>
  <c r="P19" i="1325"/>
  <c r="AC19" i="1325" s="1"/>
  <c r="AD19" i="1325" s="1"/>
  <c r="L22" i="1325"/>
  <c r="O22" i="1325" s="1"/>
  <c r="M8" i="1325"/>
  <c r="M10" i="1325"/>
  <c r="M16" i="1325"/>
  <c r="M19" i="1325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K21" i="1324"/>
  <c r="L20" i="1324"/>
  <c r="K20" i="1324" s="1"/>
  <c r="L19" i="1324"/>
  <c r="L18" i="1324"/>
  <c r="K18" i="1324" s="1"/>
  <c r="L16" i="1324"/>
  <c r="AB16" i="1324" s="1"/>
  <c r="K15" i="1324"/>
  <c r="L13" i="1324"/>
  <c r="K13" i="1324"/>
  <c r="L11" i="1324"/>
  <c r="L10" i="1324"/>
  <c r="AB10" i="1324" s="1"/>
  <c r="K10" i="1324"/>
  <c r="AF10" i="1324"/>
  <c r="Q10" i="1324"/>
  <c r="P10" i="1324" s="1"/>
  <c r="AC10" i="1324" s="1"/>
  <c r="O10" i="1324"/>
  <c r="L8" i="1324"/>
  <c r="O8" i="1324" s="1"/>
  <c r="K19" i="1324"/>
  <c r="K17" i="1324"/>
  <c r="K16" i="1324"/>
  <c r="K14" i="1324"/>
  <c r="K12" i="1324"/>
  <c r="K11" i="1324"/>
  <c r="K9" i="1324"/>
  <c r="A77" i="1324"/>
  <c r="A78" i="1324" s="1"/>
  <c r="A79" i="1324" s="1"/>
  <c r="A80" i="1324" s="1"/>
  <c r="A81" i="1324" s="1"/>
  <c r="A82" i="1324" s="1"/>
  <c r="A83" i="1324" s="1"/>
  <c r="A76" i="1324"/>
  <c r="AF62" i="1324"/>
  <c r="AF61" i="1324"/>
  <c r="AF64" i="1324" s="1"/>
  <c r="AA23" i="1324"/>
  <c r="Z23" i="1324"/>
  <c r="Y23" i="1324"/>
  <c r="X23" i="1324"/>
  <c r="W23" i="1324"/>
  <c r="V23" i="1324"/>
  <c r="U23" i="1324"/>
  <c r="T23" i="1324"/>
  <c r="S23" i="1324"/>
  <c r="R23" i="1324"/>
  <c r="N23" i="1324"/>
  <c r="J23" i="1324"/>
  <c r="I23" i="1324"/>
  <c r="AF22" i="1324"/>
  <c r="AB22" i="1324"/>
  <c r="Q22" i="1324"/>
  <c r="P22" i="1324"/>
  <c r="AC22" i="1324" s="1"/>
  <c r="AD22" i="1324" s="1"/>
  <c r="O22" i="1324"/>
  <c r="M22" i="1324"/>
  <c r="K22" i="1324"/>
  <c r="AF21" i="1324"/>
  <c r="Q21" i="1324"/>
  <c r="P21" i="1324"/>
  <c r="AC21" i="1324" s="1"/>
  <c r="O21" i="1324"/>
  <c r="AB21" i="1324"/>
  <c r="AF20" i="1324"/>
  <c r="AB20" i="1324"/>
  <c r="Q20" i="1324"/>
  <c r="O20" i="1324"/>
  <c r="M20" i="1324"/>
  <c r="AF19" i="1324"/>
  <c r="Q19" i="1324"/>
  <c r="O19" i="1324"/>
  <c r="AF18" i="1324"/>
  <c r="Q18" i="1324"/>
  <c r="P18" i="1324"/>
  <c r="AC18" i="1324" s="1"/>
  <c r="AF17" i="1324"/>
  <c r="Q17" i="1324"/>
  <c r="P17" i="1324"/>
  <c r="AC17" i="1324" s="1"/>
  <c r="O17" i="1324"/>
  <c r="AB17" i="1324"/>
  <c r="AF16" i="1324"/>
  <c r="Q16" i="1324"/>
  <c r="P16" i="1324"/>
  <c r="AC16" i="1324" s="1"/>
  <c r="O16" i="1324"/>
  <c r="AF15" i="1324"/>
  <c r="AB15" i="1324"/>
  <c r="Q15" i="1324"/>
  <c r="P15" i="1324"/>
  <c r="AC15" i="1324" s="1"/>
  <c r="O15" i="1324"/>
  <c r="M15" i="1324"/>
  <c r="AF14" i="1324"/>
  <c r="Q14" i="1324"/>
  <c r="P14" i="1324"/>
  <c r="AC14" i="1324" s="1"/>
  <c r="O14" i="1324"/>
  <c r="AB14" i="1324"/>
  <c r="AF13" i="1324"/>
  <c r="AB13" i="1324"/>
  <c r="Q13" i="1324"/>
  <c r="O13" i="1324"/>
  <c r="M13" i="1324"/>
  <c r="AF12" i="1324"/>
  <c r="Q12" i="1324"/>
  <c r="AB12" i="1324"/>
  <c r="AF11" i="1324"/>
  <c r="Q11" i="1324"/>
  <c r="P11" i="1324"/>
  <c r="AC11" i="1324" s="1"/>
  <c r="O11" i="1324"/>
  <c r="AF9" i="1324"/>
  <c r="Q9" i="1324"/>
  <c r="P9" i="1324" s="1"/>
  <c r="AC9" i="1324" s="1"/>
  <c r="O9" i="1324"/>
  <c r="AB9" i="1324"/>
  <c r="AF8" i="1324"/>
  <c r="AB8" i="1324"/>
  <c r="Q8" i="1324"/>
  <c r="P8" i="1324"/>
  <c r="AC8" i="1324" s="1"/>
  <c r="M8" i="1324"/>
  <c r="AF7" i="1324"/>
  <c r="AC7" i="1324"/>
  <c r="AB7" i="1324"/>
  <c r="Q7" i="1324"/>
  <c r="P7" i="1324"/>
  <c r="O7" i="1324"/>
  <c r="M7" i="1324"/>
  <c r="K7" i="1324"/>
  <c r="AF6" i="1324"/>
  <c r="AC6" i="1324"/>
  <c r="AB6" i="1324"/>
  <c r="Q6" i="1324"/>
  <c r="P6" i="1324"/>
  <c r="O6" i="1324"/>
  <c r="M6" i="1324"/>
  <c r="K6" i="1324"/>
  <c r="AE6" i="1327" l="1"/>
  <c r="AE8" i="1327"/>
  <c r="AE14" i="1327"/>
  <c r="AE9" i="1327"/>
  <c r="AE17" i="1327"/>
  <c r="AE16" i="1327"/>
  <c r="AE10" i="1327"/>
  <c r="AE15" i="1327"/>
  <c r="AE11" i="1327"/>
  <c r="AE18" i="1327"/>
  <c r="AE7" i="1327"/>
  <c r="AE12" i="1327"/>
  <c r="AE20" i="1327"/>
  <c r="AE19" i="1327"/>
  <c r="AD21" i="1326"/>
  <c r="AE16" i="1326" s="1"/>
  <c r="AD14" i="1325"/>
  <c r="AD22" i="1325" s="1"/>
  <c r="AE13" i="1325" s="1"/>
  <c r="M22" i="1325"/>
  <c r="P22" i="1325"/>
  <c r="AC22" i="1325"/>
  <c r="P20" i="1324"/>
  <c r="AC20" i="1324" s="1"/>
  <c r="AD20" i="1324" s="1"/>
  <c r="AB18" i="1324"/>
  <c r="AD16" i="1324"/>
  <c r="M16" i="1324"/>
  <c r="P13" i="1324"/>
  <c r="AC13" i="1324" s="1"/>
  <c r="AD13" i="1324" s="1"/>
  <c r="M10" i="1324"/>
  <c r="AD10" i="1324"/>
  <c r="AD7" i="1324"/>
  <c r="Q23" i="1324"/>
  <c r="K8" i="1324"/>
  <c r="AD15" i="1324"/>
  <c r="AD8" i="1324"/>
  <c r="AD9" i="1324"/>
  <c r="AD14" i="1324"/>
  <c r="AD17" i="1324"/>
  <c r="AD21" i="1324"/>
  <c r="M12" i="1324"/>
  <c r="M19" i="1324"/>
  <c r="L23" i="1324"/>
  <c r="O23" i="1324" s="1"/>
  <c r="M11" i="1324"/>
  <c r="AB11" i="1324"/>
  <c r="AB23" i="1324" s="1"/>
  <c r="O12" i="1324"/>
  <c r="M9" i="1324"/>
  <c r="K23" i="1324"/>
  <c r="P12" i="1324"/>
  <c r="AC12" i="1324" s="1"/>
  <c r="M14" i="1324"/>
  <c r="M17" i="1324"/>
  <c r="O18" i="1324"/>
  <c r="P19" i="1324"/>
  <c r="AC19" i="1324" s="1"/>
  <c r="M21" i="1324"/>
  <c r="AD6" i="1324"/>
  <c r="AB19" i="1324"/>
  <c r="M18" i="1324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323"/>
  <c r="K20" i="1323" s="1"/>
  <c r="AF19" i="1323"/>
  <c r="Q19" i="1323"/>
  <c r="P19" i="1323"/>
  <c r="AC19" i="1323" s="1"/>
  <c r="L19" i="1323"/>
  <c r="O19" i="1323" s="1"/>
  <c r="K19" i="1323"/>
  <c r="L18" i="1323"/>
  <c r="L17" i="1323"/>
  <c r="L16" i="1323"/>
  <c r="L15" i="1323"/>
  <c r="L13" i="1323"/>
  <c r="O13" i="1323" s="1"/>
  <c r="K13" i="1323"/>
  <c r="L12" i="1323"/>
  <c r="M12" i="1323" s="1"/>
  <c r="K12" i="1323"/>
  <c r="L11" i="1323"/>
  <c r="P11" i="1323" s="1"/>
  <c r="AC11" i="1323" s="1"/>
  <c r="L10" i="1323"/>
  <c r="O10" i="1323" s="1"/>
  <c r="L9" i="1323"/>
  <c r="K9" i="1323" s="1"/>
  <c r="L8" i="1323"/>
  <c r="O8" i="1323" s="1"/>
  <c r="K21" i="1323"/>
  <c r="K18" i="1323"/>
  <c r="K17" i="1323"/>
  <c r="K16" i="1323"/>
  <c r="K15" i="1323"/>
  <c r="K11" i="1323"/>
  <c r="K10" i="1323"/>
  <c r="A76" i="1323"/>
  <c r="A77" i="1323" s="1"/>
  <c r="A78" i="1323" s="1"/>
  <c r="A79" i="1323" s="1"/>
  <c r="A80" i="1323" s="1"/>
  <c r="A81" i="1323" s="1"/>
  <c r="A82" i="1323" s="1"/>
  <c r="A75" i="1323"/>
  <c r="AF61" i="1323"/>
  <c r="AF60" i="1323"/>
  <c r="AF63" i="1323" s="1"/>
  <c r="AA22" i="1323"/>
  <c r="Z22" i="1323"/>
  <c r="Y22" i="1323"/>
  <c r="X22" i="1323"/>
  <c r="W22" i="1323"/>
  <c r="V22" i="1323"/>
  <c r="U22" i="1323"/>
  <c r="T22" i="1323"/>
  <c r="S22" i="1323"/>
  <c r="R22" i="1323"/>
  <c r="N22" i="1323"/>
  <c r="J22" i="1323"/>
  <c r="I22" i="1323"/>
  <c r="AF21" i="1323"/>
  <c r="Q21" i="1323"/>
  <c r="O21" i="1323"/>
  <c r="AF20" i="1323"/>
  <c r="AB20" i="1323"/>
  <c r="Q20" i="1323"/>
  <c r="P20" i="1323" s="1"/>
  <c r="AC20" i="1323" s="1"/>
  <c r="M20" i="1323"/>
  <c r="AF18" i="1323"/>
  <c r="Q18" i="1323"/>
  <c r="O18" i="1323"/>
  <c r="P18" i="1323"/>
  <c r="AC18" i="1323" s="1"/>
  <c r="AF17" i="1323"/>
  <c r="AB17" i="1323"/>
  <c r="Q17" i="1323"/>
  <c r="P17" i="1323"/>
  <c r="AC17" i="1323" s="1"/>
  <c r="O17" i="1323"/>
  <c r="M17" i="1323"/>
  <c r="AF16" i="1323"/>
  <c r="Q16" i="1323"/>
  <c r="O16" i="1323"/>
  <c r="AF15" i="1323"/>
  <c r="AB15" i="1323"/>
  <c r="Q15" i="1323"/>
  <c r="M15" i="1323"/>
  <c r="O15" i="1323"/>
  <c r="AF14" i="1323"/>
  <c r="AC14" i="1323"/>
  <c r="AB14" i="1323"/>
  <c r="Q14" i="1323"/>
  <c r="P14" i="1323"/>
  <c r="O14" i="1323"/>
  <c r="M14" i="1323"/>
  <c r="K14" i="1323"/>
  <c r="AF13" i="1323"/>
  <c r="Q13" i="1323"/>
  <c r="AF12" i="1323"/>
  <c r="AB12" i="1323"/>
  <c r="Q12" i="1323"/>
  <c r="P12" i="1323" s="1"/>
  <c r="AC12" i="1323" s="1"/>
  <c r="O12" i="1323"/>
  <c r="AF11" i="1323"/>
  <c r="Q11" i="1323"/>
  <c r="O11" i="1323"/>
  <c r="AF10" i="1323"/>
  <c r="AB10" i="1323"/>
  <c r="Q10" i="1323"/>
  <c r="P10" i="1323"/>
  <c r="AC10" i="1323" s="1"/>
  <c r="M10" i="1323"/>
  <c r="AF9" i="1323"/>
  <c r="AB9" i="1323"/>
  <c r="Q9" i="1323"/>
  <c r="P9" i="1323"/>
  <c r="AC9" i="1323" s="1"/>
  <c r="O9" i="1323"/>
  <c r="M9" i="1323"/>
  <c r="AF8" i="1323"/>
  <c r="Q8" i="1323"/>
  <c r="AF7" i="1323"/>
  <c r="AB7" i="1323"/>
  <c r="Q7" i="1323"/>
  <c r="P7" i="1323"/>
  <c r="AC7" i="1323" s="1"/>
  <c r="O7" i="1323"/>
  <c r="M7" i="1323"/>
  <c r="K7" i="1323"/>
  <c r="AF6" i="1323"/>
  <c r="AB6" i="1323"/>
  <c r="Q6" i="1323"/>
  <c r="P6" i="1323"/>
  <c r="O6" i="1323"/>
  <c r="M6" i="1323"/>
  <c r="K6" i="1323"/>
  <c r="AE13" i="1326" l="1"/>
  <c r="AE7" i="1326"/>
  <c r="AE15" i="1326"/>
  <c r="AE14" i="1326"/>
  <c r="AE18" i="1326"/>
  <c r="AE17" i="1326"/>
  <c r="AE11" i="1326"/>
  <c r="AE19" i="1326"/>
  <c r="AE10" i="1326"/>
  <c r="AE20" i="1326"/>
  <c r="AE9" i="1326"/>
  <c r="AE6" i="1326"/>
  <c r="AE12" i="1326"/>
  <c r="AE8" i="1326"/>
  <c r="AE20" i="1325"/>
  <c r="AE18" i="1325"/>
  <c r="AE15" i="1325"/>
  <c r="AE12" i="1325"/>
  <c r="AE9" i="1325"/>
  <c r="AE7" i="1325"/>
  <c r="AE16" i="1325"/>
  <c r="AE8" i="1325"/>
  <c r="AE11" i="1325"/>
  <c r="AE19" i="1325"/>
  <c r="AE10" i="1325"/>
  <c r="AE21" i="1325"/>
  <c r="AE14" i="1325"/>
  <c r="AE6" i="1325"/>
  <c r="AE17" i="1325"/>
  <c r="AC23" i="1324"/>
  <c r="AD18" i="1324"/>
  <c r="P23" i="1324"/>
  <c r="AD11" i="1324"/>
  <c r="M23" i="1324"/>
  <c r="AD19" i="1324"/>
  <c r="AD12" i="1324"/>
  <c r="O20" i="1323"/>
  <c r="AD20" i="1323" s="1"/>
  <c r="AD19" i="1323"/>
  <c r="P15" i="1323"/>
  <c r="AC15" i="1323" s="1"/>
  <c r="M19" i="1323"/>
  <c r="AB19" i="1323"/>
  <c r="AD7" i="1323"/>
  <c r="AD12" i="1323"/>
  <c r="Q22" i="1323"/>
  <c r="L22" i="1323"/>
  <c r="O22" i="1323" s="1"/>
  <c r="K8" i="1323"/>
  <c r="AD9" i="1323"/>
  <c r="AD10" i="1323"/>
  <c r="AD14" i="1323"/>
  <c r="AD17" i="1323"/>
  <c r="AD15" i="1323"/>
  <c r="AC6" i="1323"/>
  <c r="M8" i="1323"/>
  <c r="AB8" i="1323"/>
  <c r="M11" i="1323"/>
  <c r="AB11" i="1323"/>
  <c r="AD11" i="1323" s="1"/>
  <c r="P13" i="1323"/>
  <c r="AC13" i="1323" s="1"/>
  <c r="P16" i="1323"/>
  <c r="AC16" i="1323" s="1"/>
  <c r="M18" i="1323"/>
  <c r="AB18" i="1323"/>
  <c r="AD18" i="1323" s="1"/>
  <c r="P21" i="1323"/>
  <c r="AC21" i="1323" s="1"/>
  <c r="P8" i="1323"/>
  <c r="AC8" i="1323" s="1"/>
  <c r="M13" i="1323"/>
  <c r="AB13" i="1323"/>
  <c r="M16" i="1323"/>
  <c r="AB16" i="1323"/>
  <c r="M21" i="1323"/>
  <c r="AB21" i="1323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0" i="1322"/>
  <c r="O20" i="1322" s="1"/>
  <c r="L19" i="1322"/>
  <c r="L18" i="1322"/>
  <c r="K18" i="1322"/>
  <c r="L17" i="1322"/>
  <c r="AB17" i="1322" s="1"/>
  <c r="L16" i="1322"/>
  <c r="L15" i="1322"/>
  <c r="K15" i="1322" s="1"/>
  <c r="L13" i="1322"/>
  <c r="AB13" i="1322" s="1"/>
  <c r="L12" i="1322"/>
  <c r="M12" i="1322" s="1"/>
  <c r="L11" i="1322"/>
  <c r="O11" i="1322" s="1"/>
  <c r="L10" i="1322"/>
  <c r="K10" i="1322" s="1"/>
  <c r="K9" i="1322"/>
  <c r="L8" i="1322"/>
  <c r="K8" i="1322" s="1"/>
  <c r="K20" i="1322"/>
  <c r="K19" i="1322"/>
  <c r="K17" i="1322"/>
  <c r="K16" i="1322"/>
  <c r="K14" i="1322"/>
  <c r="K13" i="1322"/>
  <c r="K12" i="1322"/>
  <c r="K11" i="1322"/>
  <c r="A74" i="1322"/>
  <c r="A75" i="1322" s="1"/>
  <c r="A76" i="1322" s="1"/>
  <c r="A77" i="1322" s="1"/>
  <c r="A78" i="1322" s="1"/>
  <c r="A79" i="1322" s="1"/>
  <c r="A80" i="1322" s="1"/>
  <c r="A81" i="1322" s="1"/>
  <c r="AF60" i="1322"/>
  <c r="AF59" i="1322"/>
  <c r="AF62" i="1322" s="1"/>
  <c r="AA21" i="1322"/>
  <c r="Z21" i="1322"/>
  <c r="Y21" i="1322"/>
  <c r="X21" i="1322"/>
  <c r="W21" i="1322"/>
  <c r="V21" i="1322"/>
  <c r="U21" i="1322"/>
  <c r="T21" i="1322"/>
  <c r="S21" i="1322"/>
  <c r="R21" i="1322"/>
  <c r="N21" i="1322"/>
  <c r="J21" i="1322"/>
  <c r="I21" i="1322"/>
  <c r="AF20" i="1322"/>
  <c r="Q20" i="1322"/>
  <c r="AF19" i="1322"/>
  <c r="Q19" i="1322"/>
  <c r="P19" i="1322"/>
  <c r="AC19" i="1322" s="1"/>
  <c r="AB19" i="1322"/>
  <c r="AF18" i="1322"/>
  <c r="Q18" i="1322"/>
  <c r="P18" i="1322"/>
  <c r="AC18" i="1322" s="1"/>
  <c r="O18" i="1322"/>
  <c r="AB18" i="1322"/>
  <c r="AF17" i="1322"/>
  <c r="Q17" i="1322"/>
  <c r="P17" i="1322"/>
  <c r="AC17" i="1322" s="1"/>
  <c r="O17" i="1322"/>
  <c r="AF16" i="1322"/>
  <c r="AB16" i="1322"/>
  <c r="Q16" i="1322"/>
  <c r="P16" i="1322" s="1"/>
  <c r="AC16" i="1322" s="1"/>
  <c r="O16" i="1322"/>
  <c r="M16" i="1322"/>
  <c r="AF15" i="1322"/>
  <c r="AB15" i="1322"/>
  <c r="Q15" i="1322"/>
  <c r="O15" i="1322"/>
  <c r="M15" i="1322"/>
  <c r="AF14" i="1322"/>
  <c r="AB14" i="1322"/>
  <c r="Q14" i="1322"/>
  <c r="P14" i="1322" s="1"/>
  <c r="AC14" i="1322" s="1"/>
  <c r="O14" i="1322"/>
  <c r="M14" i="1322"/>
  <c r="AF13" i="1322"/>
  <c r="Q13" i="1322"/>
  <c r="P13" i="1322"/>
  <c r="AC13" i="1322" s="1"/>
  <c r="O13" i="1322"/>
  <c r="M13" i="1322"/>
  <c r="AF12" i="1322"/>
  <c r="AB12" i="1322"/>
  <c r="Q12" i="1322"/>
  <c r="P12" i="1322" s="1"/>
  <c r="AC12" i="1322" s="1"/>
  <c r="O12" i="1322"/>
  <c r="AF11" i="1322"/>
  <c r="Q11" i="1322"/>
  <c r="AF10" i="1322"/>
  <c r="Q10" i="1322"/>
  <c r="P10" i="1322"/>
  <c r="AC10" i="1322" s="1"/>
  <c r="AB10" i="1322"/>
  <c r="AF9" i="1322"/>
  <c r="AB9" i="1322"/>
  <c r="Q9" i="1322"/>
  <c r="P9" i="1322"/>
  <c r="AC9" i="1322" s="1"/>
  <c r="O9" i="1322"/>
  <c r="M9" i="1322"/>
  <c r="AF8" i="1322"/>
  <c r="Q8" i="1322"/>
  <c r="O8" i="1322"/>
  <c r="AF7" i="1322"/>
  <c r="AB7" i="1322"/>
  <c r="Q7" i="1322"/>
  <c r="P7" i="1322"/>
  <c r="AC7" i="1322" s="1"/>
  <c r="O7" i="1322"/>
  <c r="M7" i="1322"/>
  <c r="K7" i="1322"/>
  <c r="AF6" i="1322"/>
  <c r="AB6" i="1322"/>
  <c r="Q6" i="1322"/>
  <c r="P6" i="1322"/>
  <c r="O6" i="1322"/>
  <c r="M6" i="1322"/>
  <c r="K6" i="1322"/>
  <c r="AD23" i="1324" l="1"/>
  <c r="AE10" i="1324" s="1"/>
  <c r="AD8" i="1323"/>
  <c r="M22" i="1323"/>
  <c r="AB22" i="1323"/>
  <c r="K22" i="1323"/>
  <c r="AD21" i="1323"/>
  <c r="AD16" i="1323"/>
  <c r="AC22" i="1323"/>
  <c r="AD6" i="1323"/>
  <c r="AD13" i="1323"/>
  <c r="P22" i="1323"/>
  <c r="M17" i="1322"/>
  <c r="P15" i="1322"/>
  <c r="AC15" i="1322" s="1"/>
  <c r="AD15" i="1322" s="1"/>
  <c r="AD12" i="1322"/>
  <c r="AD7" i="1322"/>
  <c r="AD13" i="1322"/>
  <c r="AD14" i="1322"/>
  <c r="Q21" i="1322"/>
  <c r="AD17" i="1322"/>
  <c r="AD9" i="1322"/>
  <c r="AD16" i="1322"/>
  <c r="AD18" i="1322"/>
  <c r="K21" i="1322"/>
  <c r="P8" i="1322"/>
  <c r="AC8" i="1322" s="1"/>
  <c r="O10" i="1322"/>
  <c r="AD10" i="1322" s="1"/>
  <c r="P11" i="1322"/>
  <c r="AC11" i="1322" s="1"/>
  <c r="M18" i="1322"/>
  <c r="O19" i="1322"/>
  <c r="AD19" i="1322" s="1"/>
  <c r="P20" i="1322"/>
  <c r="AC20" i="1322" s="1"/>
  <c r="AC6" i="1322"/>
  <c r="M8" i="1322"/>
  <c r="AB8" i="1322"/>
  <c r="M11" i="1322"/>
  <c r="AB11" i="1322"/>
  <c r="M20" i="1322"/>
  <c r="AB20" i="1322"/>
  <c r="L21" i="1322"/>
  <c r="O21" i="1322" s="1"/>
  <c r="M10" i="1322"/>
  <c r="M19" i="1322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2" i="1321"/>
  <c r="O22" i="1321" s="1"/>
  <c r="L21" i="1321"/>
  <c r="K21" i="1321" s="1"/>
  <c r="L20" i="1321"/>
  <c r="K20" i="1321"/>
  <c r="L19" i="1321"/>
  <c r="K19" i="1321"/>
  <c r="K18" i="1321"/>
  <c r="K16" i="1321"/>
  <c r="L15" i="1321"/>
  <c r="K15" i="1321"/>
  <c r="L14" i="1321"/>
  <c r="L13" i="1321"/>
  <c r="L12" i="1321"/>
  <c r="AB12" i="1321" s="1"/>
  <c r="K12" i="1321"/>
  <c r="AF12" i="1321"/>
  <c r="Q12" i="1321"/>
  <c r="P12" i="1321"/>
  <c r="AC12" i="1321" s="1"/>
  <c r="O12" i="1321"/>
  <c r="AF10" i="1321"/>
  <c r="AB10" i="1321"/>
  <c r="Q10" i="1321"/>
  <c r="P10" i="1321" s="1"/>
  <c r="AC10" i="1321" s="1"/>
  <c r="AD10" i="1321" s="1"/>
  <c r="O10" i="1321"/>
  <c r="M10" i="1321"/>
  <c r="K10" i="1321"/>
  <c r="K9" i="1321"/>
  <c r="L8" i="1321"/>
  <c r="K22" i="1321"/>
  <c r="K20" i="1320"/>
  <c r="K14" i="1321"/>
  <c r="K13" i="1321"/>
  <c r="K11" i="1321"/>
  <c r="K8" i="1321"/>
  <c r="A76" i="1321"/>
  <c r="A77" i="1321" s="1"/>
  <c r="A78" i="1321" s="1"/>
  <c r="A79" i="1321" s="1"/>
  <c r="A80" i="1321" s="1"/>
  <c r="A81" i="1321" s="1"/>
  <c r="A82" i="1321" s="1"/>
  <c r="A83" i="1321" s="1"/>
  <c r="AF62" i="1321"/>
  <c r="AF61" i="1321"/>
  <c r="AF64" i="1321" s="1"/>
  <c r="AA23" i="1321"/>
  <c r="Z23" i="1321"/>
  <c r="Y23" i="1321"/>
  <c r="X23" i="1321"/>
  <c r="W23" i="1321"/>
  <c r="V23" i="1321"/>
  <c r="U23" i="1321"/>
  <c r="T23" i="1321"/>
  <c r="S23" i="1321"/>
  <c r="R23" i="1321"/>
  <c r="N23" i="1321"/>
  <c r="J23" i="1321"/>
  <c r="I23" i="1321"/>
  <c r="AF22" i="1321"/>
  <c r="Q22" i="1321"/>
  <c r="P22" i="1321"/>
  <c r="AC22" i="1321" s="1"/>
  <c r="AB22" i="1321"/>
  <c r="AF21" i="1321"/>
  <c r="AC21" i="1321"/>
  <c r="AB21" i="1321"/>
  <c r="Q21" i="1321"/>
  <c r="P21" i="1321"/>
  <c r="O21" i="1321"/>
  <c r="M21" i="1321"/>
  <c r="AF20" i="1321"/>
  <c r="Q20" i="1321"/>
  <c r="P20" i="1321"/>
  <c r="AC20" i="1321" s="1"/>
  <c r="AF19" i="1321"/>
  <c r="AB19" i="1321"/>
  <c r="Q19" i="1321"/>
  <c r="P19" i="1321"/>
  <c r="AC19" i="1321" s="1"/>
  <c r="O19" i="1321"/>
  <c r="M19" i="1321"/>
  <c r="AF18" i="1321"/>
  <c r="AB18" i="1321"/>
  <c r="Q18" i="1321"/>
  <c r="P18" i="1321" s="1"/>
  <c r="AC18" i="1321" s="1"/>
  <c r="O18" i="1321"/>
  <c r="M18" i="1321"/>
  <c r="AF17" i="1321"/>
  <c r="AB17" i="1321"/>
  <c r="Q17" i="1321"/>
  <c r="P17" i="1321"/>
  <c r="AC17" i="1321" s="1"/>
  <c r="O17" i="1321"/>
  <c r="M17" i="1321"/>
  <c r="K17" i="1321"/>
  <c r="AF16" i="1321"/>
  <c r="AB16" i="1321"/>
  <c r="Q16" i="1321"/>
  <c r="P16" i="1321"/>
  <c r="AC16" i="1321" s="1"/>
  <c r="O16" i="1321"/>
  <c r="M16" i="1321"/>
  <c r="AF15" i="1321"/>
  <c r="AB15" i="1321"/>
  <c r="Q15" i="1321"/>
  <c r="P15" i="1321"/>
  <c r="AC15" i="1321" s="1"/>
  <c r="O15" i="1321"/>
  <c r="M15" i="1321"/>
  <c r="AF14" i="1321"/>
  <c r="AB14" i="1321"/>
  <c r="Q14" i="1321"/>
  <c r="P14" i="1321"/>
  <c r="AC14" i="1321" s="1"/>
  <c r="O14" i="1321"/>
  <c r="M14" i="1321"/>
  <c r="AF13" i="1321"/>
  <c r="Q13" i="1321"/>
  <c r="P13" i="1321"/>
  <c r="AC13" i="1321" s="1"/>
  <c r="AF11" i="1321"/>
  <c r="Q11" i="1321"/>
  <c r="P11" i="1321"/>
  <c r="AC11" i="1321" s="1"/>
  <c r="O11" i="1321"/>
  <c r="AF9" i="1321"/>
  <c r="AB9" i="1321"/>
  <c r="Q9" i="1321"/>
  <c r="P9" i="1321"/>
  <c r="AC9" i="1321" s="1"/>
  <c r="O9" i="1321"/>
  <c r="M9" i="1321"/>
  <c r="AF8" i="1321"/>
  <c r="Q8" i="1321"/>
  <c r="AF7" i="1321"/>
  <c r="AB7" i="1321"/>
  <c r="Q7" i="1321"/>
  <c r="P7" i="1321"/>
  <c r="AC7" i="1321" s="1"/>
  <c r="O7" i="1321"/>
  <c r="M7" i="1321"/>
  <c r="K7" i="1321"/>
  <c r="AF6" i="1321"/>
  <c r="AB6" i="1321"/>
  <c r="Q6" i="1321"/>
  <c r="P6" i="1321"/>
  <c r="AC6" i="1321" s="1"/>
  <c r="O6" i="1321"/>
  <c r="M6" i="1321"/>
  <c r="K6" i="1321"/>
  <c r="AE11" i="1324" l="1"/>
  <c r="AE9" i="1324"/>
  <c r="AE14" i="1324"/>
  <c r="AE15" i="1324"/>
  <c r="AE21" i="1324"/>
  <c r="AE22" i="1324"/>
  <c r="AE8" i="1324"/>
  <c r="AE20" i="1324"/>
  <c r="AE12" i="1324"/>
  <c r="AE18" i="1324"/>
  <c r="AE16" i="1324"/>
  <c r="AE7" i="1324"/>
  <c r="AE19" i="1324"/>
  <c r="AE6" i="1324"/>
  <c r="AE13" i="1324"/>
  <c r="AE17" i="1324"/>
  <c r="AD22" i="1323"/>
  <c r="AE19" i="1323" s="1"/>
  <c r="AD20" i="1322"/>
  <c r="AD11" i="1322"/>
  <c r="AB21" i="1322"/>
  <c r="M21" i="1322"/>
  <c r="AC21" i="1322"/>
  <c r="AD6" i="1322"/>
  <c r="AD8" i="1322"/>
  <c r="P21" i="1322"/>
  <c r="L23" i="1321"/>
  <c r="O23" i="1321" s="1"/>
  <c r="AD12" i="1321"/>
  <c r="M12" i="1321"/>
  <c r="AD7" i="1321"/>
  <c r="AD9" i="1321"/>
  <c r="AD14" i="1321"/>
  <c r="AD19" i="1321"/>
  <c r="AD21" i="1321"/>
  <c r="AD22" i="1321"/>
  <c r="AD18" i="1321"/>
  <c r="Q23" i="1321"/>
  <c r="AD16" i="1321"/>
  <c r="AD15" i="1321"/>
  <c r="AD17" i="1321"/>
  <c r="M8" i="1321"/>
  <c r="AB8" i="1321"/>
  <c r="M13" i="1321"/>
  <c r="AB13" i="1321"/>
  <c r="M20" i="1321"/>
  <c r="AB20" i="1321"/>
  <c r="AD6" i="1321"/>
  <c r="O8" i="1321"/>
  <c r="M11" i="1321"/>
  <c r="AB11" i="1321"/>
  <c r="AD11" i="1321" s="1"/>
  <c r="O13" i="1321"/>
  <c r="O20" i="1321"/>
  <c r="K23" i="1321"/>
  <c r="P8" i="1321"/>
  <c r="AC8" i="1321" s="1"/>
  <c r="M22" i="1321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0" i="1320"/>
  <c r="AB20" i="1320" s="1"/>
  <c r="L19" i="1320"/>
  <c r="K19" i="1320" s="1"/>
  <c r="L18" i="1320"/>
  <c r="M18" i="1320" s="1"/>
  <c r="L12" i="1320"/>
  <c r="K12" i="1320"/>
  <c r="L11" i="1320"/>
  <c r="L10" i="1320"/>
  <c r="AB10" i="1320" s="1"/>
  <c r="L8" i="1320"/>
  <c r="M8" i="1320" s="1"/>
  <c r="K11" i="1320"/>
  <c r="K10" i="1320"/>
  <c r="K9" i="1320"/>
  <c r="K8" i="1320"/>
  <c r="A75" i="1320"/>
  <c r="A76" i="1320" s="1"/>
  <c r="A77" i="1320" s="1"/>
  <c r="A78" i="1320" s="1"/>
  <c r="A79" i="1320" s="1"/>
  <c r="A80" i="1320" s="1"/>
  <c r="A81" i="1320" s="1"/>
  <c r="A74" i="1320"/>
  <c r="AF60" i="1320"/>
  <c r="AF59" i="1320"/>
  <c r="AF62" i="1320" s="1"/>
  <c r="AA21" i="1320"/>
  <c r="Z21" i="1320"/>
  <c r="Y21" i="1320"/>
  <c r="X21" i="1320"/>
  <c r="W21" i="1320"/>
  <c r="V21" i="1320"/>
  <c r="U21" i="1320"/>
  <c r="T21" i="1320"/>
  <c r="S21" i="1320"/>
  <c r="R21" i="1320"/>
  <c r="N21" i="1320"/>
  <c r="J21" i="1320"/>
  <c r="I21" i="1320"/>
  <c r="AF20" i="1320"/>
  <c r="Q20" i="1320"/>
  <c r="P20" i="1320" s="1"/>
  <c r="AC20" i="1320" s="1"/>
  <c r="O20" i="1320"/>
  <c r="AF19" i="1320"/>
  <c r="Q19" i="1320"/>
  <c r="P19" i="1320"/>
  <c r="AC19" i="1320" s="1"/>
  <c r="AF18" i="1320"/>
  <c r="AB18" i="1320"/>
  <c r="Q18" i="1320"/>
  <c r="P18" i="1320" s="1"/>
  <c r="AC18" i="1320" s="1"/>
  <c r="O18" i="1320"/>
  <c r="AF17" i="1320"/>
  <c r="AC17" i="1320"/>
  <c r="AB17" i="1320"/>
  <c r="Q17" i="1320"/>
  <c r="P17" i="1320"/>
  <c r="O17" i="1320"/>
  <c r="M17" i="1320"/>
  <c r="K17" i="1320"/>
  <c r="AF16" i="1320"/>
  <c r="AC16" i="1320"/>
  <c r="AD16" i="1320" s="1"/>
  <c r="AB16" i="1320"/>
  <c r="Q16" i="1320"/>
  <c r="P16" i="1320"/>
  <c r="O16" i="1320"/>
  <c r="M16" i="1320"/>
  <c r="K16" i="1320"/>
  <c r="AF15" i="1320"/>
  <c r="AC15" i="1320"/>
  <c r="AB15" i="1320"/>
  <c r="Q15" i="1320"/>
  <c r="P15" i="1320"/>
  <c r="O15" i="1320"/>
  <c r="M15" i="1320"/>
  <c r="K15" i="1320"/>
  <c r="AF14" i="1320"/>
  <c r="AC14" i="1320"/>
  <c r="AB14" i="1320"/>
  <c r="Q14" i="1320"/>
  <c r="P14" i="1320"/>
  <c r="O14" i="1320"/>
  <c r="M14" i="1320"/>
  <c r="K14" i="1320"/>
  <c r="AF13" i="1320"/>
  <c r="AC13" i="1320"/>
  <c r="AD13" i="1320" s="1"/>
  <c r="AB13" i="1320"/>
  <c r="Q13" i="1320"/>
  <c r="P13" i="1320"/>
  <c r="O13" i="1320"/>
  <c r="M13" i="1320"/>
  <c r="K13" i="1320"/>
  <c r="AF12" i="1320"/>
  <c r="AB12" i="1320"/>
  <c r="Q12" i="1320"/>
  <c r="P12" i="1320"/>
  <c r="AC12" i="1320" s="1"/>
  <c r="O12" i="1320"/>
  <c r="M12" i="1320"/>
  <c r="AF11" i="1320"/>
  <c r="Q11" i="1320"/>
  <c r="O11" i="1320"/>
  <c r="AF10" i="1320"/>
  <c r="Q10" i="1320"/>
  <c r="P10" i="1320"/>
  <c r="AC10" i="1320" s="1"/>
  <c r="O10" i="1320"/>
  <c r="AF9" i="1320"/>
  <c r="Q9" i="1320"/>
  <c r="O9" i="1320"/>
  <c r="P9" i="1320"/>
  <c r="AC9" i="1320" s="1"/>
  <c r="AF8" i="1320"/>
  <c r="AB8" i="1320"/>
  <c r="Q8" i="1320"/>
  <c r="P8" i="1320"/>
  <c r="AC8" i="1320" s="1"/>
  <c r="L21" i="1320"/>
  <c r="O21" i="1320" s="1"/>
  <c r="AF7" i="1320"/>
  <c r="AC7" i="1320"/>
  <c r="AD7" i="1320" s="1"/>
  <c r="AB7" i="1320"/>
  <c r="Q7" i="1320"/>
  <c r="P7" i="1320"/>
  <c r="O7" i="1320"/>
  <c r="M7" i="1320"/>
  <c r="K7" i="1320"/>
  <c r="AF6" i="1320"/>
  <c r="AC6" i="1320"/>
  <c r="AB6" i="1320"/>
  <c r="Q6" i="1320"/>
  <c r="P6" i="1320"/>
  <c r="O6" i="1320"/>
  <c r="M6" i="1320"/>
  <c r="K6" i="1320"/>
  <c r="AE18" i="1323" l="1"/>
  <c r="AE14" i="1323"/>
  <c r="AE13" i="1323"/>
  <c r="AE9" i="1323"/>
  <c r="AE20" i="1323"/>
  <c r="AE15" i="1323"/>
  <c r="AE12" i="1323"/>
  <c r="AE6" i="1323"/>
  <c r="AE17" i="1323"/>
  <c r="AE10" i="1323"/>
  <c r="AE7" i="1323"/>
  <c r="AE11" i="1323"/>
  <c r="AE8" i="1323"/>
  <c r="AE21" i="1323"/>
  <c r="AE16" i="1323"/>
  <c r="AD21" i="1322"/>
  <c r="AD20" i="1321"/>
  <c r="AD13" i="1321"/>
  <c r="M23" i="1321"/>
  <c r="AB23" i="1321"/>
  <c r="AD8" i="1321"/>
  <c r="AD23" i="1321"/>
  <c r="AC23" i="1321"/>
  <c r="P23" i="1321"/>
  <c r="M20" i="1320"/>
  <c r="AD20" i="1320"/>
  <c r="O19" i="1320"/>
  <c r="AD18" i="1320"/>
  <c r="K18" i="1320"/>
  <c r="M10" i="1320"/>
  <c r="AD10" i="1320"/>
  <c r="Q21" i="1320"/>
  <c r="AD17" i="1320"/>
  <c r="AD12" i="1320"/>
  <c r="AD14" i="1320"/>
  <c r="AD15" i="1320"/>
  <c r="AD8" i="1320"/>
  <c r="M9" i="1320"/>
  <c r="AB9" i="1320"/>
  <c r="P11" i="1320"/>
  <c r="AC11" i="1320" s="1"/>
  <c r="M19" i="1320"/>
  <c r="AB19" i="1320"/>
  <c r="AD6" i="1320"/>
  <c r="O8" i="1320"/>
  <c r="K21" i="1320"/>
  <c r="M11" i="1320"/>
  <c r="AB11" i="1320"/>
  <c r="AE18" i="1322" l="1"/>
  <c r="AE15" i="1322"/>
  <c r="AE13" i="1322"/>
  <c r="AE9" i="1322"/>
  <c r="AE20" i="1322"/>
  <c r="AE19" i="1322"/>
  <c r="AE10" i="1322"/>
  <c r="AE7" i="1322"/>
  <c r="AE14" i="1322"/>
  <c r="AE8" i="1322"/>
  <c r="AE17" i="1322"/>
  <c r="AE12" i="1322"/>
  <c r="AE6" i="1322"/>
  <c r="AE16" i="1322"/>
  <c r="AE11" i="1322"/>
  <c r="AE10" i="1321"/>
  <c r="AE12" i="1321"/>
  <c r="AE21" i="1321"/>
  <c r="AE18" i="1321"/>
  <c r="AE16" i="1321"/>
  <c r="AE14" i="1321"/>
  <c r="AE6" i="1321"/>
  <c r="AE22" i="1321"/>
  <c r="AE9" i="1321"/>
  <c r="AE19" i="1321"/>
  <c r="AE17" i="1321"/>
  <c r="AE15" i="1321"/>
  <c r="AE11" i="1321"/>
  <c r="AE7" i="1321"/>
  <c r="AE20" i="1321"/>
  <c r="AE13" i="1321"/>
  <c r="AE8" i="1321"/>
  <c r="AD19" i="1320"/>
  <c r="M21" i="1320"/>
  <c r="AB21" i="1320"/>
  <c r="AD11" i="1320"/>
  <c r="P21" i="1320"/>
  <c r="AC21" i="1320"/>
  <c r="AD9" i="1320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19" i="1319"/>
  <c r="M19" i="1319" s="1"/>
  <c r="L18" i="1319"/>
  <c r="K18" i="1319"/>
  <c r="L11" i="1319"/>
  <c r="O11" i="1319" s="1"/>
  <c r="L10" i="1319"/>
  <c r="O10" i="1319" s="1"/>
  <c r="L9" i="1319"/>
  <c r="AB9" i="1319" s="1"/>
  <c r="K9" i="1319"/>
  <c r="L8" i="1319"/>
  <c r="K8" i="1319" s="1"/>
  <c r="K19" i="1319"/>
  <c r="K14" i="1319"/>
  <c r="K13" i="1319"/>
  <c r="K12" i="1319"/>
  <c r="K11" i="1319"/>
  <c r="K10" i="1319"/>
  <c r="A75" i="1319"/>
  <c r="A76" i="1319" s="1"/>
  <c r="A77" i="1319" s="1"/>
  <c r="A78" i="1319" s="1"/>
  <c r="A79" i="1319" s="1"/>
  <c r="A80" i="1319" s="1"/>
  <c r="A81" i="1319" s="1"/>
  <c r="A74" i="1319"/>
  <c r="AF60" i="1319"/>
  <c r="AF59" i="1319"/>
  <c r="AF62" i="1319" s="1"/>
  <c r="AA21" i="1319"/>
  <c r="Z21" i="1319"/>
  <c r="Y21" i="1319"/>
  <c r="X21" i="1319"/>
  <c r="W21" i="1319"/>
  <c r="V21" i="1319"/>
  <c r="U21" i="1319"/>
  <c r="T21" i="1319"/>
  <c r="S21" i="1319"/>
  <c r="R21" i="1319"/>
  <c r="N21" i="1319"/>
  <c r="L21" i="1319"/>
  <c r="O21" i="1319" s="1"/>
  <c r="J21" i="1319"/>
  <c r="I21" i="1319"/>
  <c r="AF20" i="1319"/>
  <c r="AB20" i="1319"/>
  <c r="Q20" i="1319"/>
  <c r="P20" i="1319"/>
  <c r="AC20" i="1319" s="1"/>
  <c r="AD20" i="1319" s="1"/>
  <c r="O20" i="1319"/>
  <c r="M20" i="1319"/>
  <c r="K20" i="1319"/>
  <c r="AF19" i="1319"/>
  <c r="AB19" i="1319"/>
  <c r="Q19" i="1319"/>
  <c r="P19" i="1319" s="1"/>
  <c r="AC19" i="1319" s="1"/>
  <c r="O19" i="1319"/>
  <c r="AF18" i="1319"/>
  <c r="AB18" i="1319"/>
  <c r="Q18" i="1319"/>
  <c r="O18" i="1319"/>
  <c r="M18" i="1319"/>
  <c r="AF17" i="1319"/>
  <c r="AC17" i="1319"/>
  <c r="AB17" i="1319"/>
  <c r="Q17" i="1319"/>
  <c r="P17" i="1319"/>
  <c r="O17" i="1319"/>
  <c r="M17" i="1319"/>
  <c r="K17" i="1319"/>
  <c r="AF16" i="1319"/>
  <c r="AC16" i="1319"/>
  <c r="AB16" i="1319"/>
  <c r="Q16" i="1319"/>
  <c r="P16" i="1319"/>
  <c r="O16" i="1319"/>
  <c r="M16" i="1319"/>
  <c r="K16" i="1319"/>
  <c r="AF15" i="1319"/>
  <c r="AC15" i="1319"/>
  <c r="AB15" i="1319"/>
  <c r="Q15" i="1319"/>
  <c r="P15" i="1319"/>
  <c r="O15" i="1319"/>
  <c r="M15" i="1319"/>
  <c r="K15" i="1319"/>
  <c r="AF14" i="1319"/>
  <c r="AB14" i="1319"/>
  <c r="Q14" i="1319"/>
  <c r="P14" i="1319" s="1"/>
  <c r="AC14" i="1319" s="1"/>
  <c r="AD14" i="1319" s="1"/>
  <c r="O14" i="1319"/>
  <c r="M14" i="1319"/>
  <c r="AF13" i="1319"/>
  <c r="AB13" i="1319"/>
  <c r="Q13" i="1319"/>
  <c r="P13" i="1319" s="1"/>
  <c r="AC13" i="1319" s="1"/>
  <c r="AD13" i="1319" s="1"/>
  <c r="O13" i="1319"/>
  <c r="M13" i="1319"/>
  <c r="AF12" i="1319"/>
  <c r="AB12" i="1319"/>
  <c r="Q12" i="1319"/>
  <c r="P12" i="1319" s="1"/>
  <c r="AC12" i="1319" s="1"/>
  <c r="O12" i="1319"/>
  <c r="M12" i="1319"/>
  <c r="AF11" i="1319"/>
  <c r="AB11" i="1319"/>
  <c r="Q11" i="1319"/>
  <c r="P11" i="1319" s="1"/>
  <c r="AC11" i="1319" s="1"/>
  <c r="M11" i="1319"/>
  <c r="AF10" i="1319"/>
  <c r="AB10" i="1319"/>
  <c r="Q10" i="1319"/>
  <c r="P10" i="1319" s="1"/>
  <c r="AC10" i="1319" s="1"/>
  <c r="AF9" i="1319"/>
  <c r="Q9" i="1319"/>
  <c r="P9" i="1319" s="1"/>
  <c r="AC9" i="1319" s="1"/>
  <c r="O9" i="1319"/>
  <c r="AF8" i="1319"/>
  <c r="AB8" i="1319"/>
  <c r="Q8" i="1319"/>
  <c r="P8" i="1319" s="1"/>
  <c r="AC8" i="1319" s="1"/>
  <c r="O8" i="1319"/>
  <c r="M8" i="1319"/>
  <c r="AF7" i="1319"/>
  <c r="AC7" i="1319"/>
  <c r="AD7" i="1319" s="1"/>
  <c r="AB7" i="1319"/>
  <c r="Q7" i="1319"/>
  <c r="P7" i="1319"/>
  <c r="O7" i="1319"/>
  <c r="M7" i="1319"/>
  <c r="K7" i="1319"/>
  <c r="AF6" i="1319"/>
  <c r="AC6" i="1319"/>
  <c r="AB6" i="1319"/>
  <c r="Q6" i="1319"/>
  <c r="P6" i="1319"/>
  <c r="O6" i="1319"/>
  <c r="M6" i="1319"/>
  <c r="K6" i="1319"/>
  <c r="AD21" i="1320" l="1"/>
  <c r="AE14" i="1320" s="1"/>
  <c r="AD19" i="1319"/>
  <c r="P18" i="1319"/>
  <c r="AC18" i="1319" s="1"/>
  <c r="M10" i="1319"/>
  <c r="M21" i="1319" s="1"/>
  <c r="AD8" i="1319"/>
  <c r="M9" i="1319"/>
  <c r="Q21" i="1319"/>
  <c r="P21" i="1319"/>
  <c r="AD11" i="1319"/>
  <c r="AD15" i="1319"/>
  <c r="AD16" i="1319"/>
  <c r="AD17" i="1319"/>
  <c r="AD18" i="1319"/>
  <c r="AD9" i="1319"/>
  <c r="AB21" i="1319"/>
  <c r="AD12" i="1319"/>
  <c r="AD10" i="1319"/>
  <c r="K21" i="1319"/>
  <c r="AC21" i="1319"/>
  <c r="AD6" i="1319"/>
  <c r="K19" i="1318"/>
  <c r="K17" i="1318"/>
  <c r="K16" i="1318"/>
  <c r="K14" i="1318"/>
  <c r="K13" i="1318"/>
  <c r="K12" i="1318"/>
  <c r="K11" i="1318"/>
  <c r="K10" i="1318"/>
  <c r="K8" i="1318"/>
  <c r="A74" i="1318"/>
  <c r="A75" i="1318" s="1"/>
  <c r="A76" i="1318" s="1"/>
  <c r="A77" i="1318" s="1"/>
  <c r="A78" i="1318" s="1"/>
  <c r="A79" i="1318" s="1"/>
  <c r="A80" i="1318" s="1"/>
  <c r="A81" i="1318" s="1"/>
  <c r="AF60" i="1318"/>
  <c r="AF59" i="1318"/>
  <c r="AF62" i="1318" s="1"/>
  <c r="AA21" i="1318"/>
  <c r="Z21" i="1318"/>
  <c r="Y21" i="1318"/>
  <c r="X21" i="1318"/>
  <c r="W21" i="1318"/>
  <c r="V21" i="1318"/>
  <c r="U21" i="1318"/>
  <c r="T21" i="1318"/>
  <c r="S21" i="1318"/>
  <c r="R21" i="1318"/>
  <c r="N21" i="1318"/>
  <c r="L21" i="1318"/>
  <c r="O21" i="1318" s="1"/>
  <c r="J21" i="1318"/>
  <c r="I21" i="1318"/>
  <c r="AF20" i="1318"/>
  <c r="AC20" i="1318"/>
  <c r="AD20" i="1318" s="1"/>
  <c r="Q17" i="16" s="1"/>
  <c r="AB20" i="1318"/>
  <c r="Q20" i="1318"/>
  <c r="P20" i="1318"/>
  <c r="O20" i="1318"/>
  <c r="M20" i="1318"/>
  <c r="K20" i="1318"/>
  <c r="AF19" i="1318"/>
  <c r="AB19" i="1318"/>
  <c r="Q19" i="1318"/>
  <c r="P19" i="1318" s="1"/>
  <c r="AC19" i="1318" s="1"/>
  <c r="O19" i="1318"/>
  <c r="M19" i="1318"/>
  <c r="AF18" i="1318"/>
  <c r="AB18" i="1318"/>
  <c r="Q18" i="1318"/>
  <c r="P18" i="1318"/>
  <c r="AC18" i="1318" s="1"/>
  <c r="O18" i="1318"/>
  <c r="M18" i="1318"/>
  <c r="K18" i="1318"/>
  <c r="AF17" i="1318"/>
  <c r="AB17" i="1318"/>
  <c r="Q17" i="1318"/>
  <c r="P17" i="1318" s="1"/>
  <c r="AC17" i="1318" s="1"/>
  <c r="O17" i="1318"/>
  <c r="M17" i="1318"/>
  <c r="AF16" i="1318"/>
  <c r="AB16" i="1318"/>
  <c r="Q16" i="1318"/>
  <c r="P16" i="1318" s="1"/>
  <c r="AC16" i="1318" s="1"/>
  <c r="O16" i="1318"/>
  <c r="M16" i="1318"/>
  <c r="AF15" i="1318"/>
  <c r="AC15" i="1318"/>
  <c r="AB15" i="1318"/>
  <c r="Q15" i="1318"/>
  <c r="P15" i="1318"/>
  <c r="O15" i="1318"/>
  <c r="M15" i="1318"/>
  <c r="K15" i="1318"/>
  <c r="AF14" i="1318"/>
  <c r="AB14" i="1318"/>
  <c r="Q14" i="1318"/>
  <c r="P14" i="1318" s="1"/>
  <c r="AC14" i="1318" s="1"/>
  <c r="O14" i="1318"/>
  <c r="M14" i="1318"/>
  <c r="AF13" i="1318"/>
  <c r="AB13" i="1318"/>
  <c r="Q13" i="1318"/>
  <c r="P13" i="1318" s="1"/>
  <c r="AC13" i="1318" s="1"/>
  <c r="O13" i="1318"/>
  <c r="M13" i="1318"/>
  <c r="AF12" i="1318"/>
  <c r="AB12" i="1318"/>
  <c r="Q12" i="1318"/>
  <c r="P12" i="1318" s="1"/>
  <c r="AC12" i="1318" s="1"/>
  <c r="O12" i="1318"/>
  <c r="M12" i="1318"/>
  <c r="AF11" i="1318"/>
  <c r="AB11" i="1318"/>
  <c r="Q11" i="1318"/>
  <c r="P11" i="1318" s="1"/>
  <c r="AC11" i="1318" s="1"/>
  <c r="O11" i="1318"/>
  <c r="M11" i="1318"/>
  <c r="AF10" i="1318"/>
  <c r="AB10" i="1318"/>
  <c r="Q10" i="1318"/>
  <c r="P10" i="1318" s="1"/>
  <c r="AC10" i="1318" s="1"/>
  <c r="O10" i="1318"/>
  <c r="M10" i="1318"/>
  <c r="AF9" i="1318"/>
  <c r="AC9" i="1318"/>
  <c r="AB9" i="1318"/>
  <c r="Q9" i="1318"/>
  <c r="P9" i="1318"/>
  <c r="O9" i="1318"/>
  <c r="M9" i="1318"/>
  <c r="K9" i="1318"/>
  <c r="AF8" i="1318"/>
  <c r="AB8" i="1318"/>
  <c r="Q8" i="1318"/>
  <c r="P8" i="1318" s="1"/>
  <c r="AC8" i="1318" s="1"/>
  <c r="O8" i="1318"/>
  <c r="M8" i="1318"/>
  <c r="AF7" i="1318"/>
  <c r="AB7" i="1318"/>
  <c r="Q7" i="1318"/>
  <c r="P7" i="1318"/>
  <c r="AC7" i="1318" s="1"/>
  <c r="AD7" i="1318" s="1"/>
  <c r="Q4" i="16" s="1"/>
  <c r="O7" i="1318"/>
  <c r="M7" i="1318"/>
  <c r="K7" i="1318"/>
  <c r="AF6" i="1318"/>
  <c r="AB6" i="1318"/>
  <c r="Q6" i="1318"/>
  <c r="P6" i="1318"/>
  <c r="AC6" i="1318" s="1"/>
  <c r="O6" i="1318"/>
  <c r="M6" i="1318"/>
  <c r="K6" i="1318"/>
  <c r="AE8" i="1320" l="1"/>
  <c r="AE11" i="1320"/>
  <c r="AE16" i="1320"/>
  <c r="AE19" i="1320"/>
  <c r="AE20" i="1320"/>
  <c r="AE13" i="1320"/>
  <c r="AE18" i="1320"/>
  <c r="AE15" i="1320"/>
  <c r="AE9" i="1320"/>
  <c r="AE17" i="1320"/>
  <c r="AE12" i="1320"/>
  <c r="AE6" i="1320"/>
  <c r="AE7" i="1320"/>
  <c r="AE10" i="1320"/>
  <c r="AD21" i="1319"/>
  <c r="AE13" i="1319" s="1"/>
  <c r="AD19" i="1318"/>
  <c r="Q16" i="16" s="1"/>
  <c r="AD13" i="1318"/>
  <c r="Q10" i="16" s="1"/>
  <c r="Q21" i="1318"/>
  <c r="AD8" i="1318"/>
  <c r="Q5" i="16" s="1"/>
  <c r="P21" i="1318"/>
  <c r="AD9" i="1318"/>
  <c r="Q6" i="16" s="1"/>
  <c r="AD14" i="1318"/>
  <c r="Q11" i="16" s="1"/>
  <c r="K21" i="1318"/>
  <c r="AD11" i="1318"/>
  <c r="Q8" i="16" s="1"/>
  <c r="AD16" i="1318"/>
  <c r="Q13" i="16" s="1"/>
  <c r="M21" i="1318"/>
  <c r="AB21" i="1318"/>
  <c r="AD12" i="1318"/>
  <c r="Q9" i="16" s="1"/>
  <c r="AD17" i="1318"/>
  <c r="Q14" i="16" s="1"/>
  <c r="AD18" i="1318"/>
  <c r="Q15" i="16" s="1"/>
  <c r="AD10" i="1318"/>
  <c r="Q7" i="16" s="1"/>
  <c r="AD15" i="1318"/>
  <c r="Q12" i="16" s="1"/>
  <c r="AC21" i="1318"/>
  <c r="AD6" i="1318"/>
  <c r="Q3" i="16" s="1"/>
  <c r="K19" i="1317"/>
  <c r="K16" i="1317"/>
  <c r="K13" i="1317"/>
  <c r="K11" i="1317"/>
  <c r="K10" i="1317"/>
  <c r="K8" i="1317"/>
  <c r="K18" i="1317"/>
  <c r="K17" i="1317"/>
  <c r="K14" i="1317"/>
  <c r="K12" i="1317"/>
  <c r="A74" i="1317"/>
  <c r="A75" i="1317" s="1"/>
  <c r="A76" i="1317" s="1"/>
  <c r="A77" i="1317" s="1"/>
  <c r="A78" i="1317" s="1"/>
  <c r="A79" i="1317" s="1"/>
  <c r="A80" i="1317" s="1"/>
  <c r="A81" i="1317" s="1"/>
  <c r="AF60" i="1317"/>
  <c r="AF59" i="1317"/>
  <c r="AF62" i="1317" s="1"/>
  <c r="AA21" i="1317"/>
  <c r="Z21" i="1317"/>
  <c r="Y21" i="1317"/>
  <c r="X21" i="1317"/>
  <c r="W21" i="1317"/>
  <c r="V21" i="1317"/>
  <c r="U21" i="1317"/>
  <c r="T21" i="1317"/>
  <c r="S21" i="1317"/>
  <c r="R21" i="1317"/>
  <c r="N21" i="1317"/>
  <c r="J21" i="1317"/>
  <c r="I21" i="1317"/>
  <c r="AF20" i="1317"/>
  <c r="AB20" i="1317"/>
  <c r="Q20" i="1317"/>
  <c r="P20" i="1317"/>
  <c r="AC20" i="1317" s="1"/>
  <c r="O20" i="1317"/>
  <c r="M20" i="1317"/>
  <c r="K20" i="1317"/>
  <c r="AF19" i="1317"/>
  <c r="AB19" i="1317"/>
  <c r="Q19" i="1317"/>
  <c r="P19" i="1317"/>
  <c r="AC19" i="1317" s="1"/>
  <c r="O19" i="1317"/>
  <c r="M19" i="1317"/>
  <c r="AF18" i="1317"/>
  <c r="AB18" i="1317"/>
  <c r="Q18" i="1317"/>
  <c r="P18" i="1317" s="1"/>
  <c r="AC18" i="1317" s="1"/>
  <c r="O18" i="1317"/>
  <c r="M18" i="1317"/>
  <c r="AF17" i="1317"/>
  <c r="AB17" i="1317"/>
  <c r="Q17" i="1317"/>
  <c r="P17" i="1317" s="1"/>
  <c r="AC17" i="1317" s="1"/>
  <c r="O17" i="1317"/>
  <c r="M17" i="1317"/>
  <c r="AF16" i="1317"/>
  <c r="AB16" i="1317"/>
  <c r="Q16" i="1317"/>
  <c r="P16" i="1317"/>
  <c r="AC16" i="1317" s="1"/>
  <c r="O16" i="1317"/>
  <c r="M16" i="1317"/>
  <c r="AF15" i="1317"/>
  <c r="AB15" i="1317"/>
  <c r="Q15" i="1317"/>
  <c r="P15" i="1317"/>
  <c r="AC15" i="1317" s="1"/>
  <c r="O15" i="1317"/>
  <c r="M15" i="1317"/>
  <c r="K15" i="1317"/>
  <c r="AF14" i="1317"/>
  <c r="AB14" i="1317"/>
  <c r="Q14" i="1317"/>
  <c r="P14" i="1317" s="1"/>
  <c r="AC14" i="1317" s="1"/>
  <c r="O14" i="1317"/>
  <c r="M14" i="1317"/>
  <c r="AF13" i="1317"/>
  <c r="AB13" i="1317"/>
  <c r="Q13" i="1317"/>
  <c r="P13" i="1317"/>
  <c r="AC13" i="1317" s="1"/>
  <c r="O13" i="1317"/>
  <c r="M13" i="1317"/>
  <c r="AF12" i="1317"/>
  <c r="AB12" i="1317"/>
  <c r="Q12" i="1317"/>
  <c r="P12" i="1317" s="1"/>
  <c r="AC12" i="1317" s="1"/>
  <c r="O12" i="1317"/>
  <c r="M12" i="1317"/>
  <c r="AF11" i="1317"/>
  <c r="AB11" i="1317"/>
  <c r="Q11" i="1317"/>
  <c r="P11" i="1317" s="1"/>
  <c r="AC11" i="1317" s="1"/>
  <c r="O11" i="1317"/>
  <c r="M11" i="1317"/>
  <c r="AF10" i="1317"/>
  <c r="Q10" i="1317"/>
  <c r="O10" i="1317"/>
  <c r="AF9" i="1317"/>
  <c r="AB9" i="1317"/>
  <c r="Q9" i="1317"/>
  <c r="P9" i="1317"/>
  <c r="AC9" i="1317" s="1"/>
  <c r="O9" i="1317"/>
  <c r="M9" i="1317"/>
  <c r="K9" i="1317"/>
  <c r="AF8" i="1317"/>
  <c r="AB8" i="1317"/>
  <c r="Q8" i="1317"/>
  <c r="P8" i="1317" s="1"/>
  <c r="AC8" i="1317" s="1"/>
  <c r="O8" i="1317"/>
  <c r="M8" i="1317"/>
  <c r="AF7" i="1317"/>
  <c r="AB7" i="1317"/>
  <c r="Q7" i="1317"/>
  <c r="P7" i="1317"/>
  <c r="O7" i="1317"/>
  <c r="M7" i="1317"/>
  <c r="K7" i="1317"/>
  <c r="AF6" i="1317"/>
  <c r="AC6" i="1317"/>
  <c r="AB6" i="1317"/>
  <c r="Q6" i="1317"/>
  <c r="P6" i="1317"/>
  <c r="O6" i="1317"/>
  <c r="M6" i="1317"/>
  <c r="K6" i="1317"/>
  <c r="AE19" i="1319" l="1"/>
  <c r="AE12" i="1319"/>
  <c r="AE14" i="1319"/>
  <c r="AE18" i="1319"/>
  <c r="AE11" i="1319"/>
  <c r="AE15" i="1319"/>
  <c r="AE17" i="1319"/>
  <c r="AE7" i="1319"/>
  <c r="AE10" i="1319"/>
  <c r="AE16" i="1319"/>
  <c r="AE9" i="1319"/>
  <c r="AE8" i="1319"/>
  <c r="AE6" i="1319"/>
  <c r="AE20" i="1319"/>
  <c r="AD21" i="1318"/>
  <c r="AE17" i="1318"/>
  <c r="AE11" i="1318"/>
  <c r="AD19" i="1317"/>
  <c r="P16" i="16" s="1"/>
  <c r="AD20" i="1317"/>
  <c r="P17" i="16" s="1"/>
  <c r="AD17" i="1317"/>
  <c r="P14" i="16" s="1"/>
  <c r="AD9" i="1317"/>
  <c r="P6" i="16" s="1"/>
  <c r="AD16" i="1317"/>
  <c r="P13" i="16" s="1"/>
  <c r="Q21" i="1317"/>
  <c r="AD8" i="1317"/>
  <c r="P5" i="16" s="1"/>
  <c r="AD13" i="1317"/>
  <c r="P10" i="16" s="1"/>
  <c r="AD18" i="1317"/>
  <c r="P15" i="16" s="1"/>
  <c r="AD12" i="1317"/>
  <c r="P9" i="16" s="1"/>
  <c r="AD11" i="1317"/>
  <c r="P8" i="16" s="1"/>
  <c r="AD14" i="1317"/>
  <c r="P11" i="16" s="1"/>
  <c r="AD15" i="1317"/>
  <c r="P12" i="16" s="1"/>
  <c r="AB10" i="1317"/>
  <c r="AB21" i="1317" s="1"/>
  <c r="L21" i="1317"/>
  <c r="O21" i="1317" s="1"/>
  <c r="AC7" i="1317"/>
  <c r="AD7" i="1317" s="1"/>
  <c r="P4" i="16" s="1"/>
  <c r="K21" i="1317"/>
  <c r="P10" i="1317"/>
  <c r="AC10" i="1317" s="1"/>
  <c r="AD10" i="1317" s="1"/>
  <c r="P7" i="16" s="1"/>
  <c r="M10" i="1317"/>
  <c r="M21" i="1317" s="1"/>
  <c r="AD6" i="1317"/>
  <c r="P3" i="16" s="1"/>
  <c r="K20" i="1316"/>
  <c r="AF19" i="1316"/>
  <c r="AB19" i="1316"/>
  <c r="Q19" i="1316"/>
  <c r="P19" i="1316" s="1"/>
  <c r="AC19" i="1316" s="1"/>
  <c r="O19" i="1316"/>
  <c r="M19" i="1316"/>
  <c r="K19" i="1316"/>
  <c r="K18" i="1316"/>
  <c r="K17" i="1316"/>
  <c r="K15" i="1316"/>
  <c r="AF15" i="1316"/>
  <c r="AB15" i="1316"/>
  <c r="Q15" i="1316"/>
  <c r="P15" i="1316"/>
  <c r="AC15" i="1316" s="1"/>
  <c r="AD15" i="1316" s="1"/>
  <c r="O15" i="1316"/>
  <c r="M15" i="1316"/>
  <c r="L10" i="1316"/>
  <c r="AE10" i="1318" l="1"/>
  <c r="Q18" i="16"/>
  <c r="AE18" i="1318"/>
  <c r="AE13" i="1318"/>
  <c r="AE19" i="1318"/>
  <c r="AE14" i="1318"/>
  <c r="AE7" i="1318"/>
  <c r="AE20" i="1318"/>
  <c r="AE16" i="1318"/>
  <c r="AE15" i="1318"/>
  <c r="AE6" i="1318"/>
  <c r="AE8" i="1318"/>
  <c r="AE9" i="1318"/>
  <c r="AE12" i="1318"/>
  <c r="P21" i="1317"/>
  <c r="AD21" i="1317"/>
  <c r="AC21" i="1317"/>
  <c r="AD19" i="1316"/>
  <c r="AE17" i="1317" l="1"/>
  <c r="P18" i="16"/>
  <c r="AE19" i="1317"/>
  <c r="AE15" i="1317"/>
  <c r="AE12" i="1317"/>
  <c r="AE9" i="1317"/>
  <c r="AE13" i="1317"/>
  <c r="AE6" i="1317"/>
  <c r="AE14" i="1317"/>
  <c r="AE20" i="1317"/>
  <c r="AE8" i="1317"/>
  <c r="AE18" i="1317"/>
  <c r="AE16" i="1317"/>
  <c r="AE7" i="1317"/>
  <c r="AE10" i="1317"/>
  <c r="AE11" i="1317"/>
  <c r="K21" i="1316"/>
  <c r="K14" i="1316"/>
  <c r="K13" i="1316"/>
  <c r="K12" i="1316"/>
  <c r="K10" i="1316"/>
  <c r="K9" i="1316"/>
  <c r="K8" i="1316"/>
  <c r="A77" i="1316"/>
  <c r="A78" i="1316" s="1"/>
  <c r="A79" i="1316" s="1"/>
  <c r="A80" i="1316" s="1"/>
  <c r="A81" i="1316" s="1"/>
  <c r="A82" i="1316" s="1"/>
  <c r="A83" i="1316" s="1"/>
  <c r="A76" i="1316"/>
  <c r="AF62" i="1316"/>
  <c r="AF61" i="1316"/>
  <c r="AF64" i="1316" s="1"/>
  <c r="AA23" i="1316"/>
  <c r="Z23" i="1316"/>
  <c r="Y23" i="1316"/>
  <c r="X23" i="1316"/>
  <c r="W23" i="1316"/>
  <c r="V23" i="1316"/>
  <c r="U23" i="1316"/>
  <c r="T23" i="1316"/>
  <c r="S23" i="1316"/>
  <c r="R23" i="1316"/>
  <c r="N23" i="1316"/>
  <c r="J23" i="1316"/>
  <c r="I23" i="1316"/>
  <c r="AF22" i="1316"/>
  <c r="AB22" i="1316"/>
  <c r="Q22" i="1316"/>
  <c r="P22" i="1316"/>
  <c r="AC22" i="1316" s="1"/>
  <c r="O22" i="1316"/>
  <c r="M22" i="1316"/>
  <c r="K22" i="1316"/>
  <c r="AF21" i="1316"/>
  <c r="AB21" i="1316"/>
  <c r="Q21" i="1316"/>
  <c r="P21" i="1316"/>
  <c r="AC21" i="1316" s="1"/>
  <c r="O21" i="1316"/>
  <c r="M21" i="1316"/>
  <c r="AF20" i="1316"/>
  <c r="AB20" i="1316"/>
  <c r="Q20" i="1316"/>
  <c r="P20" i="1316" s="1"/>
  <c r="AC20" i="1316" s="1"/>
  <c r="O20" i="1316"/>
  <c r="M20" i="1316"/>
  <c r="AF18" i="1316"/>
  <c r="AB18" i="1316"/>
  <c r="Q18" i="1316"/>
  <c r="P18" i="1316" s="1"/>
  <c r="AC18" i="1316" s="1"/>
  <c r="O18" i="1316"/>
  <c r="M18" i="1316"/>
  <c r="AF17" i="1316"/>
  <c r="AB17" i="1316"/>
  <c r="Q17" i="1316"/>
  <c r="P17" i="1316" s="1"/>
  <c r="AC17" i="1316" s="1"/>
  <c r="O17" i="1316"/>
  <c r="M17" i="1316"/>
  <c r="AF16" i="1316"/>
  <c r="AB16" i="1316"/>
  <c r="Q16" i="1316"/>
  <c r="P16" i="1316"/>
  <c r="AC16" i="1316" s="1"/>
  <c r="O16" i="1316"/>
  <c r="M16" i="1316"/>
  <c r="K16" i="1316"/>
  <c r="AF14" i="1316"/>
  <c r="AB14" i="1316"/>
  <c r="Q14" i="1316"/>
  <c r="P14" i="1316" s="1"/>
  <c r="AC14" i="1316" s="1"/>
  <c r="O14" i="1316"/>
  <c r="M14" i="1316"/>
  <c r="AF13" i="1316"/>
  <c r="AB13" i="1316"/>
  <c r="Q13" i="1316"/>
  <c r="P13" i="1316" s="1"/>
  <c r="AC13" i="1316" s="1"/>
  <c r="O13" i="1316"/>
  <c r="M13" i="1316"/>
  <c r="AF12" i="1316"/>
  <c r="Q12" i="1316"/>
  <c r="O12" i="1316"/>
  <c r="AF11" i="1316"/>
  <c r="AB11" i="1316"/>
  <c r="Q11" i="1316"/>
  <c r="P11" i="1316"/>
  <c r="AC11" i="1316" s="1"/>
  <c r="O11" i="1316"/>
  <c r="M11" i="1316"/>
  <c r="K11" i="1316"/>
  <c r="AF10" i="1316"/>
  <c r="AB10" i="1316"/>
  <c r="Q10" i="1316"/>
  <c r="P10" i="1316"/>
  <c r="AC10" i="1316" s="1"/>
  <c r="O10" i="1316"/>
  <c r="M10" i="1316"/>
  <c r="AF9" i="1316"/>
  <c r="AB9" i="1316"/>
  <c r="Q9" i="1316"/>
  <c r="P9" i="1316" s="1"/>
  <c r="AC9" i="1316" s="1"/>
  <c r="O9" i="1316"/>
  <c r="M9" i="1316"/>
  <c r="AF8" i="1316"/>
  <c r="Q8" i="1316"/>
  <c r="P8" i="1316"/>
  <c r="AC8" i="1316" s="1"/>
  <c r="O8" i="1316"/>
  <c r="L23" i="1316"/>
  <c r="AF7" i="1316"/>
  <c r="AB7" i="1316"/>
  <c r="Q7" i="1316"/>
  <c r="P7" i="1316"/>
  <c r="AC7" i="1316" s="1"/>
  <c r="O7" i="1316"/>
  <c r="M7" i="1316"/>
  <c r="K7" i="1316"/>
  <c r="AF6" i="1316"/>
  <c r="AB6" i="1316"/>
  <c r="Q6" i="1316"/>
  <c r="P6" i="1316"/>
  <c r="O6" i="1316"/>
  <c r="M6" i="1316"/>
  <c r="K6" i="1316"/>
  <c r="AD18" i="1316" l="1"/>
  <c r="O14" i="16" s="1"/>
  <c r="AD9" i="1316"/>
  <c r="O6" i="16" s="1"/>
  <c r="O23" i="1316"/>
  <c r="AD22" i="1316"/>
  <c r="O17" i="16" s="1"/>
  <c r="AD21" i="1316"/>
  <c r="O16" i="16" s="1"/>
  <c r="AD13" i="1316"/>
  <c r="O10" i="16" s="1"/>
  <c r="Q23" i="1316"/>
  <c r="AD10" i="1316"/>
  <c r="O7" i="16" s="1"/>
  <c r="AD7" i="1316"/>
  <c r="O4" i="16" s="1"/>
  <c r="AD16" i="1316"/>
  <c r="O12" i="16" s="1"/>
  <c r="AD17" i="1316"/>
  <c r="O13" i="16" s="1"/>
  <c r="AD11" i="1316"/>
  <c r="O8" i="16" s="1"/>
  <c r="AD14" i="1316"/>
  <c r="O11" i="16" s="1"/>
  <c r="AD20" i="1316"/>
  <c r="O15" i="16" s="1"/>
  <c r="AC6" i="1316"/>
  <c r="M8" i="1316"/>
  <c r="AB8" i="1316"/>
  <c r="K23" i="1316"/>
  <c r="P12" i="1316"/>
  <c r="AC12" i="1316" s="1"/>
  <c r="M12" i="1316"/>
  <c r="AB12" i="1316"/>
  <c r="K19" i="1315"/>
  <c r="K18" i="1315"/>
  <c r="L12" i="1315"/>
  <c r="K12" i="1315" s="1"/>
  <c r="L10" i="1315"/>
  <c r="K10" i="1315" s="1"/>
  <c r="K9" i="1315"/>
  <c r="L8" i="1315"/>
  <c r="O8" i="1315" s="1"/>
  <c r="K13" i="1315"/>
  <c r="A74" i="1315"/>
  <c r="A75" i="1315" s="1"/>
  <c r="A76" i="1315" s="1"/>
  <c r="A77" i="1315" s="1"/>
  <c r="A78" i="1315" s="1"/>
  <c r="A79" i="1315" s="1"/>
  <c r="A80" i="1315" s="1"/>
  <c r="A81" i="1315" s="1"/>
  <c r="AF60" i="1315"/>
  <c r="AF59" i="1315"/>
  <c r="AA21" i="1315"/>
  <c r="Z21" i="1315"/>
  <c r="Y21" i="1315"/>
  <c r="X21" i="1315"/>
  <c r="W21" i="1315"/>
  <c r="V21" i="1315"/>
  <c r="U21" i="1315"/>
  <c r="T21" i="1315"/>
  <c r="S21" i="1315"/>
  <c r="R21" i="1315"/>
  <c r="N21" i="1315"/>
  <c r="J21" i="1315"/>
  <c r="I21" i="1315"/>
  <c r="AF20" i="1315"/>
  <c r="AB20" i="1315"/>
  <c r="Q20" i="1315"/>
  <c r="P20" i="1315"/>
  <c r="AC20" i="1315" s="1"/>
  <c r="O20" i="1315"/>
  <c r="M20" i="1315"/>
  <c r="K20" i="1315"/>
  <c r="AF19" i="1315"/>
  <c r="Q19" i="1315"/>
  <c r="P19" i="1315"/>
  <c r="AC19" i="1315" s="1"/>
  <c r="O19" i="1315"/>
  <c r="AB19" i="1315"/>
  <c r="AF18" i="1315"/>
  <c r="AB18" i="1315"/>
  <c r="Q18" i="1315"/>
  <c r="P18" i="1315" s="1"/>
  <c r="AC18" i="1315" s="1"/>
  <c r="O18" i="1315"/>
  <c r="M18" i="1315"/>
  <c r="AF17" i="1315"/>
  <c r="AB17" i="1315"/>
  <c r="Q17" i="1315"/>
  <c r="P17" i="1315"/>
  <c r="AC17" i="1315" s="1"/>
  <c r="O17" i="1315"/>
  <c r="M17" i="1315"/>
  <c r="K17" i="1315"/>
  <c r="AF16" i="1315"/>
  <c r="AB16" i="1315"/>
  <c r="Q16" i="1315"/>
  <c r="P16" i="1315"/>
  <c r="AC16" i="1315" s="1"/>
  <c r="O16" i="1315"/>
  <c r="M16" i="1315"/>
  <c r="K16" i="1315"/>
  <c r="AF15" i="1315"/>
  <c r="AB15" i="1315"/>
  <c r="Q15" i="1315"/>
  <c r="P15" i="1315"/>
  <c r="AC15" i="1315" s="1"/>
  <c r="O15" i="1315"/>
  <c r="M15" i="1315"/>
  <c r="K15" i="1315"/>
  <c r="AF14" i="1315"/>
  <c r="AB14" i="1315"/>
  <c r="Q14" i="1315"/>
  <c r="P14" i="1315" s="1"/>
  <c r="AC14" i="1315" s="1"/>
  <c r="O14" i="1315"/>
  <c r="M14" i="1315"/>
  <c r="K14" i="1315"/>
  <c r="AF13" i="1315"/>
  <c r="AB13" i="1315"/>
  <c r="Q13" i="1315"/>
  <c r="P13" i="1315" s="1"/>
  <c r="AC13" i="1315" s="1"/>
  <c r="O13" i="1315"/>
  <c r="M13" i="1315"/>
  <c r="AF12" i="1315"/>
  <c r="Q12" i="1315"/>
  <c r="AF11" i="1315"/>
  <c r="AB11" i="1315"/>
  <c r="Q11" i="1315"/>
  <c r="P11" i="1315"/>
  <c r="AC11" i="1315" s="1"/>
  <c r="O11" i="1315"/>
  <c r="M11" i="1315"/>
  <c r="K11" i="1315"/>
  <c r="AF10" i="1315"/>
  <c r="Q10" i="1315"/>
  <c r="O10" i="1315"/>
  <c r="AB10" i="1315"/>
  <c r="AF9" i="1315"/>
  <c r="AB9" i="1315"/>
  <c r="Q9" i="1315"/>
  <c r="P9" i="1315" s="1"/>
  <c r="AC9" i="1315" s="1"/>
  <c r="O9" i="1315"/>
  <c r="M9" i="1315"/>
  <c r="AF8" i="1315"/>
  <c r="Q8" i="1315"/>
  <c r="P8" i="1315" s="1"/>
  <c r="AC8" i="1315" s="1"/>
  <c r="M8" i="1315"/>
  <c r="AF7" i="1315"/>
  <c r="AB7" i="1315"/>
  <c r="Q7" i="1315"/>
  <c r="P7" i="1315"/>
  <c r="AC7" i="1315" s="1"/>
  <c r="O7" i="1315"/>
  <c r="M7" i="1315"/>
  <c r="K7" i="1315"/>
  <c r="AF6" i="1315"/>
  <c r="AB6" i="1315"/>
  <c r="Q6" i="1315"/>
  <c r="P6" i="1315"/>
  <c r="AC6" i="1315" s="1"/>
  <c r="O6" i="1315"/>
  <c r="M6" i="1315"/>
  <c r="K6" i="1315"/>
  <c r="P12" i="1315" l="1"/>
  <c r="AC12" i="1315" s="1"/>
  <c r="AB8" i="1315"/>
  <c r="AD20" i="1315"/>
  <c r="N17" i="16" s="1"/>
  <c r="AD7" i="1315"/>
  <c r="N4" i="16" s="1"/>
  <c r="L21" i="1315"/>
  <c r="O21" i="1315" s="1"/>
  <c r="AF62" i="1315"/>
  <c r="K8" i="1315"/>
  <c r="K21" i="1315" s="1"/>
  <c r="AB23" i="1316"/>
  <c r="M23" i="1316"/>
  <c r="AD12" i="1316"/>
  <c r="O9" i="16" s="1"/>
  <c r="AD8" i="1316"/>
  <c r="O5" i="16" s="1"/>
  <c r="P23" i="1316"/>
  <c r="AC23" i="1316"/>
  <c r="AD6" i="1316"/>
  <c r="O3" i="16" s="1"/>
  <c r="M12" i="1315"/>
  <c r="AB12" i="1315"/>
  <c r="AD12" i="1315" s="1"/>
  <c r="N9" i="16" s="1"/>
  <c r="O12" i="1315"/>
  <c r="P10" i="1315"/>
  <c r="AC10" i="1315" s="1"/>
  <c r="AC21" i="1315" s="1"/>
  <c r="Q21" i="1315"/>
  <c r="AD9" i="1315"/>
  <c r="N6" i="16" s="1"/>
  <c r="AD13" i="1315"/>
  <c r="N10" i="16" s="1"/>
  <c r="AD18" i="1315"/>
  <c r="N15" i="16" s="1"/>
  <c r="AD14" i="1315"/>
  <c r="N11" i="16" s="1"/>
  <c r="AD17" i="1315"/>
  <c r="N14" i="16" s="1"/>
  <c r="P21" i="1315"/>
  <c r="AD15" i="1315"/>
  <c r="N12" i="16" s="1"/>
  <c r="AD11" i="1315"/>
  <c r="N8" i="16" s="1"/>
  <c r="AD16" i="1315"/>
  <c r="N13" i="16" s="1"/>
  <c r="AD8" i="1315"/>
  <c r="N5" i="16" s="1"/>
  <c r="AD10" i="1315"/>
  <c r="N7" i="16" s="1"/>
  <c r="AD19" i="1315"/>
  <c r="N16" i="16" s="1"/>
  <c r="M10" i="1315"/>
  <c r="M19" i="1315"/>
  <c r="AD6" i="1315"/>
  <c r="N3" i="16" s="1"/>
  <c r="L20" i="1314"/>
  <c r="K20" i="1314" s="1"/>
  <c r="K19" i="1314"/>
  <c r="K10" i="1314"/>
  <c r="AF10" i="1314"/>
  <c r="AB10" i="1314"/>
  <c r="Q10" i="1314"/>
  <c r="P10" i="1314"/>
  <c r="AC10" i="1314" s="1"/>
  <c r="O10" i="1314"/>
  <c r="M10" i="1314"/>
  <c r="K15" i="1314"/>
  <c r="L13" i="1314"/>
  <c r="L11" i="1314"/>
  <c r="K11" i="1314" s="1"/>
  <c r="K9" i="1314"/>
  <c r="AD23" i="1316" l="1"/>
  <c r="AB21" i="1315"/>
  <c r="M21" i="1315"/>
  <c r="AD21" i="1315"/>
  <c r="AD10" i="1314"/>
  <c r="A77" i="1314"/>
  <c r="A78" i="1314" s="1"/>
  <c r="A79" i="1314" s="1"/>
  <c r="A80" i="1314" s="1"/>
  <c r="A81" i="1314" s="1"/>
  <c r="A82" i="1314" s="1"/>
  <c r="A76" i="1314"/>
  <c r="A75" i="1314"/>
  <c r="AF61" i="1314"/>
  <c r="AF60" i="1314"/>
  <c r="AF63" i="1314" s="1"/>
  <c r="AA22" i="1314"/>
  <c r="Z22" i="1314"/>
  <c r="Y22" i="1314"/>
  <c r="X22" i="1314"/>
  <c r="W22" i="1314"/>
  <c r="V22" i="1314"/>
  <c r="U22" i="1314"/>
  <c r="T22" i="1314"/>
  <c r="S22" i="1314"/>
  <c r="R22" i="1314"/>
  <c r="N22" i="1314"/>
  <c r="L22" i="1314"/>
  <c r="J22" i="1314"/>
  <c r="I22" i="1314"/>
  <c r="AF21" i="1314"/>
  <c r="AC21" i="1314"/>
  <c r="AB21" i="1314"/>
  <c r="Q21" i="1314"/>
  <c r="P21" i="1314"/>
  <c r="O21" i="1314"/>
  <c r="M21" i="1314"/>
  <c r="K21" i="1314"/>
  <c r="AF20" i="1314"/>
  <c r="AB20" i="1314"/>
  <c r="Q20" i="1314"/>
  <c r="P20" i="1314" s="1"/>
  <c r="AC20" i="1314" s="1"/>
  <c r="O20" i="1314"/>
  <c r="M20" i="1314"/>
  <c r="AF19" i="1314"/>
  <c r="AB19" i="1314"/>
  <c r="Q19" i="1314"/>
  <c r="P19" i="1314" s="1"/>
  <c r="AC19" i="1314" s="1"/>
  <c r="O19" i="1314"/>
  <c r="M19" i="1314"/>
  <c r="AF18" i="1314"/>
  <c r="AB18" i="1314"/>
  <c r="Q18" i="1314"/>
  <c r="P18" i="1314"/>
  <c r="AC18" i="1314" s="1"/>
  <c r="O18" i="1314"/>
  <c r="M18" i="1314"/>
  <c r="K18" i="1314"/>
  <c r="AF17" i="1314"/>
  <c r="AB17" i="1314"/>
  <c r="Q17" i="1314"/>
  <c r="P17" i="1314"/>
  <c r="AC17" i="1314" s="1"/>
  <c r="AD17" i="1314" s="1"/>
  <c r="M13" i="16" s="1"/>
  <c r="O17" i="1314"/>
  <c r="M17" i="1314"/>
  <c r="K17" i="1314"/>
  <c r="AF16" i="1314"/>
  <c r="AB16" i="1314"/>
  <c r="Q16" i="1314"/>
  <c r="P16" i="1314"/>
  <c r="AC16" i="1314" s="1"/>
  <c r="O16" i="1314"/>
  <c r="M16" i="1314"/>
  <c r="K16" i="1314"/>
  <c r="AF15" i="1314"/>
  <c r="AB15" i="1314"/>
  <c r="Q15" i="1314"/>
  <c r="P15" i="1314"/>
  <c r="AC15" i="1314" s="1"/>
  <c r="O15" i="1314"/>
  <c r="M15" i="1314"/>
  <c r="AF14" i="1314"/>
  <c r="AB14" i="1314"/>
  <c r="Q14" i="1314"/>
  <c r="P14" i="1314"/>
  <c r="AC14" i="1314" s="1"/>
  <c r="O14" i="1314"/>
  <c r="M14" i="1314"/>
  <c r="K14" i="1314"/>
  <c r="AF13" i="1314"/>
  <c r="AB13" i="1314"/>
  <c r="Q13" i="1314"/>
  <c r="P13" i="1314" s="1"/>
  <c r="AC13" i="1314" s="1"/>
  <c r="O13" i="1314"/>
  <c r="M13" i="1314"/>
  <c r="K13" i="1314"/>
  <c r="AF12" i="1314"/>
  <c r="AB12" i="1314"/>
  <c r="Q12" i="1314"/>
  <c r="P12" i="1314"/>
  <c r="AC12" i="1314" s="1"/>
  <c r="AD12" i="1314" s="1"/>
  <c r="M8" i="16" s="1"/>
  <c r="O12" i="1314"/>
  <c r="M12" i="1314"/>
  <c r="K12" i="1314"/>
  <c r="AF11" i="1314"/>
  <c r="AB11" i="1314"/>
  <c r="Q11" i="1314"/>
  <c r="P11" i="1314" s="1"/>
  <c r="AC11" i="1314" s="1"/>
  <c r="O11" i="1314"/>
  <c r="M11" i="1314"/>
  <c r="AF9" i="1314"/>
  <c r="AB9" i="1314"/>
  <c r="Q9" i="1314"/>
  <c r="O9" i="1314"/>
  <c r="M9" i="1314"/>
  <c r="AF8" i="1314"/>
  <c r="AC8" i="1314"/>
  <c r="AB8" i="1314"/>
  <c r="Q8" i="1314"/>
  <c r="P8" i="1314"/>
  <c r="O8" i="1314"/>
  <c r="M8" i="1314"/>
  <c r="L8" i="1314"/>
  <c r="K8" i="1314"/>
  <c r="AF7" i="1314"/>
  <c r="AB7" i="1314"/>
  <c r="Q7" i="1314"/>
  <c r="P7" i="1314"/>
  <c r="AC7" i="1314" s="1"/>
  <c r="O7" i="1314"/>
  <c r="M7" i="1314"/>
  <c r="K7" i="1314"/>
  <c r="AF6" i="1314"/>
  <c r="AC6" i="1314"/>
  <c r="AB6" i="1314"/>
  <c r="Q6" i="1314"/>
  <c r="P6" i="1314"/>
  <c r="O6" i="1314"/>
  <c r="M6" i="1314"/>
  <c r="K6" i="1314"/>
  <c r="A77" i="1313"/>
  <c r="A78" i="1313" s="1"/>
  <c r="A79" i="1313" s="1"/>
  <c r="A80" i="1313" s="1"/>
  <c r="A81" i="1313" s="1"/>
  <c r="A76" i="1313"/>
  <c r="A75" i="1313"/>
  <c r="A74" i="1313"/>
  <c r="AF62" i="1313"/>
  <c r="AF60" i="1313"/>
  <c r="AF59" i="1313"/>
  <c r="AA21" i="1313"/>
  <c r="Z21" i="1313"/>
  <c r="Y21" i="1313"/>
  <c r="X21" i="1313"/>
  <c r="W21" i="1313"/>
  <c r="V21" i="1313"/>
  <c r="U21" i="1313"/>
  <c r="T21" i="1313"/>
  <c r="S21" i="1313"/>
  <c r="R21" i="1313"/>
  <c r="N21" i="1313"/>
  <c r="L21" i="1313"/>
  <c r="O21" i="1313" s="1"/>
  <c r="J21" i="1313"/>
  <c r="I21" i="1313"/>
  <c r="AF20" i="1313"/>
  <c r="AC20" i="1313"/>
  <c r="AB20" i="1313"/>
  <c r="Q20" i="1313"/>
  <c r="P20" i="1313"/>
  <c r="O20" i="1313"/>
  <c r="M20" i="1313"/>
  <c r="K20" i="1313"/>
  <c r="AF19" i="1313"/>
  <c r="AD19" i="1313"/>
  <c r="AB19" i="1313"/>
  <c r="Q19" i="1313"/>
  <c r="P19" i="1313"/>
  <c r="AC19" i="1313" s="1"/>
  <c r="O19" i="1313"/>
  <c r="M19" i="1313"/>
  <c r="K19" i="1313"/>
  <c r="AF18" i="1313"/>
  <c r="AC18" i="1313"/>
  <c r="AD18" i="1313" s="1"/>
  <c r="AB18" i="1313"/>
  <c r="Q18" i="1313"/>
  <c r="P18" i="1313" s="1"/>
  <c r="O18" i="1313"/>
  <c r="M18" i="1313"/>
  <c r="K18" i="1313"/>
  <c r="AF17" i="1313"/>
  <c r="AD17" i="1313"/>
  <c r="AB17" i="1313"/>
  <c r="Q17" i="1313"/>
  <c r="P17" i="1313"/>
  <c r="AC17" i="1313" s="1"/>
  <c r="O17" i="1313"/>
  <c r="M17" i="1313"/>
  <c r="K17" i="1313"/>
  <c r="AF16" i="1313"/>
  <c r="AC16" i="1313"/>
  <c r="AB16" i="1313"/>
  <c r="Q16" i="1313"/>
  <c r="P16" i="1313"/>
  <c r="O16" i="1313"/>
  <c r="M16" i="1313"/>
  <c r="K16" i="1313"/>
  <c r="AF15" i="1313"/>
  <c r="AB15" i="1313"/>
  <c r="Q15" i="1313"/>
  <c r="P15" i="1313"/>
  <c r="AC15" i="1313" s="1"/>
  <c r="AD15" i="1313" s="1"/>
  <c r="O15" i="1313"/>
  <c r="M15" i="1313"/>
  <c r="K15" i="1313"/>
  <c r="AF14" i="1313"/>
  <c r="AC14" i="1313"/>
  <c r="AB14" i="1313"/>
  <c r="Q14" i="1313"/>
  <c r="P14" i="1313"/>
  <c r="O14" i="1313"/>
  <c r="M14" i="1313"/>
  <c r="K14" i="1313"/>
  <c r="I14" i="1313"/>
  <c r="AF13" i="1313"/>
  <c r="AB13" i="1313"/>
  <c r="Q13" i="1313"/>
  <c r="P13" i="1313" s="1"/>
  <c r="AC13" i="1313" s="1"/>
  <c r="AD13" i="1313" s="1"/>
  <c r="O13" i="1313"/>
  <c r="M13" i="1313"/>
  <c r="K13" i="1313"/>
  <c r="AF12" i="1313"/>
  <c r="AB12" i="1313"/>
  <c r="Q12" i="1313"/>
  <c r="P12" i="1313"/>
  <c r="AC12" i="1313" s="1"/>
  <c r="AD12" i="1313" s="1"/>
  <c r="O12" i="1313"/>
  <c r="M12" i="1313"/>
  <c r="K12" i="1313"/>
  <c r="AF11" i="1313"/>
  <c r="AB11" i="1313"/>
  <c r="Q11" i="1313"/>
  <c r="P11" i="1313"/>
  <c r="AC11" i="1313" s="1"/>
  <c r="O11" i="1313"/>
  <c r="M11" i="1313"/>
  <c r="K11" i="1313"/>
  <c r="AF10" i="1313"/>
  <c r="AC10" i="1313"/>
  <c r="AB10" i="1313"/>
  <c r="Q10" i="1313"/>
  <c r="P10" i="1313"/>
  <c r="O10" i="1313"/>
  <c r="M10" i="1313"/>
  <c r="K10" i="1313"/>
  <c r="AF9" i="1313"/>
  <c r="AB9" i="1313"/>
  <c r="AB21" i="1313" s="1"/>
  <c r="Q9" i="1313"/>
  <c r="P9" i="1313"/>
  <c r="AC9" i="1313" s="1"/>
  <c r="O9" i="1313"/>
  <c r="M9" i="1313"/>
  <c r="K9" i="1313"/>
  <c r="AF8" i="1313"/>
  <c r="AC8" i="1313"/>
  <c r="AC21" i="1313" s="1"/>
  <c r="AB8" i="1313"/>
  <c r="Q8" i="1313"/>
  <c r="P8" i="1313"/>
  <c r="O8" i="1313"/>
  <c r="M8" i="1313"/>
  <c r="L8" i="1313"/>
  <c r="K8" i="1313"/>
  <c r="AF7" i="1313"/>
  <c r="AC7" i="1313"/>
  <c r="AB7" i="1313"/>
  <c r="Q7" i="1313"/>
  <c r="P7" i="1313"/>
  <c r="O7" i="1313"/>
  <c r="M7" i="1313"/>
  <c r="K7" i="1313"/>
  <c r="AF6" i="1313"/>
  <c r="AB6" i="1313"/>
  <c r="Q6" i="1313"/>
  <c r="P6" i="1313"/>
  <c r="AC6" i="1313" s="1"/>
  <c r="AD6" i="1313" s="1"/>
  <c r="O6" i="1313"/>
  <c r="M6" i="1313"/>
  <c r="K6" i="1313"/>
  <c r="A75" i="1312"/>
  <c r="A76" i="1312" s="1"/>
  <c r="A77" i="1312" s="1"/>
  <c r="A78" i="1312" s="1"/>
  <c r="A79" i="1312" s="1"/>
  <c r="A80" i="1312" s="1"/>
  <c r="A81" i="1312" s="1"/>
  <c r="A82" i="1312" s="1"/>
  <c r="AF63" i="1312"/>
  <c r="AF61" i="1312"/>
  <c r="AF60" i="1312"/>
  <c r="AA22" i="1312"/>
  <c r="Z22" i="1312"/>
  <c r="Y22" i="1312"/>
  <c r="X22" i="1312"/>
  <c r="W22" i="1312"/>
  <c r="V22" i="1312"/>
  <c r="U22" i="1312"/>
  <c r="T22" i="1312"/>
  <c r="S22" i="1312"/>
  <c r="R22" i="1312"/>
  <c r="N22" i="1312"/>
  <c r="J22" i="1312"/>
  <c r="I22" i="1312"/>
  <c r="AF21" i="1312"/>
  <c r="AC21" i="1312"/>
  <c r="AB21" i="1312"/>
  <c r="Q21" i="1312"/>
  <c r="P21" i="1312"/>
  <c r="O21" i="1312"/>
  <c r="M21" i="1312"/>
  <c r="K21" i="1312"/>
  <c r="AF20" i="1312"/>
  <c r="AB20" i="1312"/>
  <c r="Q20" i="1312"/>
  <c r="P20" i="1312" s="1"/>
  <c r="AC20" i="1312" s="1"/>
  <c r="O20" i="1312"/>
  <c r="M20" i="1312"/>
  <c r="K20" i="1312"/>
  <c r="AF19" i="1312"/>
  <c r="AC19" i="1312"/>
  <c r="AB19" i="1312"/>
  <c r="Q19" i="1312"/>
  <c r="P19" i="1312"/>
  <c r="O19" i="1312"/>
  <c r="M19" i="1312"/>
  <c r="K19" i="1312"/>
  <c r="AF18" i="1312"/>
  <c r="AB18" i="1312"/>
  <c r="Q18" i="1312"/>
  <c r="P18" i="1312" s="1"/>
  <c r="AC18" i="1312" s="1"/>
  <c r="O18" i="1312"/>
  <c r="M18" i="1312"/>
  <c r="K18" i="1312"/>
  <c r="AF17" i="1312"/>
  <c r="AC17" i="1312"/>
  <c r="AB17" i="1312"/>
  <c r="Q17" i="1312"/>
  <c r="P17" i="1312"/>
  <c r="O17" i="1312"/>
  <c r="M17" i="1312"/>
  <c r="K17" i="1312"/>
  <c r="AF16" i="1312"/>
  <c r="AB16" i="1312"/>
  <c r="Q16" i="1312"/>
  <c r="L16" i="1312"/>
  <c r="AF15" i="1312"/>
  <c r="AB15" i="1312"/>
  <c r="Q15" i="1312"/>
  <c r="Q22" i="1312" s="1"/>
  <c r="P15" i="1312"/>
  <c r="AC15" i="1312" s="1"/>
  <c r="AD15" i="1312" s="1"/>
  <c r="O15" i="1312"/>
  <c r="M15" i="1312"/>
  <c r="K15" i="1312"/>
  <c r="AF14" i="1312"/>
  <c r="AC14" i="1312"/>
  <c r="AB14" i="1312"/>
  <c r="Q14" i="1312"/>
  <c r="P14" i="1312"/>
  <c r="O14" i="1312"/>
  <c r="M14" i="1312"/>
  <c r="K14" i="1312"/>
  <c r="I14" i="1312"/>
  <c r="AF13" i="1312"/>
  <c r="AB13" i="1312"/>
  <c r="Q13" i="1312"/>
  <c r="P13" i="1312" s="1"/>
  <c r="AC13" i="1312" s="1"/>
  <c r="O13" i="1312"/>
  <c r="M13" i="1312"/>
  <c r="K13" i="1312"/>
  <c r="AF12" i="1312"/>
  <c r="AC12" i="1312"/>
  <c r="AB12" i="1312"/>
  <c r="Q12" i="1312"/>
  <c r="P12" i="1312"/>
  <c r="O12" i="1312"/>
  <c r="M12" i="1312"/>
  <c r="L12" i="1312"/>
  <c r="K12" i="1312"/>
  <c r="AF11" i="1312"/>
  <c r="AC11" i="1312"/>
  <c r="AB11" i="1312"/>
  <c r="Q11" i="1312"/>
  <c r="P11" i="1312"/>
  <c r="O11" i="1312"/>
  <c r="M11" i="1312"/>
  <c r="K11" i="1312"/>
  <c r="AF10" i="1312"/>
  <c r="AB10" i="1312"/>
  <c r="Q10" i="1312"/>
  <c r="P10" i="1312"/>
  <c r="AC10" i="1312" s="1"/>
  <c r="AD10" i="1312" s="1"/>
  <c r="I7" i="16" s="1"/>
  <c r="O10" i="1312"/>
  <c r="M10" i="1312"/>
  <c r="K10" i="1312"/>
  <c r="AF9" i="1312"/>
  <c r="AC9" i="1312"/>
  <c r="AB9" i="1312"/>
  <c r="Q9" i="1312"/>
  <c r="O9" i="1312"/>
  <c r="M9" i="1312"/>
  <c r="L9" i="1312"/>
  <c r="P9" i="1312" s="1"/>
  <c r="AF8" i="1312"/>
  <c r="Q8" i="1312"/>
  <c r="M8" i="1312"/>
  <c r="L8" i="1312"/>
  <c r="AF7" i="1312"/>
  <c r="AD7" i="1312"/>
  <c r="I4" i="16" s="1"/>
  <c r="AB7" i="1312"/>
  <c r="Q7" i="1312"/>
  <c r="P7" i="1312"/>
  <c r="AC7" i="1312" s="1"/>
  <c r="O7" i="1312"/>
  <c r="M7" i="1312"/>
  <c r="K7" i="1312"/>
  <c r="AF6" i="1312"/>
  <c r="AC6" i="1312"/>
  <c r="AB6" i="1312"/>
  <c r="Q6" i="1312"/>
  <c r="P6" i="1312"/>
  <c r="O6" i="1312"/>
  <c r="M6" i="1312"/>
  <c r="K6" i="1312"/>
  <c r="A79" i="1311"/>
  <c r="A80" i="1311" s="1"/>
  <c r="A81" i="1311" s="1"/>
  <c r="A76" i="1311"/>
  <c r="A77" i="1311" s="1"/>
  <c r="A78" i="1311" s="1"/>
  <c r="A75" i="1311"/>
  <c r="A74" i="1311"/>
  <c r="AF60" i="1311"/>
  <c r="AF59" i="1311"/>
  <c r="AA21" i="1311"/>
  <c r="Z21" i="1311"/>
  <c r="Y21" i="1311"/>
  <c r="X21" i="1311"/>
  <c r="W21" i="1311"/>
  <c r="V21" i="1311"/>
  <c r="U21" i="1311"/>
  <c r="T21" i="1311"/>
  <c r="S21" i="1311"/>
  <c r="R21" i="1311"/>
  <c r="N21" i="1311"/>
  <c r="L21" i="1311"/>
  <c r="O21" i="1311" s="1"/>
  <c r="J21" i="1311"/>
  <c r="AF20" i="1311"/>
  <c r="AB20" i="1311"/>
  <c r="Q20" i="1311"/>
  <c r="P20" i="1311"/>
  <c r="AC20" i="1311" s="1"/>
  <c r="O20" i="1311"/>
  <c r="M20" i="1311"/>
  <c r="K20" i="1311"/>
  <c r="AF19" i="1311"/>
  <c r="AC19" i="1311"/>
  <c r="Q19" i="1311"/>
  <c r="P19" i="1311"/>
  <c r="O19" i="1311"/>
  <c r="AD19" i="1311" s="1"/>
  <c r="H16" i="16" s="1"/>
  <c r="M19" i="1311"/>
  <c r="L19" i="1311"/>
  <c r="AB19" i="1311" s="1"/>
  <c r="K19" i="1311"/>
  <c r="AF18" i="1311"/>
  <c r="AC18" i="1311"/>
  <c r="AB18" i="1311"/>
  <c r="Q18" i="1311"/>
  <c r="P18" i="1311" s="1"/>
  <c r="O18" i="1311"/>
  <c r="M18" i="1311"/>
  <c r="K18" i="1311"/>
  <c r="AF17" i="1311"/>
  <c r="AB17" i="1311"/>
  <c r="Q17" i="1311"/>
  <c r="P17" i="1311"/>
  <c r="AC17" i="1311" s="1"/>
  <c r="AD17" i="1311" s="1"/>
  <c r="H14" i="16" s="1"/>
  <c r="O17" i="1311"/>
  <c r="M17" i="1311"/>
  <c r="K17" i="1311"/>
  <c r="AF16" i="1311"/>
  <c r="AC16" i="1311"/>
  <c r="AB16" i="1311"/>
  <c r="Q16" i="1311"/>
  <c r="P16" i="1311" s="1"/>
  <c r="O16" i="1311"/>
  <c r="M16" i="1311"/>
  <c r="K16" i="1311"/>
  <c r="AF15" i="1311"/>
  <c r="AB15" i="1311"/>
  <c r="Q15" i="1311"/>
  <c r="P15" i="1311"/>
  <c r="AC15" i="1311" s="1"/>
  <c r="AD15" i="1311" s="1"/>
  <c r="O15" i="1311"/>
  <c r="M15" i="1311"/>
  <c r="K15" i="1311"/>
  <c r="AF14" i="1311"/>
  <c r="AC14" i="1311"/>
  <c r="AB14" i="1311"/>
  <c r="Q14" i="1311"/>
  <c r="P14" i="1311"/>
  <c r="O14" i="1311"/>
  <c r="M14" i="1311"/>
  <c r="K14" i="1311"/>
  <c r="I14" i="1311"/>
  <c r="I21" i="1311" s="1"/>
  <c r="AF13" i="1311"/>
  <c r="AB13" i="1311"/>
  <c r="Q13" i="1311"/>
  <c r="P13" i="1311" s="1"/>
  <c r="AC13" i="1311" s="1"/>
  <c r="AD13" i="1311" s="1"/>
  <c r="O13" i="1311"/>
  <c r="M13" i="1311"/>
  <c r="K13" i="1311"/>
  <c r="AF12" i="1311"/>
  <c r="AD12" i="1311"/>
  <c r="H9" i="16" s="1"/>
  <c r="AB12" i="1311"/>
  <c r="Q12" i="1311"/>
  <c r="P12" i="1311"/>
  <c r="AC12" i="1311" s="1"/>
  <c r="O12" i="1311"/>
  <c r="M12" i="1311"/>
  <c r="K12" i="1311"/>
  <c r="AF11" i="1311"/>
  <c r="AB11" i="1311"/>
  <c r="Q11" i="1311"/>
  <c r="P11" i="1311"/>
  <c r="AC11" i="1311" s="1"/>
  <c r="AD11" i="1311" s="1"/>
  <c r="O11" i="1311"/>
  <c r="M11" i="1311"/>
  <c r="K11" i="1311"/>
  <c r="AF10" i="1311"/>
  <c r="AB10" i="1311"/>
  <c r="Q10" i="1311"/>
  <c r="P10" i="1311"/>
  <c r="AC10" i="1311" s="1"/>
  <c r="AD10" i="1311" s="1"/>
  <c r="O10" i="1311"/>
  <c r="M10" i="1311"/>
  <c r="K10" i="1311"/>
  <c r="AF9" i="1311"/>
  <c r="AB9" i="1311"/>
  <c r="AB21" i="1311" s="1"/>
  <c r="Q9" i="1311"/>
  <c r="M9" i="1311"/>
  <c r="L9" i="1311"/>
  <c r="AF8" i="1311"/>
  <c r="AB8" i="1311"/>
  <c r="Q8" i="1311"/>
  <c r="P8" i="1311"/>
  <c r="AC8" i="1311" s="1"/>
  <c r="AD8" i="1311" s="1"/>
  <c r="O8" i="1311"/>
  <c r="M8" i="1311"/>
  <c r="K8" i="1311"/>
  <c r="AF7" i="1311"/>
  <c r="AC7" i="1311"/>
  <c r="AB7" i="1311"/>
  <c r="Q7" i="1311"/>
  <c r="P7" i="1311"/>
  <c r="O7" i="1311"/>
  <c r="M7" i="1311"/>
  <c r="K7" i="1311"/>
  <c r="AF6" i="1311"/>
  <c r="AB6" i="1311"/>
  <c r="Q6" i="1311"/>
  <c r="Q21" i="1311" s="1"/>
  <c r="P6" i="1311"/>
  <c r="AC6" i="1311" s="1"/>
  <c r="AD6" i="1311" s="1"/>
  <c r="O6" i="1311"/>
  <c r="M6" i="1311"/>
  <c r="M21" i="1311" s="1"/>
  <c r="K6" i="1311"/>
  <c r="A74" i="1310"/>
  <c r="A75" i="1310" s="1"/>
  <c r="A76" i="1310" s="1"/>
  <c r="A77" i="1310" s="1"/>
  <c r="A78" i="1310" s="1"/>
  <c r="A79" i="1310" s="1"/>
  <c r="A80" i="1310" s="1"/>
  <c r="A81" i="1310" s="1"/>
  <c r="AF62" i="1310"/>
  <c r="AF60" i="1310"/>
  <c r="AF59" i="1310"/>
  <c r="AA21" i="1310"/>
  <c r="Z21" i="1310"/>
  <c r="Y21" i="1310"/>
  <c r="X21" i="1310"/>
  <c r="W21" i="1310"/>
  <c r="V21" i="1310"/>
  <c r="U21" i="1310"/>
  <c r="T21" i="1310"/>
  <c r="S21" i="1310"/>
  <c r="R21" i="1310"/>
  <c r="N21" i="1310"/>
  <c r="J21" i="1310"/>
  <c r="I21" i="1310"/>
  <c r="AF20" i="1310"/>
  <c r="AC20" i="1310"/>
  <c r="AD20" i="1310" s="1"/>
  <c r="G17" i="16" s="1"/>
  <c r="Q20" i="1310"/>
  <c r="P20" i="1310"/>
  <c r="O20" i="1310"/>
  <c r="M20" i="1310"/>
  <c r="L20" i="1310"/>
  <c r="AB20" i="1310" s="1"/>
  <c r="K20" i="1310"/>
  <c r="AF19" i="1310"/>
  <c r="AC19" i="1310"/>
  <c r="AD19" i="1310" s="1"/>
  <c r="G16" i="16" s="1"/>
  <c r="AB19" i="1310"/>
  <c r="Q19" i="1310"/>
  <c r="P19" i="1310" s="1"/>
  <c r="O19" i="1310"/>
  <c r="M19" i="1310"/>
  <c r="K19" i="1310"/>
  <c r="AF18" i="1310"/>
  <c r="Q18" i="1310"/>
  <c r="P18" i="1310" s="1"/>
  <c r="AC18" i="1310" s="1"/>
  <c r="L18" i="1310"/>
  <c r="K18" i="1310"/>
  <c r="AF17" i="1310"/>
  <c r="AB17" i="1310"/>
  <c r="Q17" i="1310"/>
  <c r="P17" i="1310"/>
  <c r="AC17" i="1310" s="1"/>
  <c r="AD17" i="1310" s="1"/>
  <c r="G14" i="16" s="1"/>
  <c r="O17" i="1310"/>
  <c r="M17" i="1310"/>
  <c r="K17" i="1310"/>
  <c r="AF16" i="1310"/>
  <c r="AB16" i="1310"/>
  <c r="Q16" i="1310"/>
  <c r="M16" i="1310"/>
  <c r="L16" i="1310"/>
  <c r="AF15" i="1310"/>
  <c r="AB15" i="1310"/>
  <c r="Q15" i="1310"/>
  <c r="P15" i="1310"/>
  <c r="AC15" i="1310" s="1"/>
  <c r="AD15" i="1310" s="1"/>
  <c r="G12" i="16" s="1"/>
  <c r="O15" i="1310"/>
  <c r="M15" i="1310"/>
  <c r="K15" i="1310"/>
  <c r="AF14" i="1310"/>
  <c r="AC14" i="1310"/>
  <c r="AB14" i="1310"/>
  <c r="Q14" i="1310"/>
  <c r="P14" i="1310"/>
  <c r="O14" i="1310"/>
  <c r="M14" i="1310"/>
  <c r="K14" i="1310"/>
  <c r="I14" i="1310"/>
  <c r="AF13" i="1310"/>
  <c r="AB13" i="1310"/>
  <c r="Q13" i="1310"/>
  <c r="M13" i="1310"/>
  <c r="L13" i="1310"/>
  <c r="AF12" i="1310"/>
  <c r="AB12" i="1310"/>
  <c r="Q12" i="1310"/>
  <c r="P12" i="1310"/>
  <c r="AC12" i="1310" s="1"/>
  <c r="AD12" i="1310" s="1"/>
  <c r="G9" i="16" s="1"/>
  <c r="O12" i="1310"/>
  <c r="M12" i="1310"/>
  <c r="K12" i="1310"/>
  <c r="AF11" i="1310"/>
  <c r="AC11" i="1310"/>
  <c r="AB11" i="1310"/>
  <c r="Q11" i="1310"/>
  <c r="P11" i="1310"/>
  <c r="O11" i="1310"/>
  <c r="M11" i="1310"/>
  <c r="K11" i="1310"/>
  <c r="AF10" i="1310"/>
  <c r="AB10" i="1310"/>
  <c r="Q10" i="1310"/>
  <c r="P10" i="1310"/>
  <c r="AC10" i="1310" s="1"/>
  <c r="AD10" i="1310" s="1"/>
  <c r="G7" i="16" s="1"/>
  <c r="O10" i="1310"/>
  <c r="M10" i="1310"/>
  <c r="K10" i="1310"/>
  <c r="AF9" i="1310"/>
  <c r="AB9" i="1310"/>
  <c r="Q9" i="1310"/>
  <c r="O9" i="1310"/>
  <c r="M9" i="1310"/>
  <c r="L9" i="1310"/>
  <c r="P9" i="1310" s="1"/>
  <c r="AC9" i="1310" s="1"/>
  <c r="AD9" i="1310" s="1"/>
  <c r="G6" i="16" s="1"/>
  <c r="AF8" i="1310"/>
  <c r="Q8" i="1310"/>
  <c r="L8" i="1310"/>
  <c r="K8" i="1310"/>
  <c r="AF7" i="1310"/>
  <c r="AC7" i="1310"/>
  <c r="AD7" i="1310" s="1"/>
  <c r="G4" i="16" s="1"/>
  <c r="AB7" i="1310"/>
  <c r="Q7" i="1310"/>
  <c r="P7" i="1310"/>
  <c r="O7" i="1310"/>
  <c r="M7" i="1310"/>
  <c r="K7" i="1310"/>
  <c r="AF6" i="1310"/>
  <c r="AB6" i="1310"/>
  <c r="Q6" i="1310"/>
  <c r="P6" i="1310"/>
  <c r="AC6" i="1310" s="1"/>
  <c r="O6" i="1310"/>
  <c r="M6" i="1310"/>
  <c r="K6" i="1310"/>
  <c r="A75" i="1309"/>
  <c r="A76" i="1309" s="1"/>
  <c r="A77" i="1309" s="1"/>
  <c r="A78" i="1309" s="1"/>
  <c r="A79" i="1309" s="1"/>
  <c r="A80" i="1309" s="1"/>
  <c r="A81" i="1309" s="1"/>
  <c r="A74" i="1309"/>
  <c r="AF60" i="1309"/>
  <c r="AF59" i="1309"/>
  <c r="AF62" i="1309" s="1"/>
  <c r="AA21" i="1309"/>
  <c r="Z21" i="1309"/>
  <c r="Y21" i="1309"/>
  <c r="X21" i="1309"/>
  <c r="W21" i="1309"/>
  <c r="V21" i="1309"/>
  <c r="U21" i="1309"/>
  <c r="T21" i="1309"/>
  <c r="S21" i="1309"/>
  <c r="R21" i="1309"/>
  <c r="N21" i="1309"/>
  <c r="J21" i="1309"/>
  <c r="AF20" i="1309"/>
  <c r="Q20" i="1309"/>
  <c r="P20" i="1309" s="1"/>
  <c r="AC20" i="1309" s="1"/>
  <c r="L20" i="1309"/>
  <c r="AF19" i="1309"/>
  <c r="AB19" i="1309"/>
  <c r="Q19" i="1309"/>
  <c r="P19" i="1309"/>
  <c r="AC19" i="1309" s="1"/>
  <c r="AD19" i="1309" s="1"/>
  <c r="F16" i="16" s="1"/>
  <c r="O19" i="1309"/>
  <c r="M19" i="1309"/>
  <c r="L19" i="1309"/>
  <c r="K19" i="1309"/>
  <c r="AF18" i="1309"/>
  <c r="AB18" i="1309"/>
  <c r="Q18" i="1309"/>
  <c r="O18" i="1309"/>
  <c r="M18" i="1309"/>
  <c r="L18" i="1309"/>
  <c r="P18" i="1309" s="1"/>
  <c r="AC18" i="1309" s="1"/>
  <c r="AF17" i="1309"/>
  <c r="AB17" i="1309"/>
  <c r="Q17" i="1309"/>
  <c r="P17" i="1309"/>
  <c r="AC17" i="1309" s="1"/>
  <c r="AD17" i="1309" s="1"/>
  <c r="O17" i="1309"/>
  <c r="M17" i="1309"/>
  <c r="K17" i="1309"/>
  <c r="AF16" i="1309"/>
  <c r="AD16" i="1309"/>
  <c r="F13" i="16" s="1"/>
  <c r="AB16" i="1309"/>
  <c r="Q16" i="1309"/>
  <c r="P16" i="1309"/>
  <c r="AC16" i="1309" s="1"/>
  <c r="O16" i="1309"/>
  <c r="M16" i="1309"/>
  <c r="K16" i="1309"/>
  <c r="AF15" i="1309"/>
  <c r="AB15" i="1309"/>
  <c r="Q15" i="1309"/>
  <c r="P15" i="1309"/>
  <c r="AC15" i="1309" s="1"/>
  <c r="O15" i="1309"/>
  <c r="M15" i="1309"/>
  <c r="K15" i="1309"/>
  <c r="AF14" i="1309"/>
  <c r="AC14" i="1309"/>
  <c r="AB14" i="1309"/>
  <c r="Q14" i="1309"/>
  <c r="P14" i="1309"/>
  <c r="O14" i="1309"/>
  <c r="M14" i="1309"/>
  <c r="K14" i="1309"/>
  <c r="I14" i="1309"/>
  <c r="I21" i="1309" s="1"/>
  <c r="AF13" i="1309"/>
  <c r="AC13" i="1309"/>
  <c r="AD13" i="1309" s="1"/>
  <c r="F10" i="16" s="1"/>
  <c r="AB13" i="1309"/>
  <c r="Q13" i="1309"/>
  <c r="O13" i="1309"/>
  <c r="M13" i="1309"/>
  <c r="L13" i="1309"/>
  <c r="P13" i="1309" s="1"/>
  <c r="AF12" i="1309"/>
  <c r="AB12" i="1309"/>
  <c r="Q12" i="1309"/>
  <c r="L12" i="1309"/>
  <c r="AF11" i="1309"/>
  <c r="AB11" i="1309"/>
  <c r="Q11" i="1309"/>
  <c r="P11" i="1309"/>
  <c r="AC11" i="1309" s="1"/>
  <c r="AD11" i="1309" s="1"/>
  <c r="O11" i="1309"/>
  <c r="M11" i="1309"/>
  <c r="K11" i="1309"/>
  <c r="AF10" i="1309"/>
  <c r="AB10" i="1309"/>
  <c r="Q10" i="1309"/>
  <c r="O10" i="1309"/>
  <c r="M10" i="1309"/>
  <c r="L10" i="1309"/>
  <c r="P10" i="1309" s="1"/>
  <c r="AC10" i="1309" s="1"/>
  <c r="AD10" i="1309" s="1"/>
  <c r="F7" i="16" s="1"/>
  <c r="AF9" i="1309"/>
  <c r="Q9" i="1309"/>
  <c r="M9" i="1309"/>
  <c r="L9" i="1309"/>
  <c r="AF8" i="1309"/>
  <c r="AD8" i="1309"/>
  <c r="F5" i="16" s="1"/>
  <c r="AB8" i="1309"/>
  <c r="Q8" i="1309"/>
  <c r="P8" i="1309"/>
  <c r="AC8" i="1309" s="1"/>
  <c r="O8" i="1309"/>
  <c r="M8" i="1309"/>
  <c r="K8" i="1309"/>
  <c r="AF7" i="1309"/>
  <c r="AC7" i="1309"/>
  <c r="AB7" i="1309"/>
  <c r="Q7" i="1309"/>
  <c r="P7" i="1309"/>
  <c r="O7" i="1309"/>
  <c r="M7" i="1309"/>
  <c r="K7" i="1309"/>
  <c r="AF6" i="1309"/>
  <c r="AB6" i="1309"/>
  <c r="Q6" i="1309"/>
  <c r="P6" i="1309"/>
  <c r="O6" i="1309"/>
  <c r="M6" i="1309"/>
  <c r="K6" i="1309"/>
  <c r="A81" i="1308"/>
  <c r="A78" i="1308"/>
  <c r="A79" i="1308" s="1"/>
  <c r="A80" i="1308" s="1"/>
  <c r="A74" i="1308"/>
  <c r="A75" i="1308" s="1"/>
  <c r="A76" i="1308" s="1"/>
  <c r="A77" i="1308" s="1"/>
  <c r="AF62" i="1308"/>
  <c r="AF60" i="1308"/>
  <c r="AF59" i="1308"/>
  <c r="AA21" i="1308"/>
  <c r="Z21" i="1308"/>
  <c r="Y21" i="1308"/>
  <c r="X21" i="1308"/>
  <c r="W21" i="1308"/>
  <c r="V21" i="1308"/>
  <c r="U21" i="1308"/>
  <c r="T21" i="1308"/>
  <c r="S21" i="1308"/>
  <c r="R21" i="1308"/>
  <c r="N21" i="1308"/>
  <c r="M21" i="1308"/>
  <c r="J21" i="1308"/>
  <c r="AF20" i="1308"/>
  <c r="AD20" i="1308"/>
  <c r="C17" i="16" s="1"/>
  <c r="AB20" i="1308"/>
  <c r="Q20" i="1308"/>
  <c r="P20" i="1308"/>
  <c r="AC20" i="1308" s="1"/>
  <c r="O20" i="1308"/>
  <c r="M20" i="1308"/>
  <c r="L20" i="1308"/>
  <c r="K20" i="1308"/>
  <c r="AF19" i="1308"/>
  <c r="AC19" i="1308"/>
  <c r="AD19" i="1308" s="1"/>
  <c r="AB19" i="1308"/>
  <c r="Q19" i="1308"/>
  <c r="O19" i="1308"/>
  <c r="M19" i="1308"/>
  <c r="L19" i="1308"/>
  <c r="P19" i="1308" s="1"/>
  <c r="AF18" i="1308"/>
  <c r="AB18" i="1308"/>
  <c r="Q18" i="1308"/>
  <c r="M18" i="1308"/>
  <c r="L18" i="1308"/>
  <c r="AF17" i="1308"/>
  <c r="AB17" i="1308"/>
  <c r="Q17" i="1308"/>
  <c r="Q21" i="1308" s="1"/>
  <c r="P17" i="1308"/>
  <c r="AC17" i="1308" s="1"/>
  <c r="AD17" i="1308" s="1"/>
  <c r="C14" i="16" s="1"/>
  <c r="O17" i="1308"/>
  <c r="M17" i="1308"/>
  <c r="K17" i="1308"/>
  <c r="AF16" i="1308"/>
  <c r="AC16" i="1308"/>
  <c r="AB16" i="1308"/>
  <c r="Q16" i="1308"/>
  <c r="O16" i="1308"/>
  <c r="M16" i="1308"/>
  <c r="L16" i="1308"/>
  <c r="P16" i="1308" s="1"/>
  <c r="AF15" i="1308"/>
  <c r="AB15" i="1308"/>
  <c r="Q15" i="1308"/>
  <c r="P15" i="1308"/>
  <c r="AC15" i="1308" s="1"/>
  <c r="AD15" i="1308" s="1"/>
  <c r="C12" i="16" s="1"/>
  <c r="O15" i="1308"/>
  <c r="M15" i="1308"/>
  <c r="K15" i="1308"/>
  <c r="AF14" i="1308"/>
  <c r="AB14" i="1308"/>
  <c r="Q14" i="1308"/>
  <c r="P14" i="1308"/>
  <c r="AC14" i="1308" s="1"/>
  <c r="AD14" i="1308" s="1"/>
  <c r="C11" i="16" s="1"/>
  <c r="O14" i="1308"/>
  <c r="M14" i="1308"/>
  <c r="L14" i="1308"/>
  <c r="K14" i="1308"/>
  <c r="I14" i="1308"/>
  <c r="I21" i="1308" s="1"/>
  <c r="AF13" i="1308"/>
  <c r="AB13" i="1308"/>
  <c r="Q13" i="1308"/>
  <c r="P13" i="1308"/>
  <c r="AC13" i="1308" s="1"/>
  <c r="AD13" i="1308" s="1"/>
  <c r="C10" i="16" s="1"/>
  <c r="O13" i="1308"/>
  <c r="M13" i="1308"/>
  <c r="L13" i="1308"/>
  <c r="K13" i="1308"/>
  <c r="AF12" i="1308"/>
  <c r="AC12" i="1308"/>
  <c r="AB12" i="1308"/>
  <c r="Q12" i="1308"/>
  <c r="O12" i="1308"/>
  <c r="M12" i="1308"/>
  <c r="L12" i="1308"/>
  <c r="P12" i="1308" s="1"/>
  <c r="AF11" i="1308"/>
  <c r="AB11" i="1308"/>
  <c r="Q11" i="1308"/>
  <c r="P11" i="1308" s="1"/>
  <c r="AC11" i="1308" s="1"/>
  <c r="O11" i="1308"/>
  <c r="M11" i="1308"/>
  <c r="K11" i="1308"/>
  <c r="AF10" i="1308"/>
  <c r="AB10" i="1308"/>
  <c r="Q10" i="1308"/>
  <c r="P10" i="1308"/>
  <c r="AC10" i="1308" s="1"/>
  <c r="AD10" i="1308" s="1"/>
  <c r="C7" i="16" s="1"/>
  <c r="O10" i="1308"/>
  <c r="M10" i="1308"/>
  <c r="L10" i="1308"/>
  <c r="K10" i="1308"/>
  <c r="AF9" i="1308"/>
  <c r="AB9" i="1308"/>
  <c r="Q9" i="1308"/>
  <c r="O9" i="1308"/>
  <c r="M9" i="1308"/>
  <c r="L9" i="1308"/>
  <c r="L21" i="1308" s="1"/>
  <c r="AF8" i="1308"/>
  <c r="AB8" i="1308"/>
  <c r="Q8" i="1308"/>
  <c r="P8" i="1308" s="1"/>
  <c r="AC8" i="1308" s="1"/>
  <c r="O8" i="1308"/>
  <c r="M8" i="1308"/>
  <c r="K8" i="1308"/>
  <c r="AF7" i="1308"/>
  <c r="AB7" i="1308"/>
  <c r="Q7" i="1308"/>
  <c r="P7" i="1308"/>
  <c r="AC7" i="1308" s="1"/>
  <c r="AD7" i="1308" s="1"/>
  <c r="C4" i="16" s="1"/>
  <c r="O7" i="1308"/>
  <c r="M7" i="1308"/>
  <c r="K7" i="1308"/>
  <c r="AF6" i="1308"/>
  <c r="AB6" i="1308"/>
  <c r="Q6" i="1308"/>
  <c r="P6" i="1308"/>
  <c r="O6" i="1308"/>
  <c r="M6" i="1308"/>
  <c r="K6" i="1308"/>
  <c r="A79" i="1307"/>
  <c r="A80" i="1307" s="1"/>
  <c r="A81" i="1307" s="1"/>
  <c r="A78" i="1307"/>
  <c r="A75" i="1307"/>
  <c r="A76" i="1307" s="1"/>
  <c r="A77" i="1307" s="1"/>
  <c r="A74" i="1307"/>
  <c r="AF62" i="1307"/>
  <c r="AF60" i="1307"/>
  <c r="AF59" i="1307"/>
  <c r="AA21" i="1307"/>
  <c r="Z21" i="1307"/>
  <c r="Y21" i="1307"/>
  <c r="X21" i="1307"/>
  <c r="W21" i="1307"/>
  <c r="V21" i="1307"/>
  <c r="U21" i="1307"/>
  <c r="T21" i="1307"/>
  <c r="S21" i="1307"/>
  <c r="R21" i="1307"/>
  <c r="N21" i="1307"/>
  <c r="J21" i="1307"/>
  <c r="AF20" i="1307"/>
  <c r="Q20" i="1307"/>
  <c r="L20" i="1307"/>
  <c r="O20" i="1307" s="1"/>
  <c r="AF19" i="1307"/>
  <c r="AC19" i="1307"/>
  <c r="AD19" i="1307" s="1"/>
  <c r="B16" i="16" s="1"/>
  <c r="AB19" i="1307"/>
  <c r="Q19" i="1307"/>
  <c r="P19" i="1307"/>
  <c r="O19" i="1307"/>
  <c r="M19" i="1307"/>
  <c r="L19" i="1307"/>
  <c r="K19" i="1307"/>
  <c r="AF18" i="1307"/>
  <c r="Q18" i="1307"/>
  <c r="O18" i="1307"/>
  <c r="L18" i="1307"/>
  <c r="AB18" i="1307" s="1"/>
  <c r="AF17" i="1307"/>
  <c r="AB17" i="1307"/>
  <c r="Q17" i="1307"/>
  <c r="P17" i="1307"/>
  <c r="AC17" i="1307" s="1"/>
  <c r="O17" i="1307"/>
  <c r="M17" i="1307"/>
  <c r="K17" i="1307"/>
  <c r="AF16" i="1307"/>
  <c r="AC16" i="1307"/>
  <c r="AB16" i="1307"/>
  <c r="Q16" i="1307"/>
  <c r="P16" i="1307"/>
  <c r="O16" i="1307"/>
  <c r="M16" i="1307"/>
  <c r="K16" i="1307"/>
  <c r="AF15" i="1307"/>
  <c r="Q15" i="1307"/>
  <c r="P15" i="1307"/>
  <c r="AC15" i="1307" s="1"/>
  <c r="M15" i="1307"/>
  <c r="L15" i="1307"/>
  <c r="AF14" i="1307"/>
  <c r="Q14" i="1307"/>
  <c r="P14" i="1307" s="1"/>
  <c r="AC14" i="1307" s="1"/>
  <c r="O14" i="1307"/>
  <c r="L14" i="1307"/>
  <c r="K14" i="1307"/>
  <c r="I14" i="1307"/>
  <c r="I21" i="1307" s="1"/>
  <c r="AF13" i="1307"/>
  <c r="AB13" i="1307"/>
  <c r="Q13" i="1307"/>
  <c r="P13" i="1307"/>
  <c r="AC13" i="1307" s="1"/>
  <c r="AD13" i="1307" s="1"/>
  <c r="B10" i="16" s="1"/>
  <c r="O13" i="1307"/>
  <c r="M13" i="1307"/>
  <c r="K13" i="1307"/>
  <c r="AF12" i="1307"/>
  <c r="Q12" i="1307"/>
  <c r="O12" i="1307"/>
  <c r="M12" i="1307"/>
  <c r="L12" i="1307"/>
  <c r="AF11" i="1307"/>
  <c r="Q11" i="1307"/>
  <c r="P11" i="1307"/>
  <c r="AC11" i="1307" s="1"/>
  <c r="M11" i="1307"/>
  <c r="L11" i="1307"/>
  <c r="O11" i="1307" s="1"/>
  <c r="K11" i="1307"/>
  <c r="AF10" i="1307"/>
  <c r="Q10" i="1307"/>
  <c r="L10" i="1307"/>
  <c r="AF9" i="1307"/>
  <c r="AC9" i="1307"/>
  <c r="AB9" i="1307"/>
  <c r="Q9" i="1307"/>
  <c r="P9" i="1307"/>
  <c r="O9" i="1307"/>
  <c r="M9" i="1307"/>
  <c r="L9" i="1307"/>
  <c r="K9" i="1307"/>
  <c r="AF8" i="1307"/>
  <c r="Q8" i="1307"/>
  <c r="O8" i="1307"/>
  <c r="M8" i="1307"/>
  <c r="L8" i="1307"/>
  <c r="AF7" i="1307"/>
  <c r="AD7" i="1307"/>
  <c r="B4" i="16" s="1"/>
  <c r="AB7" i="1307"/>
  <c r="Q7" i="1307"/>
  <c r="P7" i="1307"/>
  <c r="AC7" i="1307" s="1"/>
  <c r="O7" i="1307"/>
  <c r="M7" i="1307"/>
  <c r="K7" i="1307"/>
  <c r="AF6" i="1307"/>
  <c r="AB6" i="1307"/>
  <c r="Q6" i="1307"/>
  <c r="P6" i="1307"/>
  <c r="O6" i="1307"/>
  <c r="M6" i="1307"/>
  <c r="K6" i="1307"/>
  <c r="J16" i="16"/>
  <c r="C16" i="16"/>
  <c r="J15" i="16"/>
  <c r="J14" i="16"/>
  <c r="F14" i="16"/>
  <c r="J12" i="16"/>
  <c r="I12" i="16"/>
  <c r="H12" i="16"/>
  <c r="J10" i="16"/>
  <c r="H10" i="16"/>
  <c r="J9" i="16"/>
  <c r="H8" i="16"/>
  <c r="F8" i="16"/>
  <c r="H7" i="16"/>
  <c r="H5" i="16"/>
  <c r="J3" i="16"/>
  <c r="H3" i="16"/>
  <c r="AB10" i="1307" l="1"/>
  <c r="M10" i="1307"/>
  <c r="M21" i="1307" s="1"/>
  <c r="O10" i="1307"/>
  <c r="AB21" i="1310"/>
  <c r="AD6" i="1314"/>
  <c r="M3" i="16" s="1"/>
  <c r="AD8" i="1314"/>
  <c r="M5" i="16" s="1"/>
  <c r="AC6" i="1307"/>
  <c r="AD16" i="1307"/>
  <c r="B13" i="16" s="1"/>
  <c r="Q21" i="1309"/>
  <c r="AD14" i="1309"/>
  <c r="F11" i="16" s="1"/>
  <c r="L21" i="1310"/>
  <c r="O21" i="1310" s="1"/>
  <c r="O8" i="1310"/>
  <c r="P8" i="1310"/>
  <c r="AC8" i="1310" s="1"/>
  <c r="AD8" i="1310" s="1"/>
  <c r="G5" i="16" s="1"/>
  <c r="M8" i="1310"/>
  <c r="M21" i="1310" s="1"/>
  <c r="AB8" i="1310"/>
  <c r="AD21" i="1312"/>
  <c r="I17" i="16" s="1"/>
  <c r="Q21" i="1307"/>
  <c r="AD17" i="1307"/>
  <c r="B14" i="16" s="1"/>
  <c r="AG14" i="16" s="1"/>
  <c r="AB21" i="1308"/>
  <c r="AD12" i="1308"/>
  <c r="C9" i="16" s="1"/>
  <c r="AD16" i="1308"/>
  <c r="C13" i="16" s="1"/>
  <c r="P12" i="1309"/>
  <c r="AC12" i="1309" s="1"/>
  <c r="AD12" i="1309" s="1"/>
  <c r="F9" i="16" s="1"/>
  <c r="K12" i="1309"/>
  <c r="O12" i="1309"/>
  <c r="M12" i="1309"/>
  <c r="AD15" i="1309"/>
  <c r="F12" i="16" s="1"/>
  <c r="AD18" i="1309"/>
  <c r="F15" i="16" s="1"/>
  <c r="O20" i="1309"/>
  <c r="AB20" i="1309"/>
  <c r="AD20" i="1309" s="1"/>
  <c r="F17" i="16" s="1"/>
  <c r="M20" i="1309"/>
  <c r="M21" i="1309" s="1"/>
  <c r="K20" i="1309"/>
  <c r="AD6" i="1310"/>
  <c r="AF62" i="1311"/>
  <c r="AD6" i="1312"/>
  <c r="AD11" i="1312"/>
  <c r="I8" i="16" s="1"/>
  <c r="AD19" i="1312"/>
  <c r="I15" i="16" s="1"/>
  <c r="AD8" i="1313"/>
  <c r="J5" i="16" s="1"/>
  <c r="AD10" i="1313"/>
  <c r="J7" i="16" s="1"/>
  <c r="AB20" i="1307"/>
  <c r="M20" i="1307"/>
  <c r="P20" i="1307"/>
  <c r="AC20" i="1307" s="1"/>
  <c r="AD20" i="1307" s="1"/>
  <c r="B17" i="16" s="1"/>
  <c r="AC6" i="1309"/>
  <c r="AD7" i="1309"/>
  <c r="F4" i="16" s="1"/>
  <c r="AD9" i="1307"/>
  <c r="B6" i="16" s="1"/>
  <c r="P10" i="1307"/>
  <c r="AC10" i="1307" s="1"/>
  <c r="K10" i="1307"/>
  <c r="O15" i="1307"/>
  <c r="K15" i="1307"/>
  <c r="AB15" i="1307"/>
  <c r="P18" i="1307"/>
  <c r="AC18" i="1307" s="1"/>
  <c r="AD18" i="1307" s="1"/>
  <c r="B15" i="16" s="1"/>
  <c r="K18" i="1307"/>
  <c r="M18" i="1307"/>
  <c r="K20" i="1307"/>
  <c r="P9" i="1309"/>
  <c r="AC9" i="1309" s="1"/>
  <c r="K9" i="1309"/>
  <c r="K21" i="1309" s="1"/>
  <c r="L21" i="1309"/>
  <c r="O21" i="1309" s="1"/>
  <c r="O9" i="1309"/>
  <c r="AB9" i="1309"/>
  <c r="AB21" i="1309" s="1"/>
  <c r="Q21" i="1310"/>
  <c r="AD12" i="1312"/>
  <c r="I9" i="16" s="1"/>
  <c r="AD17" i="1312"/>
  <c r="I14" i="16" s="1"/>
  <c r="Q21" i="1313"/>
  <c r="P21" i="1313"/>
  <c r="K22" i="1314"/>
  <c r="AD21" i="1314"/>
  <c r="M17" i="16" s="1"/>
  <c r="K21" i="1313"/>
  <c r="M21" i="1313"/>
  <c r="AD16" i="1313"/>
  <c r="J13" i="16" s="1"/>
  <c r="AE11" i="1315"/>
  <c r="N18" i="16"/>
  <c r="L21" i="1307"/>
  <c r="O21" i="1307" s="1"/>
  <c r="P8" i="1307"/>
  <c r="AC8" i="1307" s="1"/>
  <c r="K8" i="1307"/>
  <c r="K21" i="1307" s="1"/>
  <c r="AB8" i="1307"/>
  <c r="AB21" i="1307" s="1"/>
  <c r="AB11" i="1307"/>
  <c r="AD11" i="1307" s="1"/>
  <c r="B8" i="16" s="1"/>
  <c r="AG8" i="16" s="1"/>
  <c r="P12" i="1307"/>
  <c r="AC12" i="1307" s="1"/>
  <c r="K12" i="1307"/>
  <c r="AB12" i="1307"/>
  <c r="AB14" i="1307"/>
  <c r="AD14" i="1307" s="1"/>
  <c r="B11" i="16" s="1"/>
  <c r="AG11" i="16" s="1"/>
  <c r="M14" i="1307"/>
  <c r="AD8" i="1308"/>
  <c r="C5" i="16" s="1"/>
  <c r="O21" i="1308"/>
  <c r="AD11" i="1308"/>
  <c r="C8" i="16" s="1"/>
  <c r="P18" i="1308"/>
  <c r="AC18" i="1308" s="1"/>
  <c r="K18" i="1308"/>
  <c r="O18" i="1308"/>
  <c r="AD14" i="1311"/>
  <c r="H11" i="16" s="1"/>
  <c r="AD16" i="1311"/>
  <c r="H13" i="16" s="1"/>
  <c r="AD18" i="1311"/>
  <c r="H15" i="16" s="1"/>
  <c r="L22" i="1312"/>
  <c r="O22" i="1312" s="1"/>
  <c r="P8" i="1312"/>
  <c r="AC8" i="1312" s="1"/>
  <c r="AD8" i="1312" s="1"/>
  <c r="I5" i="16" s="1"/>
  <c r="K8" i="1312"/>
  <c r="O8" i="1312"/>
  <c r="AB8" i="1312"/>
  <c r="AB22" i="1312" s="1"/>
  <c r="P16" i="1312"/>
  <c r="AC16" i="1312" s="1"/>
  <c r="AD16" i="1312" s="1"/>
  <c r="I13" i="16" s="1"/>
  <c r="K16" i="1312"/>
  <c r="O16" i="1312"/>
  <c r="M16" i="1312"/>
  <c r="M22" i="1312" s="1"/>
  <c r="AD20" i="1313"/>
  <c r="J17" i="16" s="1"/>
  <c r="AC6" i="1308"/>
  <c r="K9" i="1308"/>
  <c r="K21" i="1308" s="1"/>
  <c r="P9" i="1308"/>
  <c r="AC9" i="1308" s="1"/>
  <c r="AD9" i="1308" s="1"/>
  <c r="C6" i="16" s="1"/>
  <c r="K12" i="1308"/>
  <c r="K16" i="1308"/>
  <c r="K19" i="1308"/>
  <c r="K10" i="1309"/>
  <c r="K13" i="1309"/>
  <c r="K18" i="1309"/>
  <c r="P13" i="1310"/>
  <c r="AC13" i="1310" s="1"/>
  <c r="K13" i="1310"/>
  <c r="O13" i="1310"/>
  <c r="P16" i="1310"/>
  <c r="AC16" i="1310" s="1"/>
  <c r="K16" i="1310"/>
  <c r="O16" i="1310"/>
  <c r="O18" i="1310"/>
  <c r="AB18" i="1310"/>
  <c r="AD18" i="1310" s="1"/>
  <c r="G15" i="16" s="1"/>
  <c r="M18" i="1310"/>
  <c r="P9" i="1311"/>
  <c r="K9" i="1311"/>
  <c r="K21" i="1311" s="1"/>
  <c r="O9" i="1311"/>
  <c r="AD20" i="1311"/>
  <c r="H17" i="16" s="1"/>
  <c r="AD14" i="1312"/>
  <c r="I11" i="16" s="1"/>
  <c r="AD9" i="1313"/>
  <c r="J6" i="16" s="1"/>
  <c r="AD7" i="1314"/>
  <c r="M4" i="16" s="1"/>
  <c r="AD16" i="1314"/>
  <c r="M12" i="16" s="1"/>
  <c r="AD19" i="1314"/>
  <c r="M15" i="16" s="1"/>
  <c r="AD11" i="1310"/>
  <c r="G8" i="16" s="1"/>
  <c r="AD14" i="1310"/>
  <c r="G11" i="16" s="1"/>
  <c r="AD7" i="1311"/>
  <c r="H4" i="16" s="1"/>
  <c r="AD9" i="1312"/>
  <c r="I6" i="16" s="1"/>
  <c r="AD13" i="1312"/>
  <c r="I10" i="16" s="1"/>
  <c r="AD18" i="1312"/>
  <c r="AD20" i="1312"/>
  <c r="I16" i="16" s="1"/>
  <c r="AG16" i="16" s="1"/>
  <c r="AD7" i="1313"/>
  <c r="J4" i="16" s="1"/>
  <c r="AG4" i="16" s="1"/>
  <c r="AD11" i="1313"/>
  <c r="J8" i="16" s="1"/>
  <c r="AD14" i="1313"/>
  <c r="J11" i="16" s="1"/>
  <c r="AD20" i="1314"/>
  <c r="M16" i="16" s="1"/>
  <c r="K9" i="1310"/>
  <c r="K21" i="1310" s="1"/>
  <c r="K9" i="1312"/>
  <c r="K22" i="1312" s="1"/>
  <c r="AD18" i="1314"/>
  <c r="M14" i="16" s="1"/>
  <c r="AE19" i="1316"/>
  <c r="O18" i="16"/>
  <c r="AE16" i="1316"/>
  <c r="AE15" i="1316"/>
  <c r="AE17" i="1316"/>
  <c r="AE18" i="1316"/>
  <c r="AE12" i="1316"/>
  <c r="AE10" i="1316"/>
  <c r="AE20" i="1316"/>
  <c r="AE22" i="1316"/>
  <c r="AE8" i="1316"/>
  <c r="AE21" i="1316"/>
  <c r="AE6" i="1316"/>
  <c r="AE11" i="1316"/>
  <c r="AE13" i="1316"/>
  <c r="AE9" i="1316"/>
  <c r="AE7" i="1316"/>
  <c r="AE14" i="1316"/>
  <c r="AE19" i="1315"/>
  <c r="AE10" i="1315"/>
  <c r="AE20" i="1315"/>
  <c r="AE8" i="1315"/>
  <c r="AE16" i="1315"/>
  <c r="AE7" i="1315"/>
  <c r="AE6" i="1315"/>
  <c r="AE14" i="1315"/>
  <c r="AE17" i="1315"/>
  <c r="AE13" i="1315"/>
  <c r="AE12" i="1315"/>
  <c r="AE15" i="1315"/>
  <c r="AE9" i="1315"/>
  <c r="AE18" i="1315"/>
  <c r="M22" i="1314"/>
  <c r="O22" i="1314"/>
  <c r="AD13" i="1314"/>
  <c r="M9" i="16" s="1"/>
  <c r="AD15" i="1314"/>
  <c r="M11" i="16" s="1"/>
  <c r="AD14" i="1314"/>
  <c r="M10" i="16" s="1"/>
  <c r="Q22" i="1314"/>
  <c r="AD11" i="1314"/>
  <c r="M7" i="16" s="1"/>
  <c r="AB22" i="1314"/>
  <c r="P9" i="1314"/>
  <c r="P22" i="1314" s="1"/>
  <c r="P22" i="1312" l="1"/>
  <c r="AC9" i="1311"/>
  <c r="P21" i="1311"/>
  <c r="AD9" i="1309"/>
  <c r="F6" i="16" s="1"/>
  <c r="AC21" i="1309"/>
  <c r="AD6" i="1309"/>
  <c r="AC21" i="1307"/>
  <c r="AD6" i="1307"/>
  <c r="AD13" i="1310"/>
  <c r="G10" i="16" s="1"/>
  <c r="AG10" i="16" s="1"/>
  <c r="AD18" i="1308"/>
  <c r="C15" i="16" s="1"/>
  <c r="AG15" i="16"/>
  <c r="AG17" i="16"/>
  <c r="G3" i="16"/>
  <c r="P21" i="1307"/>
  <c r="P21" i="1310"/>
  <c r="AD16" i="1310"/>
  <c r="G13" i="16" s="1"/>
  <c r="AD6" i="1308"/>
  <c r="AC21" i="1308"/>
  <c r="AD12" i="1307"/>
  <c r="B9" i="16" s="1"/>
  <c r="AG9" i="16" s="1"/>
  <c r="AD8" i="1307"/>
  <c r="B5" i="16" s="1"/>
  <c r="AG5" i="16" s="1"/>
  <c r="AD15" i="1307"/>
  <c r="B12" i="16" s="1"/>
  <c r="AG12" i="16" s="1"/>
  <c r="AC22" i="1312"/>
  <c r="AC21" i="1310"/>
  <c r="P21" i="1308"/>
  <c r="AD10" i="1307"/>
  <c r="B7" i="16" s="1"/>
  <c r="AG7" i="16" s="1"/>
  <c r="P21" i="1309"/>
  <c r="AD21" i="1313"/>
  <c r="AD22" i="1312"/>
  <c r="I3" i="16"/>
  <c r="AG13" i="16"/>
  <c r="AC9" i="1314"/>
  <c r="AD9" i="1314" s="1"/>
  <c r="AD21" i="1308" l="1"/>
  <c r="C3" i="16"/>
  <c r="AD21" i="1310"/>
  <c r="F3" i="16"/>
  <c r="AD21" i="1309"/>
  <c r="AE14" i="1312"/>
  <c r="AE11" i="1312"/>
  <c r="AE9" i="1312"/>
  <c r="AE6" i="1312"/>
  <c r="AE21" i="1312"/>
  <c r="AE19" i="1312"/>
  <c r="AE17" i="1312"/>
  <c r="AE12" i="1312"/>
  <c r="AE15" i="1312"/>
  <c r="AE7" i="1312"/>
  <c r="I18" i="16"/>
  <c r="AE16" i="1312"/>
  <c r="AE8" i="1312"/>
  <c r="AE18" i="1312"/>
  <c r="AE13" i="1312"/>
  <c r="AE10" i="1312"/>
  <c r="AE20" i="1312"/>
  <c r="AD9" i="1311"/>
  <c r="AC21" i="1311"/>
  <c r="AD22" i="1314"/>
  <c r="M6" i="16"/>
  <c r="AE20" i="1313"/>
  <c r="AE18" i="1313"/>
  <c r="AE16" i="1313"/>
  <c r="AE14" i="1313"/>
  <c r="AE7" i="1313"/>
  <c r="AE12" i="1313"/>
  <c r="AE10" i="1313"/>
  <c r="AE8" i="1313"/>
  <c r="AE6" i="1313"/>
  <c r="AE13" i="1313"/>
  <c r="AE11" i="1313"/>
  <c r="AE19" i="1313"/>
  <c r="AE17" i="1313"/>
  <c r="AE15" i="1313"/>
  <c r="J18" i="16"/>
  <c r="AE9" i="1313"/>
  <c r="AD21" i="1307"/>
  <c r="B3" i="16"/>
  <c r="AG3" i="16" s="1"/>
  <c r="AC22" i="1314"/>
  <c r="AE20" i="1314"/>
  <c r="AE18" i="1314"/>
  <c r="AE16" i="1314"/>
  <c r="AE14" i="1314"/>
  <c r="AE12" i="1314"/>
  <c r="AE9" i="1314"/>
  <c r="AE7" i="1314"/>
  <c r="AE21" i="1314"/>
  <c r="AE19" i="1314"/>
  <c r="AE17" i="1314"/>
  <c r="AE13" i="1314"/>
  <c r="AE11" i="1314"/>
  <c r="AE6" i="1314"/>
  <c r="AE15" i="1314"/>
  <c r="AE8" i="1314"/>
  <c r="AE19" i="1307" l="1"/>
  <c r="AE16" i="1307"/>
  <c r="AE9" i="1307"/>
  <c r="AE6" i="1307"/>
  <c r="AE20" i="1307"/>
  <c r="AE13" i="1307"/>
  <c r="B18" i="16"/>
  <c r="AE18" i="1307"/>
  <c r="AE12" i="1307"/>
  <c r="AE7" i="1307"/>
  <c r="AE11" i="1307"/>
  <c r="AE10" i="1307"/>
  <c r="AE8" i="1307"/>
  <c r="AE17" i="1307"/>
  <c r="AE15" i="1307"/>
  <c r="AE14" i="1307"/>
  <c r="H6" i="16"/>
  <c r="AG6" i="16" s="1"/>
  <c r="AD21" i="1311"/>
  <c r="AE19" i="1310"/>
  <c r="AE14" i="1310"/>
  <c r="AE11" i="1310"/>
  <c r="AE9" i="1310"/>
  <c r="AE20" i="1310"/>
  <c r="AE17" i="1310"/>
  <c r="AE10" i="1310"/>
  <c r="AE8" i="1310"/>
  <c r="AE18" i="1310"/>
  <c r="AE16" i="1310"/>
  <c r="AE13" i="1310"/>
  <c r="AE7" i="1310"/>
  <c r="G18" i="16"/>
  <c r="AE12" i="1310"/>
  <c r="AE15" i="1310"/>
  <c r="AE6" i="1310"/>
  <c r="AE10" i="1314"/>
  <c r="M18" i="16"/>
  <c r="AE18" i="1309"/>
  <c r="AE13" i="1309"/>
  <c r="AE10" i="1309"/>
  <c r="AE7" i="1309"/>
  <c r="AE19" i="1309"/>
  <c r="AE16" i="1309"/>
  <c r="AE14" i="1309"/>
  <c r="AE15" i="1309"/>
  <c r="F18" i="16"/>
  <c r="AE17" i="1309"/>
  <c r="AE6" i="1309"/>
  <c r="AE9" i="1309"/>
  <c r="AE20" i="1309"/>
  <c r="AE12" i="1309"/>
  <c r="AE8" i="1309"/>
  <c r="AE11" i="1309"/>
  <c r="AE19" i="1308"/>
  <c r="AE16" i="1308"/>
  <c r="AE12" i="1308"/>
  <c r="AE9" i="1308"/>
  <c r="AE20" i="1308"/>
  <c r="AE14" i="1308"/>
  <c r="AE13" i="1308"/>
  <c r="AE10" i="1308"/>
  <c r="AE7" i="1308"/>
  <c r="AE18" i="1308"/>
  <c r="AE17" i="1308"/>
  <c r="AE15" i="1308"/>
  <c r="AE11" i="1308"/>
  <c r="AE8" i="1308"/>
  <c r="AE6" i="1308"/>
  <c r="C18" i="16"/>
  <c r="AE18" i="1311" l="1"/>
  <c r="AE16" i="1311"/>
  <c r="AE14" i="1311"/>
  <c r="AE7" i="1311"/>
  <c r="AE19" i="1311"/>
  <c r="AE12" i="1311"/>
  <c r="AE10" i="1311"/>
  <c r="AE13" i="1311"/>
  <c r="AE11" i="1311"/>
  <c r="AE6" i="1311"/>
  <c r="AE9" i="1311"/>
  <c r="AE15" i="1311"/>
  <c r="AE20" i="1311"/>
  <c r="AE17" i="1311"/>
  <c r="AE8" i="1311"/>
  <c r="H18" i="16"/>
  <c r="AG18" i="16" s="1"/>
</calcChain>
</file>

<file path=xl/sharedStrings.xml><?xml version="1.0" encoding="utf-8"?>
<sst xmlns="http://schemas.openxmlformats.org/spreadsheetml/2006/main" count="4522" uniqueCount="507">
  <si>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</si>
  <si>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</si>
  <si>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</si>
  <si>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</si>
  <si>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</si>
  <si>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</si>
  <si>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</si>
  <si>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</si>
  <si>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</si>
  <si>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</si>
  <si>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</si>
  <si>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</si>
  <si>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</si>
  <si>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</si>
  <si>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</si>
  <si>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</si>
  <si>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</si>
  <si>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</si>
  <si>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</si>
  <si>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</si>
  <si>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</si>
  <si>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</si>
  <si>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</si>
  <si>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</si>
  <si>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</si>
  <si>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</si>
  <si>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</si>
  <si>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</si>
  <si>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</si>
  <si>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</si>
  <si>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</si>
  <si>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</si>
  <si>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</si>
  <si>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</si>
  <si>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</si>
  <si>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</si>
  <si>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</si>
  <si>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</si>
  <si>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</si>
  <si>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</si>
  <si>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</si>
  <si>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</si>
  <si>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</si>
  <si>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</si>
  <si>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</si>
  <si>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</si>
  <si>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</si>
  <si>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</si>
  <si>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</si>
  <si>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</si>
  <si>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</si>
  <si>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</si>
  <si>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</si>
  <si>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</si>
  <si>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</si>
  <si>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</si>
  <si>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</si>
  <si>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</si>
  <si>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</si>
  <si>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</si>
  <si>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</si>
  <si>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</si>
  <si>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</si>
  <si>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</si>
  <si>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</si>
  <si>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</si>
  <si>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</si>
  <si>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</si>
  <si>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</si>
  <si>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</si>
  <si>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</si>
  <si>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</si>
  <si>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</si>
  <si>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</si>
  <si>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</si>
  <si>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</si>
  <si>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</si>
  <si>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</si>
  <si>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</si>
  <si>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</si>
  <si>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</si>
  <si>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</si>
  <si>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</si>
  <si>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</si>
  <si>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</si>
  <si>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</si>
  <si>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</si>
  <si>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</si>
  <si>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</si>
  <si>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</si>
  <si>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</si>
  <si>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</si>
  <si>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</si>
  <si>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</si>
  <si>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</si>
  <si>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</si>
  <si>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</si>
  <si>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</si>
  <si>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</si>
  <si>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</si>
  <si>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</si>
  <si>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</si>
  <si>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</si>
  <si>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</si>
  <si>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</si>
  <si>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</si>
  <si>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</si>
  <si>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</si>
  <si>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</si>
  <si>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</si>
  <si>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</si>
  <si>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</si>
  <si>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</si>
  <si>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</si>
  <si>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</si>
  <si>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</si>
  <si>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</si>
  <si>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</si>
  <si>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</si>
  <si>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발주분양산</t>
    <phoneticPr fontId="2" type="noConversion"/>
  </si>
  <si>
    <t>STOPPER</t>
    <phoneticPr fontId="2" type="noConversion"/>
  </si>
  <si>
    <t>SLIDER</t>
    <phoneticPr fontId="2" type="noConversion"/>
  </si>
  <si>
    <t>SGF2030</t>
    <phoneticPr fontId="2" type="noConversion"/>
  </si>
  <si>
    <t>5</t>
    <phoneticPr fontId="2" type="noConversion"/>
  </si>
  <si>
    <t>수리후양산</t>
    <phoneticPr fontId="2" type="noConversion"/>
  </si>
  <si>
    <t>8</t>
    <phoneticPr fontId="2" type="noConversion"/>
  </si>
  <si>
    <t>HICON</t>
    <phoneticPr fontId="2" type="noConversion"/>
  </si>
  <si>
    <t>SGF2041 N/P</t>
    <phoneticPr fontId="2" type="noConversion"/>
  </si>
  <si>
    <t>SGF2033</t>
    <phoneticPr fontId="2" type="noConversion"/>
  </si>
  <si>
    <t>JD4901</t>
    <phoneticPr fontId="2" type="noConversion"/>
  </si>
  <si>
    <t>KR6180-E02TB</t>
    <phoneticPr fontId="2" type="noConversion"/>
  </si>
  <si>
    <t>LATCH</t>
    <phoneticPr fontId="2" type="noConversion"/>
  </si>
  <si>
    <t>22P</t>
    <phoneticPr fontId="2" type="noConversion"/>
  </si>
  <si>
    <t>COVER</t>
    <phoneticPr fontId="2" type="noConversion"/>
  </si>
  <si>
    <t>HSB05-M002B2-09BI</t>
    <phoneticPr fontId="2" type="noConversion"/>
  </si>
  <si>
    <t>KR6182-B624CB</t>
    <phoneticPr fontId="2" type="noConversion"/>
  </si>
  <si>
    <t>KR6182-C624TB</t>
    <phoneticPr fontId="2" type="noConversion"/>
  </si>
  <si>
    <t>2*1</t>
    <phoneticPr fontId="2" type="noConversion"/>
  </si>
  <si>
    <t>전일 ISSUE 사항(01일)</t>
    <phoneticPr fontId="2" type="noConversion"/>
  </si>
  <si>
    <t>4</t>
    <phoneticPr fontId="2" type="noConversion"/>
  </si>
  <si>
    <t>당일 진행 사항(02일)</t>
    <phoneticPr fontId="2" type="noConversion"/>
  </si>
  <si>
    <t>10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</si>
  <si>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</si>
  <si>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</si>
  <si>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</si>
  <si>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발주분양산-&gt;코아파손수리</t>
    <phoneticPr fontId="2" type="noConversion"/>
  </si>
  <si>
    <t>LEAD GUIDE</t>
    <phoneticPr fontId="2" type="noConversion"/>
  </si>
  <si>
    <t>AMB0114H-JAA-R1</t>
    <phoneticPr fontId="2" type="noConversion"/>
  </si>
  <si>
    <t>ACTUATOR</t>
    <phoneticPr fontId="2" type="noConversion"/>
  </si>
  <si>
    <t>BODY</t>
    <phoneticPr fontId="2" type="noConversion"/>
  </si>
  <si>
    <t>메카텍</t>
    <phoneticPr fontId="2" type="noConversion"/>
  </si>
  <si>
    <t>발주분양산-&gt;코아파손정지</t>
    <phoneticPr fontId="2" type="noConversion"/>
  </si>
  <si>
    <t>ADAPTER</t>
    <phoneticPr fontId="2" type="noConversion"/>
  </si>
  <si>
    <t>미성형</t>
    <phoneticPr fontId="2" type="noConversion"/>
  </si>
  <si>
    <t>MECA</t>
    <phoneticPr fontId="2" type="noConversion"/>
  </si>
  <si>
    <t>SF2255 I/V</t>
    <phoneticPr fontId="2" type="noConversion"/>
  </si>
  <si>
    <t>AMB0401A-KAA-R1</t>
    <phoneticPr fontId="2" type="noConversion"/>
  </si>
  <si>
    <t>2P BASE/UNDER</t>
    <phoneticPr fontId="2" type="noConversion"/>
  </si>
  <si>
    <t>KR6197-GK209QA</t>
    <phoneticPr fontId="2" type="noConversion"/>
  </si>
  <si>
    <t>HSB05-M004B1</t>
    <phoneticPr fontId="2" type="noConversion"/>
  </si>
  <si>
    <t>HSB05-M005B1</t>
    <phoneticPr fontId="2" type="noConversion"/>
  </si>
  <si>
    <t>AMB0922A-KAA-R2</t>
    <phoneticPr fontId="2" type="noConversion"/>
  </si>
  <si>
    <t>LATCH PLATE</t>
    <phoneticPr fontId="2" type="noConversion"/>
  </si>
  <si>
    <t>34P BASE/UNDER</t>
    <phoneticPr fontId="2" type="noConversion"/>
  </si>
  <si>
    <t>AMB1917A-KAA-R1</t>
    <phoneticPr fontId="2" type="noConversion"/>
  </si>
  <si>
    <r>
      <t>2018년 11월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</si>
  <si>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11월 호기별 가동현황</t>
    <phoneticPr fontId="2" type="noConversion"/>
  </si>
  <si>
    <t>상측뜯김수리</t>
    <phoneticPr fontId="2" type="noConversion"/>
  </si>
  <si>
    <t>수리후양산-&gt;코아파손정지</t>
    <phoneticPr fontId="2" type="noConversion"/>
  </si>
  <si>
    <t>MCS</t>
    <phoneticPr fontId="2" type="noConversion"/>
  </si>
  <si>
    <t>8</t>
    <phoneticPr fontId="2" type="noConversion"/>
  </si>
  <si>
    <t>ACTUATOR</t>
    <phoneticPr fontId="2" type="noConversion"/>
  </si>
  <si>
    <t>AMB1917A-KAA-R1</t>
    <phoneticPr fontId="2" type="noConversion"/>
  </si>
  <si>
    <t>AMB0401A-KAA-R1</t>
    <phoneticPr fontId="2" type="noConversion"/>
  </si>
  <si>
    <t>14</t>
    <phoneticPr fontId="2" type="noConversion"/>
  </si>
  <si>
    <t>LEAD GUIDE</t>
    <phoneticPr fontId="2" type="noConversion"/>
  </si>
  <si>
    <t>KR6156FA841YA</t>
    <phoneticPr fontId="2" type="noConversion"/>
  </si>
  <si>
    <t>KR6156-D841PA</t>
    <phoneticPr fontId="2" type="noConversion"/>
  </si>
  <si>
    <t>AMM1237A-KAA/KAB-R1</t>
    <phoneticPr fontId="2" type="noConversion"/>
  </si>
  <si>
    <t>11</t>
    <phoneticPr fontId="2" type="noConversion"/>
  </si>
  <si>
    <r>
      <t>2018년 11월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</si>
  <si>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SGF2050</t>
    <phoneticPr fontId="2" type="noConversion"/>
  </si>
  <si>
    <t>SF2255</t>
    <phoneticPr fontId="2" type="noConversion"/>
  </si>
  <si>
    <t>AMM1237A-KAA/B</t>
    <phoneticPr fontId="2" type="noConversion"/>
  </si>
  <si>
    <t>7301</t>
    <phoneticPr fontId="2" type="noConversion"/>
  </si>
  <si>
    <t>전일 ISSUE 사항(02일)</t>
    <phoneticPr fontId="2" type="noConversion"/>
  </si>
  <si>
    <t>수리후양산-&gt;BURR수리</t>
    <phoneticPr fontId="2" type="noConversion"/>
  </si>
  <si>
    <t>KR6170-GL496QA</t>
    <phoneticPr fontId="2" type="noConversion"/>
  </si>
  <si>
    <t>승인후양산</t>
    <phoneticPr fontId="2" type="noConversion"/>
  </si>
  <si>
    <t>12</t>
    <phoneticPr fontId="2" type="noConversion"/>
  </si>
  <si>
    <t>당일 진행 사항(05일)</t>
    <phoneticPr fontId="2" type="noConversion"/>
  </si>
  <si>
    <t>SAMPLE 진행 사항(02일)</t>
    <phoneticPr fontId="2" type="noConversion"/>
  </si>
  <si>
    <t>수정</t>
    <phoneticPr fontId="2" type="noConversion"/>
  </si>
  <si>
    <t>단차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</si>
  <si>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</si>
  <si>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</si>
  <si>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2018년 11월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</si>
  <si>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F/ADAPTER</t>
    <phoneticPr fontId="2" type="noConversion"/>
  </si>
  <si>
    <t>AMB2071B-KAA-R2</t>
    <phoneticPr fontId="2" type="noConversion"/>
  </si>
  <si>
    <t>전일 ISSUE 사항(05일)</t>
    <phoneticPr fontId="2" type="noConversion"/>
  </si>
  <si>
    <t>코아파손정지</t>
    <phoneticPr fontId="2" type="noConversion"/>
  </si>
  <si>
    <t>BURR정지</t>
    <phoneticPr fontId="2" type="noConversion"/>
  </si>
  <si>
    <t>6</t>
    <phoneticPr fontId="2" type="noConversion"/>
  </si>
  <si>
    <t>F/A</t>
    <phoneticPr fontId="2" type="noConversion"/>
  </si>
  <si>
    <t>당일 진행 사항(06일)</t>
    <phoneticPr fontId="2" type="noConversion"/>
  </si>
  <si>
    <t>SHAFT</t>
    <phoneticPr fontId="2" type="noConversion"/>
  </si>
  <si>
    <t>KR6166-06TB</t>
    <phoneticPr fontId="2" type="noConversion"/>
  </si>
  <si>
    <t>KR6156DB841CA</t>
    <phoneticPr fontId="2" type="noConversion"/>
  </si>
  <si>
    <t>13</t>
    <phoneticPr fontId="2" type="noConversion"/>
  </si>
  <si>
    <t>테스트</t>
    <phoneticPr fontId="2" type="noConversion"/>
  </si>
  <si>
    <t>단차확인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</si>
  <si>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</si>
  <si>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</si>
  <si>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</si>
  <si>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2018년 11월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</si>
  <si>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PUSHER/2</t>
    <phoneticPr fontId="2" type="noConversion"/>
  </si>
  <si>
    <t>HRCS-03C17/18</t>
    <phoneticPr fontId="2" type="noConversion"/>
  </si>
  <si>
    <t>KR6166-01TB</t>
    <phoneticPr fontId="2" type="noConversion"/>
  </si>
  <si>
    <t>KR6197-D475PA</t>
    <phoneticPr fontId="2" type="noConversion"/>
  </si>
  <si>
    <t>재고</t>
    <phoneticPr fontId="2" type="noConversion"/>
  </si>
  <si>
    <t>BASE/LID</t>
    <phoneticPr fontId="2" type="noConversion"/>
  </si>
  <si>
    <t>HRCS-00C14/15</t>
    <phoneticPr fontId="2" type="noConversion"/>
  </si>
  <si>
    <t>전일 ISSUE 사항(06일)</t>
    <phoneticPr fontId="2" type="noConversion"/>
  </si>
  <si>
    <t>3</t>
    <phoneticPr fontId="2" type="noConversion"/>
  </si>
  <si>
    <t>PUSHER 1/2</t>
    <phoneticPr fontId="2" type="noConversion"/>
  </si>
  <si>
    <t>7</t>
    <phoneticPr fontId="2" type="noConversion"/>
  </si>
  <si>
    <t>당일 진행 사항(07일)</t>
    <phoneticPr fontId="2" type="noConversion"/>
  </si>
  <si>
    <t>KR6197AB841CB</t>
    <phoneticPr fontId="2" type="noConversion"/>
  </si>
  <si>
    <t>HRCS-00C11A/12A</t>
    <phoneticPr fontId="2" type="noConversion"/>
  </si>
  <si>
    <t>HRCS-03C13</t>
    <phoneticPr fontId="2" type="noConversion"/>
  </si>
  <si>
    <t>HSCB65-M01A1(A)</t>
    <phoneticPr fontId="2" type="noConversion"/>
  </si>
  <si>
    <t>HSCB65-M01A1(B)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</si>
  <si>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</si>
  <si>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</si>
  <si>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</si>
  <si>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2018년 11월 07일(주간)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</si>
  <si>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TOP/BOTTOM</t>
    <phoneticPr fontId="2" type="noConversion"/>
  </si>
  <si>
    <t>FLOAT</t>
    <phoneticPr fontId="2" type="noConversion"/>
  </si>
  <si>
    <t>M2 CONN'</t>
    <phoneticPr fontId="2" type="noConversion"/>
  </si>
  <si>
    <t>AMS08155A-KAA-R1</t>
    <phoneticPr fontId="2" type="noConversion"/>
  </si>
  <si>
    <t>전일 ISSUE 사항(07일)</t>
    <phoneticPr fontId="2" type="noConversion"/>
  </si>
  <si>
    <t>단차-&gt;수리후양산</t>
    <phoneticPr fontId="2" type="noConversion"/>
  </si>
  <si>
    <t>TOP/BPTTOM</t>
    <phoneticPr fontId="2" type="noConversion"/>
  </si>
  <si>
    <t>당일 진행 사항(08일)</t>
    <phoneticPr fontId="2" type="noConversion"/>
  </si>
  <si>
    <t>K-JR01928-E02AWA</t>
    <phoneticPr fontId="2" type="noConversion"/>
  </si>
  <si>
    <t>AMB0403A-JAA-R1</t>
    <phoneticPr fontId="2" type="noConversion"/>
  </si>
  <si>
    <t>SAMPLE 진행 사항(07일)</t>
    <phoneticPr fontId="2" type="noConversion"/>
  </si>
  <si>
    <t>AYE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</si>
  <si>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</si>
  <si>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</si>
  <si>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t>NP595-362-011#SP</t>
    <phoneticPr fontId="2" type="noConversion"/>
  </si>
  <si>
    <t>LG35/LS80M25</t>
    <phoneticPr fontId="2" type="noConversion"/>
  </si>
  <si>
    <t>원재료</t>
    <phoneticPr fontId="2" type="noConversion"/>
  </si>
  <si>
    <t>작업안됨</t>
    <phoneticPr fontId="2" type="noConversion"/>
  </si>
  <si>
    <t>NP599-290-002#SP-1/2</t>
    <phoneticPr fontId="2" type="noConversion"/>
  </si>
  <si>
    <t>LS70/LS80M25</t>
    <phoneticPr fontId="2" type="noConversion"/>
  </si>
  <si>
    <t>K-JR01928-G01BWA</t>
    <phoneticPr fontId="2" type="noConversion"/>
  </si>
  <si>
    <t>NP628-1056-001#IN-B</t>
    <phoneticPr fontId="2" type="noConversion"/>
  </si>
  <si>
    <t>LG35G30AB</t>
    <phoneticPr fontId="2" type="noConversion"/>
  </si>
  <si>
    <r>
      <t>2018년 11월 08일(주간)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</si>
  <si>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ODT</t>
    <phoneticPr fontId="2" type="noConversion"/>
  </si>
  <si>
    <t>201T</t>
    <phoneticPr fontId="2" type="noConversion"/>
  </si>
  <si>
    <t>SW-003066</t>
    <phoneticPr fontId="2" type="noConversion"/>
  </si>
  <si>
    <t>PC B/K</t>
    <phoneticPr fontId="2" type="noConversion"/>
  </si>
  <si>
    <t>KR6156-GBG149AA</t>
    <phoneticPr fontId="2" type="noConversion"/>
  </si>
  <si>
    <t>전일 ISSUE 사항(08일)</t>
    <phoneticPr fontId="2" type="noConversion"/>
  </si>
  <si>
    <t>코아파손-&gt;수리후양산</t>
    <phoneticPr fontId="2" type="noConversion"/>
  </si>
  <si>
    <t>당일 진행 사항(09일)</t>
    <phoneticPr fontId="2" type="noConversion"/>
  </si>
  <si>
    <t>3151001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</si>
  <si>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</si>
  <si>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</si>
  <si>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</si>
  <si>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2018년 11월 09일(주간)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</si>
  <si>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A575</t>
    <phoneticPr fontId="2" type="noConversion"/>
  </si>
  <si>
    <t>전일 ISSUE 사항(09일)</t>
    <phoneticPr fontId="2" type="noConversion"/>
  </si>
  <si>
    <t>당일 진행 사항(12일)</t>
    <phoneticPr fontId="2" type="noConversion"/>
  </si>
  <si>
    <t>HSF05-M04B1</t>
    <phoneticPr fontId="2" type="noConversion"/>
  </si>
  <si>
    <t>HSF05-M01B1</t>
    <phoneticPr fontId="2" type="noConversion"/>
  </si>
  <si>
    <t>SAMPLE 진행 사항(09일)</t>
    <phoneticPr fontId="2" type="noConversion"/>
  </si>
  <si>
    <t>게이트위치이동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</si>
  <si>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</si>
  <si>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</si>
  <si>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2018년 11월 12일(주간)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</si>
  <si>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HSCB65-M01A1</t>
    <phoneticPr fontId="2" type="noConversion"/>
  </si>
  <si>
    <t>SGF2041</t>
    <phoneticPr fontId="2" type="noConversion"/>
  </si>
  <si>
    <t>KR6414-A291YA</t>
    <phoneticPr fontId="2" type="noConversion"/>
  </si>
  <si>
    <t>KR6414AC414TA</t>
    <phoneticPr fontId="2" type="noConversion"/>
  </si>
  <si>
    <t>전일 ISSUE 사항(12일)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</si>
  <si>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</si>
  <si>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</si>
  <si>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</si>
  <si>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KR6414-A291YA</t>
    <phoneticPr fontId="2" type="noConversion"/>
  </si>
  <si>
    <t>5</t>
    <phoneticPr fontId="2" type="noConversion"/>
  </si>
  <si>
    <t>STOPPER</t>
    <phoneticPr fontId="2" type="noConversion"/>
  </si>
  <si>
    <t>HSF05-M04B1</t>
    <phoneticPr fontId="2" type="noConversion"/>
  </si>
  <si>
    <t>13</t>
    <phoneticPr fontId="2" type="noConversion"/>
  </si>
  <si>
    <t>COVER</t>
    <phoneticPr fontId="2" type="noConversion"/>
  </si>
  <si>
    <t>14</t>
    <phoneticPr fontId="2" type="noConversion"/>
  </si>
  <si>
    <t>HSF05-M01B1</t>
    <phoneticPr fontId="2" type="noConversion"/>
  </si>
  <si>
    <t>당일 진행 사항(13일)</t>
    <phoneticPr fontId="2" type="noConversion"/>
  </si>
  <si>
    <t>KR6422-B589CA</t>
    <phoneticPr fontId="2" type="noConversion"/>
  </si>
  <si>
    <t>9</t>
    <phoneticPr fontId="2" type="noConversion"/>
  </si>
  <si>
    <t>AMM0822A-KAB-R1</t>
    <phoneticPr fontId="2" type="noConversion"/>
  </si>
  <si>
    <t>SAMPLE 진행 사항(12일)</t>
    <phoneticPr fontId="2" type="noConversion"/>
  </si>
  <si>
    <t>MCS</t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</si>
  <si>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</si>
  <si>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</si>
  <si>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</si>
  <si>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TIM</t>
    <phoneticPr fontId="2" type="noConversion"/>
  </si>
  <si>
    <t>288BASE</t>
    <phoneticPr fontId="2" type="noConversion"/>
  </si>
  <si>
    <t>RTP</t>
    <phoneticPr fontId="2" type="noConversion"/>
  </si>
  <si>
    <t>신작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</si>
  <si>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</si>
  <si>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</si>
  <si>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2018년 11월 13일(주간)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</si>
  <si>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SPACER</t>
    <phoneticPr fontId="2" type="noConversion"/>
  </si>
  <si>
    <t>K-JR01550-H01AZA</t>
    <phoneticPr fontId="2" type="noConversion"/>
  </si>
  <si>
    <t>SGP2020R</t>
    <phoneticPr fontId="2" type="noConversion"/>
  </si>
  <si>
    <t>전일 ISSUE 사항(13일)</t>
    <phoneticPr fontId="2" type="noConversion"/>
  </si>
  <si>
    <t>당일 진행 사항(14일)</t>
    <phoneticPr fontId="2" type="noConversion"/>
  </si>
  <si>
    <t>KR6170AF1440UA</t>
    <phoneticPr fontId="2" type="noConversion"/>
  </si>
  <si>
    <t>LV006</t>
    <phoneticPr fontId="2" type="noConversion"/>
  </si>
  <si>
    <t>TERA</t>
    <phoneticPr fontId="2" type="noConversion"/>
  </si>
  <si>
    <t>LEVER</t>
    <phoneticPr fontId="2" type="noConversion"/>
  </si>
  <si>
    <t>AMB07J1A-KAA-R1</t>
    <phoneticPr fontId="2" type="noConversion"/>
  </si>
  <si>
    <t>SAMPLE 진행 사항(13일)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</si>
  <si>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</si>
  <si>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</si>
  <si>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2018년 11월 14일(주간)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</si>
  <si>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KR6422-GB496QA</t>
    <phoneticPr fontId="2" type="noConversion"/>
  </si>
  <si>
    <t>테라</t>
    <phoneticPr fontId="2" type="noConversion"/>
  </si>
  <si>
    <t>IC GUIDE</t>
    <phoneticPr fontId="2" type="noConversion"/>
  </si>
  <si>
    <t>전일 ISSUE 사항(14일)</t>
    <phoneticPr fontId="2" type="noConversion"/>
  </si>
  <si>
    <t>9</t>
    <phoneticPr fontId="2" type="noConversion"/>
  </si>
  <si>
    <t>KR6422-GB496QA</t>
    <phoneticPr fontId="2" type="noConversion"/>
  </si>
  <si>
    <t>당일 진행 사항(15일)</t>
    <phoneticPr fontId="2" type="noConversion"/>
  </si>
  <si>
    <t>AMB0104J-KAA-R2</t>
    <phoneticPr fontId="2" type="noConversion"/>
  </si>
  <si>
    <t>HSB05-M002B1-15BI</t>
    <phoneticPr fontId="2" type="noConversion"/>
  </si>
  <si>
    <t>발주분양산-&gt;단차정지</t>
    <phoneticPr fontId="2" type="noConversion"/>
  </si>
  <si>
    <t>SST</t>
    <phoneticPr fontId="2" type="noConversion"/>
  </si>
  <si>
    <t>ADAPTER</t>
    <phoneticPr fontId="2" type="noConversion"/>
  </si>
  <si>
    <t>수리후양산</t>
    <phoneticPr fontId="2" type="noConversion"/>
  </si>
  <si>
    <t>14</t>
    <phoneticPr fontId="2" type="noConversion"/>
  </si>
  <si>
    <t>HSB05-M001B1</t>
    <phoneticPr fontId="2" type="noConversion"/>
  </si>
  <si>
    <t>SAMPLE 진행 사항(14일)</t>
    <phoneticPr fontId="2" type="noConversion"/>
  </si>
  <si>
    <t>AMB0349A-KAA-R1</t>
    <phoneticPr fontId="2" type="noConversion"/>
  </si>
  <si>
    <t>COVER</t>
    <phoneticPr fontId="2" type="noConversion"/>
  </si>
  <si>
    <t>JD4901,XGF4030,XGF4033</t>
    <phoneticPr fontId="2" type="noConversion"/>
  </si>
  <si>
    <t>신작</t>
    <phoneticPr fontId="2" type="noConversion"/>
  </si>
  <si>
    <t>각 50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</si>
  <si>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</si>
  <si>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</si>
  <si>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2018년 11월 15일(주간)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</si>
  <si>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AMB0104J-KAA-R3</t>
    <phoneticPr fontId="2" type="noConversion"/>
  </si>
  <si>
    <t>AM0211B-KAA-R2</t>
    <phoneticPr fontId="2" type="noConversion"/>
  </si>
  <si>
    <t xml:space="preserve">SGF2041 </t>
    <phoneticPr fontId="2" type="noConversion"/>
  </si>
  <si>
    <t>전일 ISSUE 사항(15일)</t>
    <phoneticPr fontId="2" type="noConversion"/>
  </si>
  <si>
    <t>발주분양산-&gt;코아파손-&gt;BURR3회수리</t>
    <phoneticPr fontId="2" type="noConversion"/>
  </si>
  <si>
    <t>HSB05-M004B1(증)</t>
    <phoneticPr fontId="2" type="noConversion"/>
  </si>
  <si>
    <t>치수확인후양산</t>
    <phoneticPr fontId="2" type="noConversion"/>
  </si>
  <si>
    <t>당일 진행 사항(16일)</t>
    <phoneticPr fontId="2" type="noConversion"/>
  </si>
  <si>
    <t>수리후양산-&gt;단차정지</t>
    <phoneticPr fontId="2" type="noConversion"/>
  </si>
  <si>
    <t>SAMPLE 진행 사항(15일)</t>
    <phoneticPr fontId="2" type="noConversion"/>
  </si>
  <si>
    <t>AMB1926A-KAA-R1</t>
    <phoneticPr fontId="2" type="noConversion"/>
  </si>
  <si>
    <t>AMB0167A-KAA-R1</t>
    <phoneticPr fontId="2" type="noConversion"/>
  </si>
  <si>
    <t>AMB0463A-KAA-R1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</si>
  <si>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</si>
  <si>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</si>
  <si>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2018년 11월 16일(주간)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</si>
  <si>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전일 ISSUE 사항(16일)</t>
    <phoneticPr fontId="2" type="noConversion"/>
  </si>
  <si>
    <t>세척후양산</t>
    <phoneticPr fontId="2" type="noConversion"/>
  </si>
  <si>
    <t>당일 진행 사항(17일)</t>
    <phoneticPr fontId="2" type="noConversion"/>
  </si>
  <si>
    <t>KR6202-06KA</t>
    <phoneticPr fontId="2" type="noConversion"/>
  </si>
  <si>
    <t>SAMPLE 진행 사항(16일)</t>
    <phoneticPr fontId="2" type="noConversion"/>
  </si>
  <si>
    <t>LCP LG35</t>
    <phoneticPr fontId="2" type="noConversion"/>
  </si>
  <si>
    <t>AMB0236A-KAA-R1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</si>
  <si>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</si>
  <si>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</si>
  <si>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2018년 11월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</si>
  <si>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JCL3030</t>
    <phoneticPr fontId="2" type="noConversion"/>
  </si>
  <si>
    <t>전일 ISSUE 사항(19일)</t>
    <phoneticPr fontId="2" type="noConversion"/>
  </si>
  <si>
    <t>당일 진행 사항(20일)</t>
    <phoneticPr fontId="2" type="noConversion"/>
  </si>
  <si>
    <t>24P(4POST)</t>
    <phoneticPr fontId="2" type="noConversion"/>
  </si>
  <si>
    <t>15</t>
    <phoneticPr fontId="2" type="noConversion"/>
  </si>
  <si>
    <t>SAMPLE 진행 사항(19일)</t>
    <phoneticPr fontId="2" type="noConversion"/>
  </si>
  <si>
    <t>NEXT</t>
    <phoneticPr fontId="2" type="noConversion"/>
  </si>
  <si>
    <t>MIDDLE PLATE</t>
    <phoneticPr fontId="2" type="noConversion"/>
  </si>
  <si>
    <t>인써트작업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</si>
  <si>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</si>
  <si>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</si>
  <si>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2018년 11월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</si>
  <si>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24P</t>
    <phoneticPr fontId="2" type="noConversion"/>
  </si>
  <si>
    <t>전일 ISSUE 사항(20일)</t>
    <phoneticPr fontId="2" type="noConversion"/>
  </si>
  <si>
    <t>코아파손수리</t>
    <phoneticPr fontId="2" type="noConversion"/>
  </si>
  <si>
    <t>발주분양산-&gt;설비이상정지</t>
    <phoneticPr fontId="2" type="noConversion"/>
  </si>
  <si>
    <t>당일 진행 사항(21일)</t>
    <phoneticPr fontId="2" type="noConversion"/>
  </si>
  <si>
    <t>HSCB65-M04A1(B)</t>
    <phoneticPr fontId="2" type="noConversion"/>
  </si>
  <si>
    <t>AMB1905B-KAA-R1</t>
    <phoneticPr fontId="2" type="noConversion"/>
  </si>
  <si>
    <t>KR6182-A308WA</t>
    <phoneticPr fontId="2" type="noConversion"/>
  </si>
  <si>
    <t>SAMPLE 진행 사항(20일)</t>
    <phoneticPr fontId="2" type="noConversion"/>
  </si>
  <si>
    <t>AMB1916A-KAA-R1</t>
    <phoneticPr fontId="2" type="noConversion"/>
  </si>
  <si>
    <t>KR6422AB589CA</t>
    <phoneticPr fontId="2" type="noConversion"/>
  </si>
  <si>
    <t>오조립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</si>
  <si>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</si>
  <si>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</si>
  <si>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2018년 11월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</si>
  <si>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HSC65-M053A1(B)</t>
    <phoneticPr fontId="2" type="noConversion"/>
  </si>
  <si>
    <t>SGF2030 N/P</t>
    <phoneticPr fontId="2" type="noConversion"/>
  </si>
  <si>
    <t>전일 ISSUE 사항(21일)</t>
    <phoneticPr fontId="2" type="noConversion"/>
  </si>
  <si>
    <t>AMB0403A-KAA-R1</t>
    <phoneticPr fontId="2" type="noConversion"/>
  </si>
  <si>
    <t>발주분양산-&gt;게이트BURR정지</t>
    <phoneticPr fontId="2" type="noConversion"/>
  </si>
  <si>
    <t>당일 진행 사항(22일)</t>
    <phoneticPr fontId="2" type="noConversion"/>
  </si>
  <si>
    <t>HSCB65-M05A1(B)</t>
    <phoneticPr fontId="2" type="noConversion"/>
  </si>
  <si>
    <t>KR6422AA496YA</t>
    <phoneticPr fontId="2" type="noConversion"/>
  </si>
  <si>
    <t>HSC65-M053A1(A)</t>
    <phoneticPr fontId="2" type="noConversion"/>
  </si>
  <si>
    <t>SAMPLE 진행 사항(21일)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</si>
  <si>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</si>
  <si>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</si>
  <si>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2018년 11월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</si>
  <si>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</si>
  <si>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HSCB65-M05A1</t>
    <phoneticPr fontId="2" type="noConversion"/>
  </si>
  <si>
    <t>발주분양산-&gt;밀핀2회수리</t>
    <phoneticPr fontId="2" type="noConversion"/>
  </si>
  <si>
    <t>발주분양산-&gt;뜯김-&gt;BURR정지</t>
    <phoneticPr fontId="2" type="noConversion"/>
  </si>
  <si>
    <t>당일 진행 사항(23일)</t>
    <phoneticPr fontId="2" type="noConversion"/>
  </si>
  <si>
    <t>G3-M-02A</t>
    <phoneticPr fontId="2" type="noConversion"/>
  </si>
  <si>
    <t>HINGE</t>
    <phoneticPr fontId="2" type="noConversion"/>
  </si>
  <si>
    <t>G3-M01A1</t>
    <phoneticPr fontId="2" type="noConversion"/>
  </si>
  <si>
    <t>OKINS</t>
    <phoneticPr fontId="2" type="noConversion"/>
  </si>
  <si>
    <t>BF1-FA078A-1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</si>
  <si>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</si>
  <si>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</si>
  <si>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</si>
  <si>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2018년 11월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</si>
  <si>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G3BASE</t>
    <phoneticPr fontId="2" type="noConversion"/>
  </si>
  <si>
    <t>HDB08N-T4</t>
    <phoneticPr fontId="2" type="noConversion"/>
  </si>
  <si>
    <t>EX08302</t>
    <phoneticPr fontId="2" type="noConversion"/>
  </si>
  <si>
    <t>전일 ISSUE 사항(23일)</t>
    <phoneticPr fontId="2" type="noConversion"/>
  </si>
  <si>
    <t>발주분양산-&gt;게이트수리</t>
    <phoneticPr fontId="2" type="noConversion"/>
  </si>
  <si>
    <t>당일 진행 사항(24일)</t>
    <phoneticPr fontId="2" type="noConversion"/>
  </si>
  <si>
    <t>SAMPLE 진행 사항(23일)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</si>
  <si>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</si>
  <si>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</si>
  <si>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2018년 11월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</si>
  <si>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KR6156-E01TA</t>
    <phoneticPr fontId="2" type="noConversion"/>
  </si>
  <si>
    <t>AMB0341A-KAA-R1</t>
    <phoneticPr fontId="2" type="noConversion"/>
  </si>
  <si>
    <t>전일 ISSUE 사항(24일)</t>
    <phoneticPr fontId="2" type="noConversion"/>
  </si>
  <si>
    <t>당일 진행 사항(26일)</t>
    <phoneticPr fontId="2" type="noConversion"/>
  </si>
  <si>
    <t>KR6170BD740UB</t>
    <phoneticPr fontId="2" type="noConversion"/>
  </si>
  <si>
    <t>HDB08N-B1</t>
    <phoneticPr fontId="2" type="noConversion"/>
  </si>
  <si>
    <t>HDB08N-S2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</si>
  <si>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</si>
  <si>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</si>
  <si>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</si>
  <si>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2018년 11월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</si>
  <si>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</si>
  <si>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수리후양산-&gt;뜯김정지</t>
    <phoneticPr fontId="2" type="noConversion"/>
  </si>
  <si>
    <t>KR6170BD470UB</t>
    <phoneticPr fontId="2" type="noConversion"/>
  </si>
  <si>
    <t>HSC65-M053A1</t>
    <phoneticPr fontId="2" type="noConversion"/>
  </si>
  <si>
    <t>BURR수리후양산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</si>
  <si>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</si>
  <si>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</si>
  <si>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</si>
  <si>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</si>
  <si>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2018년 11월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</si>
  <si>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72P</t>
    <phoneticPr fontId="2" type="noConversion"/>
  </si>
  <si>
    <t>전일 ISSUE 사항(27일)</t>
    <phoneticPr fontId="2" type="noConversion"/>
  </si>
  <si>
    <t>수리후양산-&gt;코아파손수리</t>
    <phoneticPr fontId="2" type="noConversion"/>
  </si>
  <si>
    <t>코아파손수리후양산</t>
    <phoneticPr fontId="2" type="noConversion"/>
  </si>
  <si>
    <t>노즐막힘정지</t>
    <phoneticPr fontId="2" type="noConversion"/>
  </si>
  <si>
    <t>당일 진행 사항(28일)</t>
    <phoneticPr fontId="2" type="noConversion"/>
  </si>
  <si>
    <t>HSCB65-M04A1</t>
    <phoneticPr fontId="2" type="noConversion"/>
  </si>
  <si>
    <t>TOP</t>
    <phoneticPr fontId="2" type="noConversion"/>
  </si>
  <si>
    <t>HB1208-10M1</t>
    <phoneticPr fontId="2" type="noConversion"/>
  </si>
  <si>
    <t>SAMPLE 진행 사항(27일)</t>
    <phoneticPr fontId="2" type="noConversion"/>
  </si>
  <si>
    <t>LG35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</si>
  <si>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</si>
  <si>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</si>
  <si>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2018년 11월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</si>
  <si>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전일 ISSUE 사항(28일)</t>
    <phoneticPr fontId="2" type="noConversion"/>
  </si>
  <si>
    <t>게이트수리</t>
    <phoneticPr fontId="2" type="noConversion"/>
  </si>
  <si>
    <t>이형제작업</t>
    <phoneticPr fontId="2" type="noConversion"/>
  </si>
  <si>
    <t>당일 진행 사항(29일)</t>
    <phoneticPr fontId="2" type="noConversion"/>
  </si>
  <si>
    <t>BOTTOM</t>
    <phoneticPr fontId="2" type="noConversion"/>
  </si>
  <si>
    <t>HB1208-10M2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</si>
  <si>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</si>
  <si>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</si>
  <si>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</si>
  <si>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2018년 11월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</si>
  <si>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전일 ISSUE 사항(29일)</t>
    <phoneticPr fontId="2" type="noConversion"/>
  </si>
  <si>
    <t>가스3회정지</t>
    <phoneticPr fontId="2" type="noConversion"/>
  </si>
  <si>
    <t>당일 진행 사항(30일)</t>
    <phoneticPr fontId="2" type="noConversion"/>
  </si>
  <si>
    <t>KR6156CA841YA</t>
    <phoneticPr fontId="2" type="noConversion"/>
  </si>
  <si>
    <t>KR6156BB841CA</t>
    <phoneticPr fontId="2" type="noConversion"/>
  </si>
  <si>
    <t>SAMPLE 진행 사항(29일)</t>
    <phoneticPr fontId="2" type="noConversion"/>
  </si>
  <si>
    <t>AMB0341A-KAA-R2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</si>
  <si>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</si>
  <si>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</si>
  <si>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2018년 11월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</si>
  <si>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KR6182-D624PA</t>
    <phoneticPr fontId="2" type="noConversion"/>
  </si>
  <si>
    <t>전일 ISSUE 사항(30일)</t>
    <phoneticPr fontId="2" type="noConversion"/>
  </si>
  <si>
    <t>가스수리후양산</t>
    <phoneticPr fontId="2" type="noConversion"/>
  </si>
  <si>
    <t>발주분양산-&gt;코아수리후양산</t>
    <phoneticPr fontId="2" type="noConversion"/>
  </si>
  <si>
    <t>당일 진행 사항(03일)</t>
    <phoneticPr fontId="2" type="noConversion"/>
  </si>
  <si>
    <t>SAMPLE 진행 사항(30일)</t>
    <phoneticPr fontId="2" type="noConversion"/>
  </si>
  <si>
    <t>AMB2026B-KAA-R2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</si>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</sst>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6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8" fillId="30" borderId="8" xfId="2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left" vertical="center" shrinkToFit="1"/>
    </xf>
    <xf numFmtId="49" fontId="13" fillId="0" borderId="30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wrapText="1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11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11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0.52361111111111103</c:v>
                </c:pt>
                <c:pt idx="3">
                  <c:v>0.34583333333333333</c:v>
                </c:pt>
                <c:pt idx="4">
                  <c:v>0.50589715994324469</c:v>
                </c:pt>
                <c:pt idx="5">
                  <c:v>0.31938827618411858</c:v>
                </c:pt>
                <c:pt idx="6">
                  <c:v>0.44720822539430788</c:v>
                </c:pt>
                <c:pt idx="7">
                  <c:v>0.40552777777777782</c:v>
                </c:pt>
                <c:pt idx="8">
                  <c:v>0.15416666666666667</c:v>
                </c:pt>
                <c:pt idx="9">
                  <c:v>0.20971681973707906</c:v>
                </c:pt>
                <c:pt idx="10">
                  <c:v>0.15552197840004786</c:v>
                </c:pt>
                <c:pt idx="11">
                  <c:v>0.31245634920634918</c:v>
                </c:pt>
                <c:pt idx="12">
                  <c:v>0.53607398604508938</c:v>
                </c:pt>
                <c:pt idx="13">
                  <c:v>0.42359881753490358</c:v>
                </c:pt>
                <c:pt idx="14">
                  <c:v>0.17337359505614974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5403</c:v>
                </c:pt>
                <c:pt idx="3">
                  <c:v>3443</c:v>
                </c:pt>
                <c:pt idx="4">
                  <c:v>12254</c:v>
                </c:pt>
                <c:pt idx="5">
                  <c:v>6046</c:v>
                </c:pt>
                <c:pt idx="6">
                  <c:v>5287</c:v>
                </c:pt>
                <c:pt idx="8">
                  <c:v>5008</c:v>
                </c:pt>
                <c:pt idx="9">
                  <c:v>2505</c:v>
                </c:pt>
                <c:pt idx="12">
                  <c:v>5705</c:v>
                </c:pt>
                <c:pt idx="13">
                  <c:v>3018</c:v>
                </c:pt>
                <c:pt idx="14">
                  <c:v>23624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A-43F1-A999-8FC51B6DE784}"/>
            </c:ext>
          </c:extLst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5403</c:v>
                </c:pt>
                <c:pt idx="3">
                  <c:v>3443</c:v>
                </c:pt>
                <c:pt idx="4">
                  <c:v>12254</c:v>
                </c:pt>
                <c:pt idx="5">
                  <c:v>6050</c:v>
                </c:pt>
                <c:pt idx="6">
                  <c:v>5287</c:v>
                </c:pt>
                <c:pt idx="7">
                  <c:v>820</c:v>
                </c:pt>
                <c:pt idx="8">
                  <c:v>5008</c:v>
                </c:pt>
                <c:pt idx="9">
                  <c:v>2505</c:v>
                </c:pt>
                <c:pt idx="10">
                  <c:v>11556</c:v>
                </c:pt>
                <c:pt idx="11">
                  <c:v>1660</c:v>
                </c:pt>
                <c:pt idx="12">
                  <c:v>5710</c:v>
                </c:pt>
                <c:pt idx="13">
                  <c:v>3018</c:v>
                </c:pt>
                <c:pt idx="14">
                  <c:v>23624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CA-43F1-A999-8FC51B6D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96%</c:v>
                </c:pt>
                <c:pt idx="9">
                  <c:v>67%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75%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0.99933884297520659</c:v>
                </c:pt>
                <c:pt idx="6">
                  <c:v>1</c:v>
                </c:pt>
                <c:pt idx="7">
                  <c:v>0</c:v>
                </c:pt>
                <c:pt idx="8">
                  <c:v>0.95833333333333337</c:v>
                </c:pt>
                <c:pt idx="9">
                  <c:v>0.66666666666666663</c:v>
                </c:pt>
                <c:pt idx="10">
                  <c:v>0</c:v>
                </c:pt>
                <c:pt idx="11">
                  <c:v>0</c:v>
                </c:pt>
                <c:pt idx="12">
                  <c:v>0.99912434325744304</c:v>
                </c:pt>
                <c:pt idx="13">
                  <c:v>0.75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5-4AA4-95AF-2ADF8A62592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05-4AA4-95AF-2ADF8A6259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0.57489754574884333</c:v>
                </c:pt>
                <c:pt idx="1">
                  <c:v>0.57489754574884333</c:v>
                </c:pt>
                <c:pt idx="2">
                  <c:v>0.57489754574884333</c:v>
                </c:pt>
                <c:pt idx="3">
                  <c:v>0.57489754574884333</c:v>
                </c:pt>
                <c:pt idx="4">
                  <c:v>0.57489754574884333</c:v>
                </c:pt>
                <c:pt idx="5">
                  <c:v>0.57489754574884333</c:v>
                </c:pt>
                <c:pt idx="6">
                  <c:v>0.57489754574884333</c:v>
                </c:pt>
                <c:pt idx="7">
                  <c:v>0.57489754574884333</c:v>
                </c:pt>
                <c:pt idx="8">
                  <c:v>0.57489754574884333</c:v>
                </c:pt>
                <c:pt idx="9">
                  <c:v>0.57489754574884333</c:v>
                </c:pt>
                <c:pt idx="10">
                  <c:v>0.57489754574884333</c:v>
                </c:pt>
                <c:pt idx="11">
                  <c:v>0.57489754574884333</c:v>
                </c:pt>
                <c:pt idx="12">
                  <c:v>0.57489754574884333</c:v>
                </c:pt>
                <c:pt idx="13">
                  <c:v>0.57489754574884333</c:v>
                </c:pt>
                <c:pt idx="14">
                  <c:v>0.57489754574884333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5-4AA4-95AF-2ADF8A625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5403</c:v>
                </c:pt>
                <c:pt idx="3">
                  <c:v>3443</c:v>
                </c:pt>
                <c:pt idx="4">
                  <c:v>12254</c:v>
                </c:pt>
                <c:pt idx="5">
                  <c:v>6046</c:v>
                </c:pt>
                <c:pt idx="6">
                  <c:v>5287</c:v>
                </c:pt>
                <c:pt idx="8">
                  <c:v>5008</c:v>
                </c:pt>
                <c:pt idx="9">
                  <c:v>2505</c:v>
                </c:pt>
                <c:pt idx="12">
                  <c:v>5705</c:v>
                </c:pt>
                <c:pt idx="13">
                  <c:v>3018</c:v>
                </c:pt>
                <c:pt idx="14">
                  <c:v>23624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9-4660-B4F5-DBF892466D5F}"/>
            </c:ext>
          </c:extLst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5403</c:v>
                </c:pt>
                <c:pt idx="3">
                  <c:v>3443</c:v>
                </c:pt>
                <c:pt idx="4">
                  <c:v>12254</c:v>
                </c:pt>
                <c:pt idx="5">
                  <c:v>6050</c:v>
                </c:pt>
                <c:pt idx="6">
                  <c:v>5287</c:v>
                </c:pt>
                <c:pt idx="7">
                  <c:v>820</c:v>
                </c:pt>
                <c:pt idx="8">
                  <c:v>5008</c:v>
                </c:pt>
                <c:pt idx="9">
                  <c:v>2505</c:v>
                </c:pt>
                <c:pt idx="10">
                  <c:v>11556</c:v>
                </c:pt>
                <c:pt idx="11">
                  <c:v>1660</c:v>
                </c:pt>
                <c:pt idx="12">
                  <c:v>5710</c:v>
                </c:pt>
                <c:pt idx="13">
                  <c:v>3018</c:v>
                </c:pt>
                <c:pt idx="14">
                  <c:v>23624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9-4660-B4F5-DBF892466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96%</c:v>
                </c:pt>
                <c:pt idx="9">
                  <c:v>67%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75%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0.99933884297520659</c:v>
                </c:pt>
                <c:pt idx="6">
                  <c:v>1</c:v>
                </c:pt>
                <c:pt idx="7">
                  <c:v>0</c:v>
                </c:pt>
                <c:pt idx="8">
                  <c:v>0.95833333333333337</c:v>
                </c:pt>
                <c:pt idx="9">
                  <c:v>0.66666666666666663</c:v>
                </c:pt>
                <c:pt idx="10">
                  <c:v>0</c:v>
                </c:pt>
                <c:pt idx="11">
                  <c:v>0</c:v>
                </c:pt>
                <c:pt idx="12">
                  <c:v>0.99912434325744304</c:v>
                </c:pt>
                <c:pt idx="13">
                  <c:v>0.75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2-4239-A7E3-0B352D6C6F0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02-4239-A7E3-0B352D6C6F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COVER</c:v>
                </c:pt>
                <c:pt idx="3">
                  <c:v>BASE</c:v>
                </c:pt>
                <c:pt idx="4">
                  <c:v>LATCH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LATCH PLATE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0.57489754574884333</c:v>
                </c:pt>
                <c:pt idx="1">
                  <c:v>0.57489754574884333</c:v>
                </c:pt>
                <c:pt idx="2">
                  <c:v>0.57489754574884333</c:v>
                </c:pt>
                <c:pt idx="3">
                  <c:v>0.57489754574884333</c:v>
                </c:pt>
                <c:pt idx="4">
                  <c:v>0.57489754574884333</c:v>
                </c:pt>
                <c:pt idx="5">
                  <c:v>0.57489754574884333</c:v>
                </c:pt>
                <c:pt idx="6">
                  <c:v>0.57489754574884333</c:v>
                </c:pt>
                <c:pt idx="7">
                  <c:v>0.57489754574884333</c:v>
                </c:pt>
                <c:pt idx="8">
                  <c:v>0.57489754574884333</c:v>
                </c:pt>
                <c:pt idx="9">
                  <c:v>0.57489754574884333</c:v>
                </c:pt>
                <c:pt idx="10">
                  <c:v>0.57489754574884333</c:v>
                </c:pt>
                <c:pt idx="11">
                  <c:v>0.57489754574884333</c:v>
                </c:pt>
                <c:pt idx="12">
                  <c:v>0.57489754574884333</c:v>
                </c:pt>
                <c:pt idx="13">
                  <c:v>0.57489754574884333</c:v>
                </c:pt>
                <c:pt idx="14">
                  <c:v>0.57489754574884333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02-4239-A7E3-0B352D6C6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B1B-435A-BF6D-6FC24859F1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1B-435A-BF6D-6FC24859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1B-435A-BF6D-6FC24859F1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1B-435A-BF6D-6FC24859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1715</c:v>
                </c:pt>
                <c:pt idx="3">
                  <c:v>4540</c:v>
                </c:pt>
                <c:pt idx="4">
                  <c:v>9582</c:v>
                </c:pt>
                <c:pt idx="5">
                  <c:v>982</c:v>
                </c:pt>
                <c:pt idx="6">
                  <c:v>5635</c:v>
                </c:pt>
                <c:pt idx="7">
                  <c:v>3626</c:v>
                </c:pt>
                <c:pt idx="8">
                  <c:v>5115</c:v>
                </c:pt>
                <c:pt idx="10">
                  <c:v>933</c:v>
                </c:pt>
                <c:pt idx="12">
                  <c:v>6036</c:v>
                </c:pt>
                <c:pt idx="13">
                  <c:v>6138</c:v>
                </c:pt>
                <c:pt idx="14">
                  <c:v>23264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F-4EB4-9725-F54ED2F04BDB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1715</c:v>
                </c:pt>
                <c:pt idx="3">
                  <c:v>4540</c:v>
                </c:pt>
                <c:pt idx="4">
                  <c:v>9582</c:v>
                </c:pt>
                <c:pt idx="5">
                  <c:v>982</c:v>
                </c:pt>
                <c:pt idx="6">
                  <c:v>5635</c:v>
                </c:pt>
                <c:pt idx="7">
                  <c:v>3626</c:v>
                </c:pt>
                <c:pt idx="8">
                  <c:v>5115</c:v>
                </c:pt>
                <c:pt idx="9">
                  <c:v>2505</c:v>
                </c:pt>
                <c:pt idx="10">
                  <c:v>933</c:v>
                </c:pt>
                <c:pt idx="11">
                  <c:v>1660</c:v>
                </c:pt>
                <c:pt idx="12">
                  <c:v>6036</c:v>
                </c:pt>
                <c:pt idx="13">
                  <c:v>6138</c:v>
                </c:pt>
                <c:pt idx="14">
                  <c:v>23624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3F-4EB4-9725-F54ED2F04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96%</c:v>
                </c:pt>
                <c:pt idx="4">
                  <c:v>88%</c:v>
                </c:pt>
                <c:pt idx="5">
                  <c:v>21%</c:v>
                </c:pt>
                <c:pt idx="6">
                  <c:v>100%</c:v>
                </c:pt>
                <c:pt idx="7">
                  <c:v>75%</c:v>
                </c:pt>
                <c:pt idx="8">
                  <c:v>96%</c:v>
                </c:pt>
                <c:pt idx="9">
                  <c:v>0%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45%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0.95833333333333337</c:v>
                </c:pt>
                <c:pt idx="4">
                  <c:v>0.875</c:v>
                </c:pt>
                <c:pt idx="5">
                  <c:v>0.20833333333333334</c:v>
                </c:pt>
                <c:pt idx="6">
                  <c:v>1</c:v>
                </c:pt>
                <c:pt idx="7">
                  <c:v>0.75</c:v>
                </c:pt>
                <c:pt idx="8">
                  <c:v>0.95833333333333337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0.45134891071226996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4-4A23-B907-E72669A7F1B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A4-4A23-B907-E72669A7F1B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0.51897881626970699</c:v>
                </c:pt>
                <c:pt idx="1">
                  <c:v>0.51897881626970699</c:v>
                </c:pt>
                <c:pt idx="2">
                  <c:v>0.51897881626970699</c:v>
                </c:pt>
                <c:pt idx="3">
                  <c:v>0.51897881626970699</c:v>
                </c:pt>
                <c:pt idx="4">
                  <c:v>0.51897881626970699</c:v>
                </c:pt>
                <c:pt idx="5">
                  <c:v>0.51897881626970699</c:v>
                </c:pt>
                <c:pt idx="6">
                  <c:v>0.51897881626970699</c:v>
                </c:pt>
                <c:pt idx="7">
                  <c:v>0.51897881626970699</c:v>
                </c:pt>
                <c:pt idx="8">
                  <c:v>0.51897881626970699</c:v>
                </c:pt>
                <c:pt idx="9">
                  <c:v>0.51897881626970699</c:v>
                </c:pt>
                <c:pt idx="10">
                  <c:v>0.51897881626970699</c:v>
                </c:pt>
                <c:pt idx="11">
                  <c:v>0.51897881626970699</c:v>
                </c:pt>
                <c:pt idx="12">
                  <c:v>0.51897881626970699</c:v>
                </c:pt>
                <c:pt idx="13">
                  <c:v>0.51897881626970699</c:v>
                </c:pt>
                <c:pt idx="14">
                  <c:v>0.51897881626970699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A4-4A23-B907-E72669A7F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1715</c:v>
                </c:pt>
                <c:pt idx="3">
                  <c:v>4540</c:v>
                </c:pt>
                <c:pt idx="4">
                  <c:v>9582</c:v>
                </c:pt>
                <c:pt idx="5">
                  <c:v>982</c:v>
                </c:pt>
                <c:pt idx="6">
                  <c:v>5635</c:v>
                </c:pt>
                <c:pt idx="7">
                  <c:v>3626</c:v>
                </c:pt>
                <c:pt idx="8">
                  <c:v>5115</c:v>
                </c:pt>
                <c:pt idx="10">
                  <c:v>933</c:v>
                </c:pt>
                <c:pt idx="12">
                  <c:v>6036</c:v>
                </c:pt>
                <c:pt idx="13">
                  <c:v>6138</c:v>
                </c:pt>
                <c:pt idx="14">
                  <c:v>23264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D-4559-85D5-592425DF49AD}"/>
            </c:ext>
          </c:extLst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1715</c:v>
                </c:pt>
                <c:pt idx="3">
                  <c:v>4540</c:v>
                </c:pt>
                <c:pt idx="4">
                  <c:v>9582</c:v>
                </c:pt>
                <c:pt idx="5">
                  <c:v>982</c:v>
                </c:pt>
                <c:pt idx="6">
                  <c:v>5635</c:v>
                </c:pt>
                <c:pt idx="7">
                  <c:v>3626</c:v>
                </c:pt>
                <c:pt idx="8">
                  <c:v>5115</c:v>
                </c:pt>
                <c:pt idx="9">
                  <c:v>2505</c:v>
                </c:pt>
                <c:pt idx="10">
                  <c:v>933</c:v>
                </c:pt>
                <c:pt idx="11">
                  <c:v>1660</c:v>
                </c:pt>
                <c:pt idx="12">
                  <c:v>6036</c:v>
                </c:pt>
                <c:pt idx="13">
                  <c:v>6138</c:v>
                </c:pt>
                <c:pt idx="14">
                  <c:v>23624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D-4559-85D5-592425DF4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96%</c:v>
                </c:pt>
                <c:pt idx="4">
                  <c:v>88%</c:v>
                </c:pt>
                <c:pt idx="5">
                  <c:v>21%</c:v>
                </c:pt>
                <c:pt idx="6">
                  <c:v>100%</c:v>
                </c:pt>
                <c:pt idx="7">
                  <c:v>75%</c:v>
                </c:pt>
                <c:pt idx="8">
                  <c:v>96%</c:v>
                </c:pt>
                <c:pt idx="9">
                  <c:v>0%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45%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0.95833333333333337</c:v>
                </c:pt>
                <c:pt idx="4">
                  <c:v>0.875</c:v>
                </c:pt>
                <c:pt idx="5">
                  <c:v>0.20833333333333334</c:v>
                </c:pt>
                <c:pt idx="6">
                  <c:v>1</c:v>
                </c:pt>
                <c:pt idx="7">
                  <c:v>0.75</c:v>
                </c:pt>
                <c:pt idx="8">
                  <c:v>0.95833333333333337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0.45134891071226996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F-4ECC-8AB0-93ACD8541B0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3F-4ECC-8AB0-93ACD8541B0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0.51897881626970699</c:v>
                </c:pt>
                <c:pt idx="1">
                  <c:v>0.51897881626970699</c:v>
                </c:pt>
                <c:pt idx="2">
                  <c:v>0.51897881626970699</c:v>
                </c:pt>
                <c:pt idx="3">
                  <c:v>0.51897881626970699</c:v>
                </c:pt>
                <c:pt idx="4">
                  <c:v>0.51897881626970699</c:v>
                </c:pt>
                <c:pt idx="5">
                  <c:v>0.51897881626970699</c:v>
                </c:pt>
                <c:pt idx="6">
                  <c:v>0.51897881626970699</c:v>
                </c:pt>
                <c:pt idx="7">
                  <c:v>0.51897881626970699</c:v>
                </c:pt>
                <c:pt idx="8">
                  <c:v>0.51897881626970699</c:v>
                </c:pt>
                <c:pt idx="9">
                  <c:v>0.51897881626970699</c:v>
                </c:pt>
                <c:pt idx="10">
                  <c:v>0.51897881626970699</c:v>
                </c:pt>
                <c:pt idx="11">
                  <c:v>0.51897881626970699</c:v>
                </c:pt>
                <c:pt idx="12">
                  <c:v>0.51897881626970699</c:v>
                </c:pt>
                <c:pt idx="13">
                  <c:v>0.51897881626970699</c:v>
                </c:pt>
                <c:pt idx="14">
                  <c:v>0.51897881626970699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3F-4ECC-8AB0-93ACD8541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806-4DD3-B44B-194838D5D5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6-4DD3-B44B-194838D5D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06-4DD3-B44B-194838D5D5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06-4DD3-B44B-194838D5D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3">
                  <c:v>3458</c:v>
                </c:pt>
                <c:pt idx="4">
                  <c:v>2186</c:v>
                </c:pt>
                <c:pt idx="5">
                  <c:v>3037</c:v>
                </c:pt>
                <c:pt idx="6">
                  <c:v>4433</c:v>
                </c:pt>
                <c:pt idx="7">
                  <c:v>4492</c:v>
                </c:pt>
                <c:pt idx="8">
                  <c:v>908</c:v>
                </c:pt>
                <c:pt idx="12">
                  <c:v>5389</c:v>
                </c:pt>
                <c:pt idx="13">
                  <c:v>5353</c:v>
                </c:pt>
                <c:pt idx="14">
                  <c:v>21924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B-4753-B9CB-9B175A89085D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1715</c:v>
                </c:pt>
                <c:pt idx="3">
                  <c:v>3458</c:v>
                </c:pt>
                <c:pt idx="4">
                  <c:v>2186</c:v>
                </c:pt>
                <c:pt idx="5">
                  <c:v>3037</c:v>
                </c:pt>
                <c:pt idx="6">
                  <c:v>4433</c:v>
                </c:pt>
                <c:pt idx="7">
                  <c:v>4492</c:v>
                </c:pt>
                <c:pt idx="8">
                  <c:v>908</c:v>
                </c:pt>
                <c:pt idx="9">
                  <c:v>2505</c:v>
                </c:pt>
                <c:pt idx="10">
                  <c:v>933</c:v>
                </c:pt>
                <c:pt idx="11">
                  <c:v>1660</c:v>
                </c:pt>
                <c:pt idx="12">
                  <c:v>5389</c:v>
                </c:pt>
                <c:pt idx="13">
                  <c:v>5353</c:v>
                </c:pt>
                <c:pt idx="14">
                  <c:v>21924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B-4753-B9CB-9B175A890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25%</c:v>
                </c:pt>
                <c:pt idx="5">
                  <c:v>58%</c:v>
                </c:pt>
                <c:pt idx="6">
                  <c:v>88%</c:v>
                </c:pt>
                <c:pt idx="7">
                  <c:v>92%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0.25</c:v>
                </c:pt>
                <c:pt idx="5">
                  <c:v>0.58333333333333337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7-4EA8-94C7-F50C0C06DA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87-4EA8-94C7-F50C0C06DA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0.40277777777777779</c:v>
                </c:pt>
                <c:pt idx="1">
                  <c:v>0.40277777777777779</c:v>
                </c:pt>
                <c:pt idx="2">
                  <c:v>0.40277777777777779</c:v>
                </c:pt>
                <c:pt idx="3">
                  <c:v>0.40277777777777779</c:v>
                </c:pt>
                <c:pt idx="4">
                  <c:v>0.40277777777777779</c:v>
                </c:pt>
                <c:pt idx="5">
                  <c:v>0.40277777777777779</c:v>
                </c:pt>
                <c:pt idx="6">
                  <c:v>0.40277777777777779</c:v>
                </c:pt>
                <c:pt idx="7">
                  <c:v>0.40277777777777779</c:v>
                </c:pt>
                <c:pt idx="8">
                  <c:v>0.40277777777777779</c:v>
                </c:pt>
                <c:pt idx="9">
                  <c:v>0.40277777777777779</c:v>
                </c:pt>
                <c:pt idx="10">
                  <c:v>0.40277777777777779</c:v>
                </c:pt>
                <c:pt idx="11">
                  <c:v>0.40277777777777779</c:v>
                </c:pt>
                <c:pt idx="12">
                  <c:v>0.40277777777777779</c:v>
                </c:pt>
                <c:pt idx="13">
                  <c:v>0.40277777777777779</c:v>
                </c:pt>
                <c:pt idx="14">
                  <c:v>0.40277777777777779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7-4EA8-94C7-F50C0C06D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3">
                  <c:v>3458</c:v>
                </c:pt>
                <c:pt idx="4">
                  <c:v>2186</c:v>
                </c:pt>
                <c:pt idx="5">
                  <c:v>3037</c:v>
                </c:pt>
                <c:pt idx="6">
                  <c:v>4433</c:v>
                </c:pt>
                <c:pt idx="7">
                  <c:v>4492</c:v>
                </c:pt>
                <c:pt idx="8">
                  <c:v>908</c:v>
                </c:pt>
                <c:pt idx="12">
                  <c:v>5389</c:v>
                </c:pt>
                <c:pt idx="13">
                  <c:v>5353</c:v>
                </c:pt>
                <c:pt idx="14">
                  <c:v>21924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C-4E9F-9E2A-879C868BC021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1715</c:v>
                </c:pt>
                <c:pt idx="3">
                  <c:v>3458</c:v>
                </c:pt>
                <c:pt idx="4">
                  <c:v>2186</c:v>
                </c:pt>
                <c:pt idx="5">
                  <c:v>3037</c:v>
                </c:pt>
                <c:pt idx="6">
                  <c:v>4433</c:v>
                </c:pt>
                <c:pt idx="7">
                  <c:v>4492</c:v>
                </c:pt>
                <c:pt idx="8">
                  <c:v>908</c:v>
                </c:pt>
                <c:pt idx="9">
                  <c:v>2505</c:v>
                </c:pt>
                <c:pt idx="10">
                  <c:v>933</c:v>
                </c:pt>
                <c:pt idx="11">
                  <c:v>1660</c:v>
                </c:pt>
                <c:pt idx="12">
                  <c:v>5389</c:v>
                </c:pt>
                <c:pt idx="13">
                  <c:v>5353</c:v>
                </c:pt>
                <c:pt idx="14">
                  <c:v>21924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C-4E9F-9E2A-879C868BC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25%</c:v>
                </c:pt>
                <c:pt idx="5">
                  <c:v>58%</c:v>
                </c:pt>
                <c:pt idx="6">
                  <c:v>88%</c:v>
                </c:pt>
                <c:pt idx="7">
                  <c:v>92%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0.25</c:v>
                </c:pt>
                <c:pt idx="5">
                  <c:v>0.58333333333333337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7-4B9A-A89F-59E87FD97C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27-4B9A-A89F-59E87FD97C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F/ADAPTER</c:v>
                </c:pt>
                <c:pt idx="6">
                  <c:v>LEAD GUIDE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2">
                  <c:v>STOPPER</c:v>
                </c:pt>
                <c:pt idx="13">
                  <c:v>LEAD GUIDE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0.40277777777777779</c:v>
                </c:pt>
                <c:pt idx="1">
                  <c:v>0.40277777777777779</c:v>
                </c:pt>
                <c:pt idx="2">
                  <c:v>0.40277777777777779</c:v>
                </c:pt>
                <c:pt idx="3">
                  <c:v>0.40277777777777779</c:v>
                </c:pt>
                <c:pt idx="4">
                  <c:v>0.40277777777777779</c:v>
                </c:pt>
                <c:pt idx="5">
                  <c:v>0.40277777777777779</c:v>
                </c:pt>
                <c:pt idx="6">
                  <c:v>0.40277777777777779</c:v>
                </c:pt>
                <c:pt idx="7">
                  <c:v>0.40277777777777779</c:v>
                </c:pt>
                <c:pt idx="8">
                  <c:v>0.40277777777777779</c:v>
                </c:pt>
                <c:pt idx="9">
                  <c:v>0.40277777777777779</c:v>
                </c:pt>
                <c:pt idx="10">
                  <c:v>0.40277777777777779</c:v>
                </c:pt>
                <c:pt idx="11">
                  <c:v>0.40277777777777779</c:v>
                </c:pt>
                <c:pt idx="12">
                  <c:v>0.40277777777777779</c:v>
                </c:pt>
                <c:pt idx="13">
                  <c:v>0.40277777777777779</c:v>
                </c:pt>
                <c:pt idx="14">
                  <c:v>0.40277777777777779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27-4B9A-A89F-59E87FD97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7D-4D3F-A90A-8DF6962520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7D-4D3F-A90A-8DF696252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7D-4D3F-A90A-8DF6962520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D-4D3F-A90A-8DF696252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2144</c:v>
                </c:pt>
                <c:pt idx="3">
                  <c:v>78304</c:v>
                </c:pt>
                <c:pt idx="7">
                  <c:v>4905</c:v>
                </c:pt>
                <c:pt idx="10">
                  <c:v>2052</c:v>
                </c:pt>
                <c:pt idx="12">
                  <c:v>4723</c:v>
                </c:pt>
                <c:pt idx="13">
                  <c:v>520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B-4C9F-AAEF-40A213C027AB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2144</c:v>
                </c:pt>
                <c:pt idx="3">
                  <c:v>78304</c:v>
                </c:pt>
                <c:pt idx="4">
                  <c:v>2186</c:v>
                </c:pt>
                <c:pt idx="5">
                  <c:v>3037</c:v>
                </c:pt>
                <c:pt idx="6">
                  <c:v>4433</c:v>
                </c:pt>
                <c:pt idx="7">
                  <c:v>4905</c:v>
                </c:pt>
                <c:pt idx="8">
                  <c:v>908</c:v>
                </c:pt>
                <c:pt idx="9">
                  <c:v>2505</c:v>
                </c:pt>
                <c:pt idx="10">
                  <c:v>2052</c:v>
                </c:pt>
                <c:pt idx="11">
                  <c:v>1660</c:v>
                </c:pt>
                <c:pt idx="12">
                  <c:v>4723</c:v>
                </c:pt>
                <c:pt idx="13">
                  <c:v>520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B-4C9F-AAEF-40A213C02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96%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96%</c:v>
                </c:pt>
                <c:pt idx="13">
                  <c:v>17%</c:v>
                </c:pt>
                <c:pt idx="14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0.95833333333333337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0.16666666666666666</c:v>
                </c:pt>
                <c:pt idx="14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0-4839-BD2D-432D42A7E95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A0-4839-BD2D-432D42A7E9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0.29444444444444451</c:v>
                </c:pt>
                <c:pt idx="1">
                  <c:v>0.29444444444444451</c:v>
                </c:pt>
                <c:pt idx="2">
                  <c:v>0.29444444444444451</c:v>
                </c:pt>
                <c:pt idx="3">
                  <c:v>0.29444444444444451</c:v>
                </c:pt>
                <c:pt idx="4">
                  <c:v>0.29444444444444451</c:v>
                </c:pt>
                <c:pt idx="5">
                  <c:v>0.29444444444444451</c:v>
                </c:pt>
                <c:pt idx="6">
                  <c:v>0.29444444444444451</c:v>
                </c:pt>
                <c:pt idx="7">
                  <c:v>0.29444444444444451</c:v>
                </c:pt>
                <c:pt idx="8">
                  <c:v>0.29444444444444451</c:v>
                </c:pt>
                <c:pt idx="9">
                  <c:v>0.29444444444444451</c:v>
                </c:pt>
                <c:pt idx="10">
                  <c:v>0.29444444444444451</c:v>
                </c:pt>
                <c:pt idx="11">
                  <c:v>0.29444444444444451</c:v>
                </c:pt>
                <c:pt idx="12">
                  <c:v>0.29444444444444451</c:v>
                </c:pt>
                <c:pt idx="13">
                  <c:v>0.29444444444444451</c:v>
                </c:pt>
                <c:pt idx="14">
                  <c:v>0.29444444444444451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A0-4839-BD2D-432D42A7E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2144</c:v>
                </c:pt>
                <c:pt idx="3">
                  <c:v>78304</c:v>
                </c:pt>
                <c:pt idx="7">
                  <c:v>4905</c:v>
                </c:pt>
                <c:pt idx="10">
                  <c:v>2052</c:v>
                </c:pt>
                <c:pt idx="12">
                  <c:v>4723</c:v>
                </c:pt>
                <c:pt idx="13">
                  <c:v>520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9-4CAA-9952-CC8D73768A6D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2144</c:v>
                </c:pt>
                <c:pt idx="3">
                  <c:v>78304</c:v>
                </c:pt>
                <c:pt idx="4">
                  <c:v>2186</c:v>
                </c:pt>
                <c:pt idx="5">
                  <c:v>3037</c:v>
                </c:pt>
                <c:pt idx="6">
                  <c:v>4433</c:v>
                </c:pt>
                <c:pt idx="7">
                  <c:v>4905</c:v>
                </c:pt>
                <c:pt idx="8">
                  <c:v>908</c:v>
                </c:pt>
                <c:pt idx="9">
                  <c:v>2505</c:v>
                </c:pt>
                <c:pt idx="10">
                  <c:v>2052</c:v>
                </c:pt>
                <c:pt idx="11">
                  <c:v>1660</c:v>
                </c:pt>
                <c:pt idx="12">
                  <c:v>4723</c:v>
                </c:pt>
                <c:pt idx="13">
                  <c:v>520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9-4CAA-9952-CC8D73768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96%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96%</c:v>
                </c:pt>
                <c:pt idx="13">
                  <c:v>17%</c:v>
                </c:pt>
                <c:pt idx="14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0.95833333333333337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0.16666666666666666</c:v>
                </c:pt>
                <c:pt idx="14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4-414E-AD4D-637BF880F7C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A4-414E-AD4D-637BF880F7C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BASE/LID</c:v>
                </c:pt>
                <c:pt idx="12">
                  <c:v>BASE</c:v>
                </c:pt>
                <c:pt idx="13">
                  <c:v>LEAD GUIDE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0.29444444444444451</c:v>
                </c:pt>
                <c:pt idx="1">
                  <c:v>0.29444444444444451</c:v>
                </c:pt>
                <c:pt idx="2">
                  <c:v>0.29444444444444451</c:v>
                </c:pt>
                <c:pt idx="3">
                  <c:v>0.29444444444444451</c:v>
                </c:pt>
                <c:pt idx="4">
                  <c:v>0.29444444444444451</c:v>
                </c:pt>
                <c:pt idx="5">
                  <c:v>0.29444444444444451</c:v>
                </c:pt>
                <c:pt idx="6">
                  <c:v>0.29444444444444451</c:v>
                </c:pt>
                <c:pt idx="7">
                  <c:v>0.29444444444444451</c:v>
                </c:pt>
                <c:pt idx="8">
                  <c:v>0.29444444444444451</c:v>
                </c:pt>
                <c:pt idx="9">
                  <c:v>0.29444444444444451</c:v>
                </c:pt>
                <c:pt idx="10">
                  <c:v>0.29444444444444451</c:v>
                </c:pt>
                <c:pt idx="11">
                  <c:v>0.29444444444444451</c:v>
                </c:pt>
                <c:pt idx="12">
                  <c:v>0.29444444444444451</c:v>
                </c:pt>
                <c:pt idx="13">
                  <c:v>0.29444444444444451</c:v>
                </c:pt>
                <c:pt idx="14">
                  <c:v>0.29444444444444451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4-414E-AD4D-637BF880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BF2-43A4-93F5-1F75F08B4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2-43A4-93F5-1F75F08B4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F2-43A4-93F5-1F75F08B4C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2-43A4-93F5-1F75F08B4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3">
                  <c:v>49760</c:v>
                </c:pt>
                <c:pt idx="6">
                  <c:v>1627</c:v>
                </c:pt>
                <c:pt idx="7">
                  <c:v>2310</c:v>
                </c:pt>
                <c:pt idx="10">
                  <c:v>1120</c:v>
                </c:pt>
                <c:pt idx="11">
                  <c:v>1678</c:v>
                </c:pt>
                <c:pt idx="12">
                  <c:v>2702</c:v>
                </c:pt>
                <c:pt idx="13">
                  <c:v>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4E14-BDF1-5BA4B6C910AE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2144</c:v>
                </c:pt>
                <c:pt idx="3">
                  <c:v>49760</c:v>
                </c:pt>
                <c:pt idx="4">
                  <c:v>2186</c:v>
                </c:pt>
                <c:pt idx="5">
                  <c:v>3037</c:v>
                </c:pt>
                <c:pt idx="6">
                  <c:v>1627</c:v>
                </c:pt>
                <c:pt idx="7">
                  <c:v>2310</c:v>
                </c:pt>
                <c:pt idx="8">
                  <c:v>908</c:v>
                </c:pt>
                <c:pt idx="9">
                  <c:v>2505</c:v>
                </c:pt>
                <c:pt idx="10">
                  <c:v>1120</c:v>
                </c:pt>
                <c:pt idx="11">
                  <c:v>1680</c:v>
                </c:pt>
                <c:pt idx="12">
                  <c:v>2702</c:v>
                </c:pt>
                <c:pt idx="13">
                  <c:v>1978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E-4E14-BDF1-5BA4B6C91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0%</c:v>
                </c:pt>
                <c:pt idx="6">
                  <c:v>42%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50%</c:v>
                </c:pt>
                <c:pt idx="12">
                  <c:v>50%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0.41666666666666669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0.49940476190476191</c:v>
                </c:pt>
                <c:pt idx="12">
                  <c:v>0.5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8-4063-A4F1-0EBE4D45AE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E8-4063-A4F1-0EBE4D45AE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0.21940476190476191</c:v>
                </c:pt>
                <c:pt idx="1">
                  <c:v>0.21940476190476191</c:v>
                </c:pt>
                <c:pt idx="2">
                  <c:v>0.21940476190476191</c:v>
                </c:pt>
                <c:pt idx="3">
                  <c:v>0.21940476190476191</c:v>
                </c:pt>
                <c:pt idx="4">
                  <c:v>0.21940476190476191</c:v>
                </c:pt>
                <c:pt idx="5">
                  <c:v>0.21940476190476191</c:v>
                </c:pt>
                <c:pt idx="6">
                  <c:v>0.21940476190476191</c:v>
                </c:pt>
                <c:pt idx="7">
                  <c:v>0.21940476190476191</c:v>
                </c:pt>
                <c:pt idx="8">
                  <c:v>0.21940476190476191</c:v>
                </c:pt>
                <c:pt idx="9">
                  <c:v>0.21940476190476191</c:v>
                </c:pt>
                <c:pt idx="10">
                  <c:v>0.21940476190476191</c:v>
                </c:pt>
                <c:pt idx="11">
                  <c:v>0.21940476190476191</c:v>
                </c:pt>
                <c:pt idx="12">
                  <c:v>0.21940476190476191</c:v>
                </c:pt>
                <c:pt idx="13">
                  <c:v>0.21940476190476191</c:v>
                </c:pt>
                <c:pt idx="14">
                  <c:v>0.21940476190476191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E8-4063-A4F1-0EBE4D45A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3">
                  <c:v>49760</c:v>
                </c:pt>
                <c:pt idx="6">
                  <c:v>1627</c:v>
                </c:pt>
                <c:pt idx="7">
                  <c:v>2310</c:v>
                </c:pt>
                <c:pt idx="10">
                  <c:v>1120</c:v>
                </c:pt>
                <c:pt idx="11">
                  <c:v>1678</c:v>
                </c:pt>
                <c:pt idx="12">
                  <c:v>2702</c:v>
                </c:pt>
                <c:pt idx="13">
                  <c:v>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7-4196-8E8A-21F30C16677C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2144</c:v>
                </c:pt>
                <c:pt idx="3">
                  <c:v>49760</c:v>
                </c:pt>
                <c:pt idx="4">
                  <c:v>2186</c:v>
                </c:pt>
                <c:pt idx="5">
                  <c:v>3037</c:v>
                </c:pt>
                <c:pt idx="6">
                  <c:v>1627</c:v>
                </c:pt>
                <c:pt idx="7">
                  <c:v>2310</c:v>
                </c:pt>
                <c:pt idx="8">
                  <c:v>908</c:v>
                </c:pt>
                <c:pt idx="9">
                  <c:v>2505</c:v>
                </c:pt>
                <c:pt idx="10">
                  <c:v>1120</c:v>
                </c:pt>
                <c:pt idx="11">
                  <c:v>1680</c:v>
                </c:pt>
                <c:pt idx="12">
                  <c:v>2702</c:v>
                </c:pt>
                <c:pt idx="13">
                  <c:v>1978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7-4196-8E8A-21F30C166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0%</c:v>
                </c:pt>
                <c:pt idx="6">
                  <c:v>42%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38%</c:v>
                </c:pt>
                <c:pt idx="11">
                  <c:v>50%</c:v>
                </c:pt>
                <c:pt idx="12">
                  <c:v>50%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0.41666666666666669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0.375</c:v>
                </c:pt>
                <c:pt idx="11">
                  <c:v>0.49940476190476191</c:v>
                </c:pt>
                <c:pt idx="12">
                  <c:v>0.5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3-45FB-8980-BBCE085178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A3-45FB-8980-BBCE085178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PUSHER/2</c:v>
                </c:pt>
                <c:pt idx="3">
                  <c:v>SHAFT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ACTUATOR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0.21940476190476191</c:v>
                </c:pt>
                <c:pt idx="1">
                  <c:v>0.21940476190476191</c:v>
                </c:pt>
                <c:pt idx="2">
                  <c:v>0.21940476190476191</c:v>
                </c:pt>
                <c:pt idx="3">
                  <c:v>0.21940476190476191</c:v>
                </c:pt>
                <c:pt idx="4">
                  <c:v>0.21940476190476191</c:v>
                </c:pt>
                <c:pt idx="5">
                  <c:v>0.21940476190476191</c:v>
                </c:pt>
                <c:pt idx="6">
                  <c:v>0.21940476190476191</c:v>
                </c:pt>
                <c:pt idx="7">
                  <c:v>0.21940476190476191</c:v>
                </c:pt>
                <c:pt idx="8">
                  <c:v>0.21940476190476191</c:v>
                </c:pt>
                <c:pt idx="9">
                  <c:v>0.21940476190476191</c:v>
                </c:pt>
                <c:pt idx="10">
                  <c:v>0.21940476190476191</c:v>
                </c:pt>
                <c:pt idx="11">
                  <c:v>0.21940476190476191</c:v>
                </c:pt>
                <c:pt idx="12">
                  <c:v>0.21940476190476191</c:v>
                </c:pt>
                <c:pt idx="13">
                  <c:v>0.21940476190476191</c:v>
                </c:pt>
                <c:pt idx="14">
                  <c:v>0.21940476190476191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A3-45FB-8980-BBCE0851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152-462A-BE1C-5273469E6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52-462A-BE1C-5273469E6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52-462A-BE1C-5273469E6A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52-462A-BE1C-5273469E6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2">
                  <c:v>5871</c:v>
                </c:pt>
                <c:pt idx="3">
                  <c:v>848</c:v>
                </c:pt>
                <c:pt idx="6">
                  <c:v>2645</c:v>
                </c:pt>
                <c:pt idx="7">
                  <c:v>2314</c:v>
                </c:pt>
                <c:pt idx="10">
                  <c:v>920</c:v>
                </c:pt>
                <c:pt idx="11">
                  <c:v>591</c:v>
                </c:pt>
                <c:pt idx="12">
                  <c:v>386</c:v>
                </c:pt>
                <c:pt idx="13">
                  <c:v>1709</c:v>
                </c:pt>
                <c:pt idx="14">
                  <c:v>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D-40AB-A4D7-9F3A24565B35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5871</c:v>
                </c:pt>
                <c:pt idx="3">
                  <c:v>848</c:v>
                </c:pt>
                <c:pt idx="4">
                  <c:v>2186</c:v>
                </c:pt>
                <c:pt idx="5">
                  <c:v>3037</c:v>
                </c:pt>
                <c:pt idx="6">
                  <c:v>2645</c:v>
                </c:pt>
                <c:pt idx="7">
                  <c:v>2314</c:v>
                </c:pt>
                <c:pt idx="8">
                  <c:v>908</c:v>
                </c:pt>
                <c:pt idx="9">
                  <c:v>2505</c:v>
                </c:pt>
                <c:pt idx="10">
                  <c:v>920</c:v>
                </c:pt>
                <c:pt idx="11">
                  <c:v>591</c:v>
                </c:pt>
                <c:pt idx="12">
                  <c:v>386</c:v>
                </c:pt>
                <c:pt idx="13">
                  <c:v>1709</c:v>
                </c:pt>
                <c:pt idx="14">
                  <c:v>1656</c:v>
                </c:pt>
                <c:pt idx="15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D-40AB-A4D7-9F3A24565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50%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25%</c:v>
                </c:pt>
                <c:pt idx="12">
                  <c:v>13%</c:v>
                </c:pt>
                <c:pt idx="13">
                  <c:v>50%</c:v>
                </c:pt>
                <c:pt idx="14">
                  <c:v>50%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0.25</c:v>
                </c:pt>
                <c:pt idx="12">
                  <c:v>0.125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7-454A-B2B2-CFDF9ADB27A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F7-454A-B2B2-CFDF9ADB27A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0.25833333333333336</c:v>
                </c:pt>
                <c:pt idx="1">
                  <c:v>0.25833333333333336</c:v>
                </c:pt>
                <c:pt idx="2">
                  <c:v>0.25833333333333336</c:v>
                </c:pt>
                <c:pt idx="3">
                  <c:v>0.25833333333333336</c:v>
                </c:pt>
                <c:pt idx="4">
                  <c:v>0.25833333333333336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0.25833333333333336</c:v>
                </c:pt>
                <c:pt idx="9">
                  <c:v>0.25833333333333336</c:v>
                </c:pt>
                <c:pt idx="10">
                  <c:v>0.25833333333333336</c:v>
                </c:pt>
                <c:pt idx="11">
                  <c:v>0.25833333333333336</c:v>
                </c:pt>
                <c:pt idx="12">
                  <c:v>0.25833333333333336</c:v>
                </c:pt>
                <c:pt idx="13">
                  <c:v>0.25833333333333336</c:v>
                </c:pt>
                <c:pt idx="14">
                  <c:v>0.25833333333333336</c:v>
                </c:pt>
                <c:pt idx="15">
                  <c:v>0.25833333333333336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7-454A-B2B2-CFDF9ADB2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2">
                  <c:v>5871</c:v>
                </c:pt>
                <c:pt idx="3">
                  <c:v>848</c:v>
                </c:pt>
                <c:pt idx="6">
                  <c:v>2645</c:v>
                </c:pt>
                <c:pt idx="7">
                  <c:v>2314</c:v>
                </c:pt>
                <c:pt idx="10">
                  <c:v>920</c:v>
                </c:pt>
                <c:pt idx="11">
                  <c:v>591</c:v>
                </c:pt>
                <c:pt idx="12">
                  <c:v>386</c:v>
                </c:pt>
                <c:pt idx="13">
                  <c:v>1709</c:v>
                </c:pt>
                <c:pt idx="14">
                  <c:v>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B-48BF-90B4-6C7E18CFC87D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5871</c:v>
                </c:pt>
                <c:pt idx="3">
                  <c:v>848</c:v>
                </c:pt>
                <c:pt idx="4">
                  <c:v>2186</c:v>
                </c:pt>
                <c:pt idx="5">
                  <c:v>3037</c:v>
                </c:pt>
                <c:pt idx="6">
                  <c:v>2645</c:v>
                </c:pt>
                <c:pt idx="7">
                  <c:v>2314</c:v>
                </c:pt>
                <c:pt idx="8">
                  <c:v>908</c:v>
                </c:pt>
                <c:pt idx="9">
                  <c:v>2505</c:v>
                </c:pt>
                <c:pt idx="10">
                  <c:v>920</c:v>
                </c:pt>
                <c:pt idx="11">
                  <c:v>591</c:v>
                </c:pt>
                <c:pt idx="12">
                  <c:v>386</c:v>
                </c:pt>
                <c:pt idx="13">
                  <c:v>1709</c:v>
                </c:pt>
                <c:pt idx="14">
                  <c:v>1656</c:v>
                </c:pt>
                <c:pt idx="15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B-48BF-90B4-6C7E18CFC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50%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42%</c:v>
                </c:pt>
                <c:pt idx="11">
                  <c:v>25%</c:v>
                </c:pt>
                <c:pt idx="12">
                  <c:v>13%</c:v>
                </c:pt>
                <c:pt idx="13">
                  <c:v>50%</c:v>
                </c:pt>
                <c:pt idx="14">
                  <c:v>50%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0.41666666666666669</c:v>
                </c:pt>
                <c:pt idx="11">
                  <c:v>0.25</c:v>
                </c:pt>
                <c:pt idx="12">
                  <c:v>0.125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5-4DBB-9AFC-EA0ED0F560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B5-4DBB-9AFC-EA0ED0F560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FLOAT</c:v>
                </c:pt>
                <c:pt idx="12">
                  <c:v>ADAPTER</c:v>
                </c:pt>
                <c:pt idx="13">
                  <c:v>LEAD GUIDE</c:v>
                </c:pt>
                <c:pt idx="14">
                  <c:v>M2 CONN'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0.25833333333333336</c:v>
                </c:pt>
                <c:pt idx="1">
                  <c:v>0.25833333333333336</c:v>
                </c:pt>
                <c:pt idx="2">
                  <c:v>0.25833333333333336</c:v>
                </c:pt>
                <c:pt idx="3">
                  <c:v>0.25833333333333336</c:v>
                </c:pt>
                <c:pt idx="4">
                  <c:v>0.25833333333333336</c:v>
                </c:pt>
                <c:pt idx="5">
                  <c:v>0.25833333333333336</c:v>
                </c:pt>
                <c:pt idx="6">
                  <c:v>0.25833333333333336</c:v>
                </c:pt>
                <c:pt idx="7">
                  <c:v>0.25833333333333336</c:v>
                </c:pt>
                <c:pt idx="8">
                  <c:v>0.25833333333333336</c:v>
                </c:pt>
                <c:pt idx="9">
                  <c:v>0.25833333333333336</c:v>
                </c:pt>
                <c:pt idx="10">
                  <c:v>0.25833333333333336</c:v>
                </c:pt>
                <c:pt idx="11">
                  <c:v>0.25833333333333336</c:v>
                </c:pt>
                <c:pt idx="12">
                  <c:v>0.25833333333333336</c:v>
                </c:pt>
                <c:pt idx="13">
                  <c:v>0.25833333333333336</c:v>
                </c:pt>
                <c:pt idx="14">
                  <c:v>0.25833333333333336</c:v>
                </c:pt>
                <c:pt idx="15">
                  <c:v>0.25833333333333336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5-4DBB-9AFC-EA0ED0F56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73A-4AB9-8CED-32B57C2DFD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A-4AB9-8CED-32B57C2DF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3A-4AB9-8CED-32B57C2DFD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3A-4AB9-8CED-32B57C2DF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5814</c:v>
                </c:pt>
                <c:pt idx="6">
                  <c:v>2807</c:v>
                </c:pt>
                <c:pt idx="7">
                  <c:v>2138</c:v>
                </c:pt>
                <c:pt idx="12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3-4B70-8E86-7BCF0E2DD4DB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5814</c:v>
                </c:pt>
                <c:pt idx="3">
                  <c:v>848</c:v>
                </c:pt>
                <c:pt idx="4">
                  <c:v>2186</c:v>
                </c:pt>
                <c:pt idx="5">
                  <c:v>3037</c:v>
                </c:pt>
                <c:pt idx="6">
                  <c:v>2807</c:v>
                </c:pt>
                <c:pt idx="7">
                  <c:v>2138</c:v>
                </c:pt>
                <c:pt idx="8">
                  <c:v>908</c:v>
                </c:pt>
                <c:pt idx="9">
                  <c:v>2505</c:v>
                </c:pt>
                <c:pt idx="10">
                  <c:v>920</c:v>
                </c:pt>
                <c:pt idx="11">
                  <c:v>386</c:v>
                </c:pt>
                <c:pt idx="12">
                  <c:v>302</c:v>
                </c:pt>
                <c:pt idx="13">
                  <c:v>1656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3-4B70-8E86-7BCF0E2DD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46%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4-4AF7-9A6D-16021AD7D4B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74-4AF7-9A6D-16021AD7D4B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0.10277777777777779</c:v>
                </c:pt>
                <c:pt idx="1">
                  <c:v>0.10277777777777779</c:v>
                </c:pt>
                <c:pt idx="2">
                  <c:v>0.10277777777777779</c:v>
                </c:pt>
                <c:pt idx="3">
                  <c:v>0.10277777777777779</c:v>
                </c:pt>
                <c:pt idx="4">
                  <c:v>0.10277777777777779</c:v>
                </c:pt>
                <c:pt idx="5">
                  <c:v>0.10277777777777779</c:v>
                </c:pt>
                <c:pt idx="6">
                  <c:v>0.10277777777777779</c:v>
                </c:pt>
                <c:pt idx="7">
                  <c:v>0.10277777777777779</c:v>
                </c:pt>
                <c:pt idx="8">
                  <c:v>0.10277777777777779</c:v>
                </c:pt>
                <c:pt idx="9">
                  <c:v>0.10277777777777779</c:v>
                </c:pt>
                <c:pt idx="10">
                  <c:v>0.10277777777777779</c:v>
                </c:pt>
                <c:pt idx="11">
                  <c:v>0.10277777777777779</c:v>
                </c:pt>
                <c:pt idx="12">
                  <c:v>0.10277777777777779</c:v>
                </c:pt>
                <c:pt idx="13">
                  <c:v>0.10277777777777779</c:v>
                </c:pt>
                <c:pt idx="14">
                  <c:v>0.10277777777777779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4-4AF7-9A6D-16021AD7D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5814</c:v>
                </c:pt>
                <c:pt idx="6">
                  <c:v>2807</c:v>
                </c:pt>
                <c:pt idx="7">
                  <c:v>2138</c:v>
                </c:pt>
                <c:pt idx="12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F-4C6C-9061-B28A962C8D28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5814</c:v>
                </c:pt>
                <c:pt idx="3">
                  <c:v>848</c:v>
                </c:pt>
                <c:pt idx="4">
                  <c:v>2186</c:v>
                </c:pt>
                <c:pt idx="5">
                  <c:v>3037</c:v>
                </c:pt>
                <c:pt idx="6">
                  <c:v>2807</c:v>
                </c:pt>
                <c:pt idx="7">
                  <c:v>2138</c:v>
                </c:pt>
                <c:pt idx="8">
                  <c:v>908</c:v>
                </c:pt>
                <c:pt idx="9">
                  <c:v>2505</c:v>
                </c:pt>
                <c:pt idx="10">
                  <c:v>920</c:v>
                </c:pt>
                <c:pt idx="11">
                  <c:v>386</c:v>
                </c:pt>
                <c:pt idx="12">
                  <c:v>302</c:v>
                </c:pt>
                <c:pt idx="13">
                  <c:v>1656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4F-4C6C-9061-B28A962C8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46%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46%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3-40C2-87ED-61F6C244A70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F3-40C2-87ED-61F6C244A7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201T</c:v>
                </c:pt>
                <c:pt idx="3">
                  <c:v>LATCH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BASE</c:v>
                </c:pt>
                <c:pt idx="13">
                  <c:v>M2 CONN'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0.10277777777777779</c:v>
                </c:pt>
                <c:pt idx="1">
                  <c:v>0.10277777777777779</c:v>
                </c:pt>
                <c:pt idx="2">
                  <c:v>0.10277777777777779</c:v>
                </c:pt>
                <c:pt idx="3">
                  <c:v>0.10277777777777779</c:v>
                </c:pt>
                <c:pt idx="4">
                  <c:v>0.10277777777777779</c:v>
                </c:pt>
                <c:pt idx="5">
                  <c:v>0.10277777777777779</c:v>
                </c:pt>
                <c:pt idx="6">
                  <c:v>0.10277777777777779</c:v>
                </c:pt>
                <c:pt idx="7">
                  <c:v>0.10277777777777779</c:v>
                </c:pt>
                <c:pt idx="8">
                  <c:v>0.10277777777777779</c:v>
                </c:pt>
                <c:pt idx="9">
                  <c:v>0.10277777777777779</c:v>
                </c:pt>
                <c:pt idx="10">
                  <c:v>0.10277777777777779</c:v>
                </c:pt>
                <c:pt idx="11">
                  <c:v>0.10277777777777779</c:v>
                </c:pt>
                <c:pt idx="12">
                  <c:v>0.10277777777777779</c:v>
                </c:pt>
                <c:pt idx="13">
                  <c:v>0.10277777777777779</c:v>
                </c:pt>
                <c:pt idx="14">
                  <c:v>0.10277777777777779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F3-40C2-87ED-61F6C244A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DC9-4504-A88D-5998104032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C9-4504-A88D-599810403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C9-4504-A88D-5998104032D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C9-4504-A88D-599810403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6177</c:v>
                </c:pt>
                <c:pt idx="3">
                  <c:v>1121</c:v>
                </c:pt>
                <c:pt idx="4">
                  <c:v>860</c:v>
                </c:pt>
                <c:pt idx="5">
                  <c:v>5214</c:v>
                </c:pt>
                <c:pt idx="7">
                  <c:v>3094</c:v>
                </c:pt>
                <c:pt idx="8">
                  <c:v>2532</c:v>
                </c:pt>
                <c:pt idx="13">
                  <c:v>699</c:v>
                </c:pt>
                <c:pt idx="14">
                  <c:v>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A-467C-8604-6760A74CB83F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6177</c:v>
                </c:pt>
                <c:pt idx="3">
                  <c:v>1121</c:v>
                </c:pt>
                <c:pt idx="4">
                  <c:v>860</c:v>
                </c:pt>
                <c:pt idx="5">
                  <c:v>5214</c:v>
                </c:pt>
                <c:pt idx="6">
                  <c:v>3037</c:v>
                </c:pt>
                <c:pt idx="7">
                  <c:v>3094</c:v>
                </c:pt>
                <c:pt idx="8">
                  <c:v>2532</c:v>
                </c:pt>
                <c:pt idx="9">
                  <c:v>908</c:v>
                </c:pt>
                <c:pt idx="10">
                  <c:v>2505</c:v>
                </c:pt>
                <c:pt idx="11">
                  <c:v>920</c:v>
                </c:pt>
                <c:pt idx="12">
                  <c:v>386</c:v>
                </c:pt>
                <c:pt idx="13">
                  <c:v>700</c:v>
                </c:pt>
                <c:pt idx="14">
                  <c:v>4596</c:v>
                </c:pt>
                <c:pt idx="15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A-467C-8604-6760A74CB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33%</c:v>
                </c:pt>
                <c:pt idx="4">
                  <c:v>17%</c:v>
                </c:pt>
                <c:pt idx="5">
                  <c:v>50%</c:v>
                </c:pt>
                <c:pt idx="6">
                  <c:v>0%</c:v>
                </c:pt>
                <c:pt idx="7">
                  <c:v>50%</c:v>
                </c:pt>
                <c:pt idx="8">
                  <c:v>50%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50%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0.33333333333333331</c:v>
                </c:pt>
                <c:pt idx="4">
                  <c:v>0.16666666666666666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0.16642857142857143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5-4071-A027-D289A4209B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55-4071-A027-D289A4209B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0.21109523809523809</c:v>
                </c:pt>
                <c:pt idx="1">
                  <c:v>0.21109523809523809</c:v>
                </c:pt>
                <c:pt idx="2">
                  <c:v>0.21109523809523809</c:v>
                </c:pt>
                <c:pt idx="3">
                  <c:v>0.21109523809523809</c:v>
                </c:pt>
                <c:pt idx="4">
                  <c:v>0.21109523809523809</c:v>
                </c:pt>
                <c:pt idx="5">
                  <c:v>0.21109523809523809</c:v>
                </c:pt>
                <c:pt idx="6">
                  <c:v>0.21109523809523809</c:v>
                </c:pt>
                <c:pt idx="7">
                  <c:v>0.21109523809523809</c:v>
                </c:pt>
                <c:pt idx="8">
                  <c:v>0.21109523809523809</c:v>
                </c:pt>
                <c:pt idx="9">
                  <c:v>0.21109523809523809</c:v>
                </c:pt>
                <c:pt idx="10">
                  <c:v>0.21109523809523809</c:v>
                </c:pt>
                <c:pt idx="11">
                  <c:v>0.21109523809523809</c:v>
                </c:pt>
                <c:pt idx="12">
                  <c:v>0.21109523809523809</c:v>
                </c:pt>
                <c:pt idx="13">
                  <c:v>0.21109523809523809</c:v>
                </c:pt>
                <c:pt idx="14">
                  <c:v>0.21109523809523809</c:v>
                </c:pt>
                <c:pt idx="15">
                  <c:v>0.21109523809523809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5-4071-A027-D289A4209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6177</c:v>
                </c:pt>
                <c:pt idx="3">
                  <c:v>1121</c:v>
                </c:pt>
                <c:pt idx="4">
                  <c:v>860</c:v>
                </c:pt>
                <c:pt idx="5">
                  <c:v>5214</c:v>
                </c:pt>
                <c:pt idx="7">
                  <c:v>3094</c:v>
                </c:pt>
                <c:pt idx="8">
                  <c:v>2532</c:v>
                </c:pt>
                <c:pt idx="13">
                  <c:v>699</c:v>
                </c:pt>
                <c:pt idx="14">
                  <c:v>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2-4730-8EF0-29745BA24D05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6177</c:v>
                </c:pt>
                <c:pt idx="3">
                  <c:v>1121</c:v>
                </c:pt>
                <c:pt idx="4">
                  <c:v>860</c:v>
                </c:pt>
                <c:pt idx="5">
                  <c:v>5214</c:v>
                </c:pt>
                <c:pt idx="6">
                  <c:v>3037</c:v>
                </c:pt>
                <c:pt idx="7">
                  <c:v>3094</c:v>
                </c:pt>
                <c:pt idx="8">
                  <c:v>2532</c:v>
                </c:pt>
                <c:pt idx="9">
                  <c:v>908</c:v>
                </c:pt>
                <c:pt idx="10">
                  <c:v>2505</c:v>
                </c:pt>
                <c:pt idx="11">
                  <c:v>920</c:v>
                </c:pt>
                <c:pt idx="12">
                  <c:v>386</c:v>
                </c:pt>
                <c:pt idx="13">
                  <c:v>700</c:v>
                </c:pt>
                <c:pt idx="14">
                  <c:v>4596</c:v>
                </c:pt>
                <c:pt idx="15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02-4730-8EF0-29745BA24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33%</c:v>
                </c:pt>
                <c:pt idx="4">
                  <c:v>17%</c:v>
                </c:pt>
                <c:pt idx="5">
                  <c:v>50%</c:v>
                </c:pt>
                <c:pt idx="6">
                  <c:v>0%</c:v>
                </c:pt>
                <c:pt idx="7">
                  <c:v>50%</c:v>
                </c:pt>
                <c:pt idx="8">
                  <c:v>50%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50%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0.33333333333333331</c:v>
                </c:pt>
                <c:pt idx="4">
                  <c:v>0.16666666666666666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0.16642857142857143</c:v>
                </c:pt>
                <c:pt idx="14">
                  <c:v>0.5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345-AEC4-03A61EDCFF4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4E-4345-AEC4-03A61EDCFF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201T</c:v>
                </c:pt>
                <c:pt idx="3">
                  <c:v>BASE</c:v>
                </c:pt>
                <c:pt idx="4">
                  <c:v>SLIDER</c:v>
                </c:pt>
                <c:pt idx="5">
                  <c:v>STOPPER</c:v>
                </c:pt>
                <c:pt idx="6">
                  <c:v>F/ADAPTER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SLIDER</c:v>
                </c:pt>
                <c:pt idx="11">
                  <c:v>TOP/BOTTOM</c:v>
                </c:pt>
                <c:pt idx="12">
                  <c:v>ADAPTER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0.21109523809523809</c:v>
                </c:pt>
                <c:pt idx="1">
                  <c:v>0.21109523809523809</c:v>
                </c:pt>
                <c:pt idx="2">
                  <c:v>0.21109523809523809</c:v>
                </c:pt>
                <c:pt idx="3">
                  <c:v>0.21109523809523809</c:v>
                </c:pt>
                <c:pt idx="4">
                  <c:v>0.21109523809523809</c:v>
                </c:pt>
                <c:pt idx="5">
                  <c:v>0.21109523809523809</c:v>
                </c:pt>
                <c:pt idx="6">
                  <c:v>0.21109523809523809</c:v>
                </c:pt>
                <c:pt idx="7">
                  <c:v>0.21109523809523809</c:v>
                </c:pt>
                <c:pt idx="8">
                  <c:v>0.21109523809523809</c:v>
                </c:pt>
                <c:pt idx="9">
                  <c:v>0.21109523809523809</c:v>
                </c:pt>
                <c:pt idx="10">
                  <c:v>0.21109523809523809</c:v>
                </c:pt>
                <c:pt idx="11">
                  <c:v>0.21109523809523809</c:v>
                </c:pt>
                <c:pt idx="12">
                  <c:v>0.21109523809523809</c:v>
                </c:pt>
                <c:pt idx="13">
                  <c:v>0.21109523809523809</c:v>
                </c:pt>
                <c:pt idx="14">
                  <c:v>0.21109523809523809</c:v>
                </c:pt>
                <c:pt idx="15">
                  <c:v>0.21109523809523809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4E-4345-AEC4-03A61EDCF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B31-4514-9E68-74E73E106A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31-4514-9E68-74E73E106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31-4514-9E68-74E73E106A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31-4514-9E68-74E73E106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6231</c:v>
                </c:pt>
                <c:pt idx="3">
                  <c:v>1633</c:v>
                </c:pt>
                <c:pt idx="4">
                  <c:v>6198</c:v>
                </c:pt>
                <c:pt idx="6">
                  <c:v>2994</c:v>
                </c:pt>
                <c:pt idx="7">
                  <c:v>2712</c:v>
                </c:pt>
                <c:pt idx="8">
                  <c:v>789</c:v>
                </c:pt>
                <c:pt idx="12">
                  <c:v>660</c:v>
                </c:pt>
                <c:pt idx="13">
                  <c:v>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2D-4953-9E5C-6D8E15E5141D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6231</c:v>
                </c:pt>
                <c:pt idx="3">
                  <c:v>1633</c:v>
                </c:pt>
                <c:pt idx="4">
                  <c:v>6198</c:v>
                </c:pt>
                <c:pt idx="5">
                  <c:v>3037</c:v>
                </c:pt>
                <c:pt idx="6">
                  <c:v>2994</c:v>
                </c:pt>
                <c:pt idx="7">
                  <c:v>2712</c:v>
                </c:pt>
                <c:pt idx="8">
                  <c:v>789</c:v>
                </c:pt>
                <c:pt idx="9">
                  <c:v>2505</c:v>
                </c:pt>
                <c:pt idx="10">
                  <c:v>920</c:v>
                </c:pt>
                <c:pt idx="11">
                  <c:v>386</c:v>
                </c:pt>
                <c:pt idx="12">
                  <c:v>660</c:v>
                </c:pt>
                <c:pt idx="13">
                  <c:v>804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D-4953-9E5C-6D8E15E51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42%</c:v>
                </c:pt>
                <c:pt idx="4">
                  <c:v>50%</c:v>
                </c:pt>
                <c:pt idx="5">
                  <c:v>0%</c:v>
                </c:pt>
                <c:pt idx="6">
                  <c:v>50%</c:v>
                </c:pt>
                <c:pt idx="7">
                  <c:v>50%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42%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0.41666666666666669</c:v>
                </c:pt>
                <c:pt idx="4">
                  <c:v>0.5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0.41666666666666669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C-48F4-87FC-5791E955F5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7C-48F4-87FC-5791E955F5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0.22222222222222224</c:v>
                </c:pt>
                <c:pt idx="1">
                  <c:v>0.22222222222222224</c:v>
                </c:pt>
                <c:pt idx="2">
                  <c:v>0.22222222222222224</c:v>
                </c:pt>
                <c:pt idx="3">
                  <c:v>0.22222222222222224</c:v>
                </c:pt>
                <c:pt idx="4">
                  <c:v>0.22222222222222224</c:v>
                </c:pt>
                <c:pt idx="5">
                  <c:v>0.22222222222222224</c:v>
                </c:pt>
                <c:pt idx="6">
                  <c:v>0.22222222222222224</c:v>
                </c:pt>
                <c:pt idx="7">
                  <c:v>0.22222222222222224</c:v>
                </c:pt>
                <c:pt idx="8">
                  <c:v>0.22222222222222224</c:v>
                </c:pt>
                <c:pt idx="9">
                  <c:v>0.22222222222222224</c:v>
                </c:pt>
                <c:pt idx="10">
                  <c:v>0.22222222222222224</c:v>
                </c:pt>
                <c:pt idx="11">
                  <c:v>0.22222222222222224</c:v>
                </c:pt>
                <c:pt idx="12">
                  <c:v>0.22222222222222224</c:v>
                </c:pt>
                <c:pt idx="13">
                  <c:v>0.22222222222222224</c:v>
                </c:pt>
                <c:pt idx="14">
                  <c:v>0.22222222222222224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C-48F4-87FC-5791E955F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6231</c:v>
                </c:pt>
                <c:pt idx="3">
                  <c:v>1633</c:v>
                </c:pt>
                <c:pt idx="4">
                  <c:v>6198</c:v>
                </c:pt>
                <c:pt idx="6">
                  <c:v>2994</c:v>
                </c:pt>
                <c:pt idx="7">
                  <c:v>2712</c:v>
                </c:pt>
                <c:pt idx="8">
                  <c:v>789</c:v>
                </c:pt>
                <c:pt idx="12">
                  <c:v>660</c:v>
                </c:pt>
                <c:pt idx="13">
                  <c:v>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6-4574-9E1A-49C87EEF7F62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6231</c:v>
                </c:pt>
                <c:pt idx="3">
                  <c:v>1633</c:v>
                </c:pt>
                <c:pt idx="4">
                  <c:v>6198</c:v>
                </c:pt>
                <c:pt idx="5">
                  <c:v>3037</c:v>
                </c:pt>
                <c:pt idx="6">
                  <c:v>2994</c:v>
                </c:pt>
                <c:pt idx="7">
                  <c:v>2712</c:v>
                </c:pt>
                <c:pt idx="8">
                  <c:v>789</c:v>
                </c:pt>
                <c:pt idx="9">
                  <c:v>2505</c:v>
                </c:pt>
                <c:pt idx="10">
                  <c:v>920</c:v>
                </c:pt>
                <c:pt idx="11">
                  <c:v>386</c:v>
                </c:pt>
                <c:pt idx="12">
                  <c:v>660</c:v>
                </c:pt>
                <c:pt idx="13">
                  <c:v>804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6-4574-9E1A-49C87EEF7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42%</c:v>
                </c:pt>
                <c:pt idx="4">
                  <c:v>50%</c:v>
                </c:pt>
                <c:pt idx="5">
                  <c:v>0%</c:v>
                </c:pt>
                <c:pt idx="6">
                  <c:v>50%</c:v>
                </c:pt>
                <c:pt idx="7">
                  <c:v>50%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42%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0.41666666666666669</c:v>
                </c:pt>
                <c:pt idx="4">
                  <c:v>0.5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0.41666666666666669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1-4DA0-9237-5137CD3DB7A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A1-4DA0-9237-5137CD3DB7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TOP/BOTTOM</c:v>
                </c:pt>
                <c:pt idx="11">
                  <c:v>ADAPTER</c:v>
                </c:pt>
                <c:pt idx="12">
                  <c:v>SPACER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0.22222222222222224</c:v>
                </c:pt>
                <c:pt idx="1">
                  <c:v>0.22222222222222224</c:v>
                </c:pt>
                <c:pt idx="2">
                  <c:v>0.22222222222222224</c:v>
                </c:pt>
                <c:pt idx="3">
                  <c:v>0.22222222222222224</c:v>
                </c:pt>
                <c:pt idx="4">
                  <c:v>0.22222222222222224</c:v>
                </c:pt>
                <c:pt idx="5">
                  <c:v>0.22222222222222224</c:v>
                </c:pt>
                <c:pt idx="6">
                  <c:v>0.22222222222222224</c:v>
                </c:pt>
                <c:pt idx="7">
                  <c:v>0.22222222222222224</c:v>
                </c:pt>
                <c:pt idx="8">
                  <c:v>0.22222222222222224</c:v>
                </c:pt>
                <c:pt idx="9">
                  <c:v>0.22222222222222224</c:v>
                </c:pt>
                <c:pt idx="10">
                  <c:v>0.22222222222222224</c:v>
                </c:pt>
                <c:pt idx="11">
                  <c:v>0.22222222222222224</c:v>
                </c:pt>
                <c:pt idx="12">
                  <c:v>0.22222222222222224</c:v>
                </c:pt>
                <c:pt idx="13">
                  <c:v>0.22222222222222224</c:v>
                </c:pt>
                <c:pt idx="14">
                  <c:v>0.22222222222222224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A1-4DA0-9237-5137CD3DB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556-4712-9440-61976260E0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6-4712-9440-61976260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56-4712-9440-61976260E0C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56-4712-9440-61976260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4">
                  <c:v>3962</c:v>
                </c:pt>
                <c:pt idx="6">
                  <c:v>3109</c:v>
                </c:pt>
                <c:pt idx="7">
                  <c:v>2035</c:v>
                </c:pt>
                <c:pt idx="8">
                  <c:v>1198</c:v>
                </c:pt>
                <c:pt idx="9">
                  <c:v>352</c:v>
                </c:pt>
                <c:pt idx="11">
                  <c:v>583</c:v>
                </c:pt>
                <c:pt idx="12">
                  <c:v>1330</c:v>
                </c:pt>
                <c:pt idx="13">
                  <c:v>824</c:v>
                </c:pt>
                <c:pt idx="14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8-4589-93ED-F483A40AC940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6231</c:v>
                </c:pt>
                <c:pt idx="3">
                  <c:v>1633</c:v>
                </c:pt>
                <c:pt idx="4">
                  <c:v>3962</c:v>
                </c:pt>
                <c:pt idx="5">
                  <c:v>3037</c:v>
                </c:pt>
                <c:pt idx="6">
                  <c:v>3109</c:v>
                </c:pt>
                <c:pt idx="7">
                  <c:v>2035</c:v>
                </c:pt>
                <c:pt idx="8">
                  <c:v>1198</c:v>
                </c:pt>
                <c:pt idx="9">
                  <c:v>352</c:v>
                </c:pt>
                <c:pt idx="10">
                  <c:v>2505</c:v>
                </c:pt>
                <c:pt idx="11">
                  <c:v>583</c:v>
                </c:pt>
                <c:pt idx="12">
                  <c:v>1330</c:v>
                </c:pt>
                <c:pt idx="13">
                  <c:v>824</c:v>
                </c:pt>
                <c:pt idx="14">
                  <c:v>1200</c:v>
                </c:pt>
                <c:pt idx="15">
                  <c:v>804</c:v>
                </c:pt>
                <c:pt idx="16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8-4589-93ED-F483A40A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50%</c:v>
                </c:pt>
                <c:pt idx="7">
                  <c:v>42%</c:v>
                </c:pt>
                <c:pt idx="8">
                  <c:v>33%</c:v>
                </c:pt>
                <c:pt idx="9">
                  <c:v>17%</c:v>
                </c:pt>
                <c:pt idx="10">
                  <c:v>0%</c:v>
                </c:pt>
                <c:pt idx="11">
                  <c:v>17%</c:v>
                </c:pt>
                <c:pt idx="12">
                  <c:v>25%</c:v>
                </c:pt>
                <c:pt idx="13">
                  <c:v>21%</c:v>
                </c:pt>
                <c:pt idx="14">
                  <c:v>42%</c:v>
                </c:pt>
                <c:pt idx="15">
                  <c:v>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0.5</c:v>
                </c:pt>
                <c:pt idx="7">
                  <c:v>0.41666666666666669</c:v>
                </c:pt>
                <c:pt idx="8">
                  <c:v>0.33333333333333331</c:v>
                </c:pt>
                <c:pt idx="9">
                  <c:v>0.16666666666666666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0.25</c:v>
                </c:pt>
                <c:pt idx="13">
                  <c:v>0.20833333333333334</c:v>
                </c:pt>
                <c:pt idx="14">
                  <c:v>0.41666666666666669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A-4549-8143-5EC48E72B1B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DA-4549-8143-5EC48E72B1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0.19166666666666668</c:v>
                </c:pt>
                <c:pt idx="1">
                  <c:v>0.19166666666666668</c:v>
                </c:pt>
                <c:pt idx="2">
                  <c:v>0.19166666666666668</c:v>
                </c:pt>
                <c:pt idx="3">
                  <c:v>0.19166666666666668</c:v>
                </c:pt>
                <c:pt idx="4">
                  <c:v>0.19166666666666668</c:v>
                </c:pt>
                <c:pt idx="5">
                  <c:v>0.19166666666666668</c:v>
                </c:pt>
                <c:pt idx="6">
                  <c:v>0.19166666666666668</c:v>
                </c:pt>
                <c:pt idx="7">
                  <c:v>0.19166666666666668</c:v>
                </c:pt>
                <c:pt idx="8">
                  <c:v>0.19166666666666668</c:v>
                </c:pt>
                <c:pt idx="9">
                  <c:v>0.19166666666666668</c:v>
                </c:pt>
                <c:pt idx="10">
                  <c:v>0.19166666666666668</c:v>
                </c:pt>
                <c:pt idx="11">
                  <c:v>0.19166666666666668</c:v>
                </c:pt>
                <c:pt idx="12">
                  <c:v>0.19166666666666668</c:v>
                </c:pt>
                <c:pt idx="13">
                  <c:v>0.19166666666666668</c:v>
                </c:pt>
                <c:pt idx="14">
                  <c:v>0.19166666666666668</c:v>
                </c:pt>
                <c:pt idx="15">
                  <c:v>0.19166666666666668</c:v>
                </c:pt>
                <c:pt idx="16">
                  <c:v>0.19166666666666668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A-4549-8143-5EC48E72B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4">
                  <c:v>3962</c:v>
                </c:pt>
                <c:pt idx="6">
                  <c:v>3109</c:v>
                </c:pt>
                <c:pt idx="7">
                  <c:v>2035</c:v>
                </c:pt>
                <c:pt idx="8">
                  <c:v>1198</c:v>
                </c:pt>
                <c:pt idx="9">
                  <c:v>352</c:v>
                </c:pt>
                <c:pt idx="11">
                  <c:v>583</c:v>
                </c:pt>
                <c:pt idx="12">
                  <c:v>1330</c:v>
                </c:pt>
                <c:pt idx="13">
                  <c:v>824</c:v>
                </c:pt>
                <c:pt idx="14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1-409B-B553-95CF85C4AEDA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6231</c:v>
                </c:pt>
                <c:pt idx="3">
                  <c:v>1633</c:v>
                </c:pt>
                <c:pt idx="4">
                  <c:v>3962</c:v>
                </c:pt>
                <c:pt idx="5">
                  <c:v>3037</c:v>
                </c:pt>
                <c:pt idx="6">
                  <c:v>3109</c:v>
                </c:pt>
                <c:pt idx="7">
                  <c:v>2035</c:v>
                </c:pt>
                <c:pt idx="8">
                  <c:v>1198</c:v>
                </c:pt>
                <c:pt idx="9">
                  <c:v>352</c:v>
                </c:pt>
                <c:pt idx="10">
                  <c:v>2505</c:v>
                </c:pt>
                <c:pt idx="11">
                  <c:v>583</c:v>
                </c:pt>
                <c:pt idx="12">
                  <c:v>1330</c:v>
                </c:pt>
                <c:pt idx="13">
                  <c:v>824</c:v>
                </c:pt>
                <c:pt idx="14">
                  <c:v>1200</c:v>
                </c:pt>
                <c:pt idx="15">
                  <c:v>804</c:v>
                </c:pt>
                <c:pt idx="16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1-409B-B553-95CF85C4A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50%</c:v>
                </c:pt>
                <c:pt idx="7">
                  <c:v>42%</c:v>
                </c:pt>
                <c:pt idx="8">
                  <c:v>33%</c:v>
                </c:pt>
                <c:pt idx="9">
                  <c:v>17%</c:v>
                </c:pt>
                <c:pt idx="10">
                  <c:v>0%</c:v>
                </c:pt>
                <c:pt idx="11">
                  <c:v>17%</c:v>
                </c:pt>
                <c:pt idx="12">
                  <c:v>25%</c:v>
                </c:pt>
                <c:pt idx="13">
                  <c:v>21%</c:v>
                </c:pt>
                <c:pt idx="14">
                  <c:v>42%</c:v>
                </c:pt>
                <c:pt idx="15">
                  <c:v>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0.5</c:v>
                </c:pt>
                <c:pt idx="7">
                  <c:v>0.41666666666666669</c:v>
                </c:pt>
                <c:pt idx="8">
                  <c:v>0.33333333333333331</c:v>
                </c:pt>
                <c:pt idx="9">
                  <c:v>0.16666666666666666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0.25</c:v>
                </c:pt>
                <c:pt idx="13">
                  <c:v>0.20833333333333334</c:v>
                </c:pt>
                <c:pt idx="14">
                  <c:v>0.41666666666666669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7-4B29-936F-F803C7CA4E8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27-4B29-936F-F803C7CA4E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2">
                  <c:v>201T</c:v>
                </c:pt>
                <c:pt idx="3">
                  <c:v>BASE</c:v>
                </c:pt>
                <c:pt idx="4">
                  <c:v>STOPPER</c:v>
                </c:pt>
                <c:pt idx="5">
                  <c:v>F/ADAPTER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ADAPTER</c:v>
                </c:pt>
                <c:pt idx="10">
                  <c:v>SLIDER</c:v>
                </c:pt>
                <c:pt idx="11">
                  <c:v>ADAPTER</c:v>
                </c:pt>
                <c:pt idx="12">
                  <c:v>LEVER</c:v>
                </c:pt>
                <c:pt idx="13">
                  <c:v>IC GUIDE</c:v>
                </c:pt>
                <c:pt idx="14">
                  <c:v>LEAD GUIDE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0.19166666666666668</c:v>
                </c:pt>
                <c:pt idx="1">
                  <c:v>0.19166666666666668</c:v>
                </c:pt>
                <c:pt idx="2">
                  <c:v>0.19166666666666668</c:v>
                </c:pt>
                <c:pt idx="3">
                  <c:v>0.19166666666666668</c:v>
                </c:pt>
                <c:pt idx="4">
                  <c:v>0.19166666666666668</c:v>
                </c:pt>
                <c:pt idx="5">
                  <c:v>0.19166666666666668</c:v>
                </c:pt>
                <c:pt idx="6">
                  <c:v>0.19166666666666668</c:v>
                </c:pt>
                <c:pt idx="7">
                  <c:v>0.19166666666666668</c:v>
                </c:pt>
                <c:pt idx="8">
                  <c:v>0.19166666666666668</c:v>
                </c:pt>
                <c:pt idx="9">
                  <c:v>0.19166666666666668</c:v>
                </c:pt>
                <c:pt idx="10">
                  <c:v>0.19166666666666668</c:v>
                </c:pt>
                <c:pt idx="11">
                  <c:v>0.19166666666666668</c:v>
                </c:pt>
                <c:pt idx="12">
                  <c:v>0.19166666666666668</c:v>
                </c:pt>
                <c:pt idx="13">
                  <c:v>0.19166666666666668</c:v>
                </c:pt>
                <c:pt idx="14">
                  <c:v>0.19166666666666668</c:v>
                </c:pt>
                <c:pt idx="15">
                  <c:v>0.19166666666666668</c:v>
                </c:pt>
                <c:pt idx="16">
                  <c:v>0.19166666666666668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27-4B29-936F-F803C7CA4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79E-45DD-9065-FAACEB851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E-45DD-9065-FAACEB85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9E-45DD-9065-FAACEB8519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9E-45DD-9065-FAACEB85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266</c:v>
                </c:pt>
                <c:pt idx="4">
                  <c:v>3001</c:v>
                </c:pt>
                <c:pt idx="5">
                  <c:v>2806</c:v>
                </c:pt>
                <c:pt idx="6">
                  <c:v>2939</c:v>
                </c:pt>
                <c:pt idx="7">
                  <c:v>2760</c:v>
                </c:pt>
                <c:pt idx="8">
                  <c:v>505</c:v>
                </c:pt>
                <c:pt idx="10">
                  <c:v>810</c:v>
                </c:pt>
                <c:pt idx="11">
                  <c:v>2520</c:v>
                </c:pt>
                <c:pt idx="13">
                  <c:v>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7-4EE7-9CC1-28AB214C1E22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266</c:v>
                </c:pt>
                <c:pt idx="3">
                  <c:v>1633</c:v>
                </c:pt>
                <c:pt idx="4">
                  <c:v>3001</c:v>
                </c:pt>
                <c:pt idx="5">
                  <c:v>2806</c:v>
                </c:pt>
                <c:pt idx="6">
                  <c:v>2939</c:v>
                </c:pt>
                <c:pt idx="7">
                  <c:v>2760</c:v>
                </c:pt>
                <c:pt idx="8">
                  <c:v>505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1200</c:v>
                </c:pt>
                <c:pt idx="13">
                  <c:v>2650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A7-4EE7-9CC1-28AB214C1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8%</c:v>
                </c:pt>
                <c:pt idx="3">
                  <c:v>0%</c:v>
                </c:pt>
                <c:pt idx="4">
                  <c:v>50%</c:v>
                </c:pt>
                <c:pt idx="5">
                  <c:v>46%</c:v>
                </c:pt>
                <c:pt idx="6">
                  <c:v>50%</c:v>
                </c:pt>
                <c:pt idx="7">
                  <c:v>50%</c:v>
                </c:pt>
                <c:pt idx="8">
                  <c:v>17%</c:v>
                </c:pt>
                <c:pt idx="9">
                  <c:v>0%</c:v>
                </c:pt>
                <c:pt idx="10">
                  <c:v>25%</c:v>
                </c:pt>
                <c:pt idx="11">
                  <c:v>46%</c:v>
                </c:pt>
                <c:pt idx="12">
                  <c:v>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  <c:pt idx="4">
                  <c:v>0.5</c:v>
                </c:pt>
                <c:pt idx="5">
                  <c:v>0.45833333333333331</c:v>
                </c:pt>
                <c:pt idx="6">
                  <c:v>0.5</c:v>
                </c:pt>
                <c:pt idx="7">
                  <c:v>0.5</c:v>
                </c:pt>
                <c:pt idx="8">
                  <c:v>0.16666666666666666</c:v>
                </c:pt>
                <c:pt idx="9">
                  <c:v>0</c:v>
                </c:pt>
                <c:pt idx="10">
                  <c:v>0.25</c:v>
                </c:pt>
                <c:pt idx="11">
                  <c:v>0.45833333333333331</c:v>
                </c:pt>
                <c:pt idx="12">
                  <c:v>0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8-44AF-A765-278FC6BBA86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88-44AF-A765-278FC6BBA8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0.2277777777777778</c:v>
                </c:pt>
                <c:pt idx="1">
                  <c:v>0.2277777777777778</c:v>
                </c:pt>
                <c:pt idx="2">
                  <c:v>0.2277777777777778</c:v>
                </c:pt>
                <c:pt idx="3">
                  <c:v>0.2277777777777778</c:v>
                </c:pt>
                <c:pt idx="4">
                  <c:v>0.2277777777777778</c:v>
                </c:pt>
                <c:pt idx="5">
                  <c:v>0.2277777777777778</c:v>
                </c:pt>
                <c:pt idx="6">
                  <c:v>0.2277777777777778</c:v>
                </c:pt>
                <c:pt idx="7">
                  <c:v>0.2277777777777778</c:v>
                </c:pt>
                <c:pt idx="8">
                  <c:v>0.2277777777777778</c:v>
                </c:pt>
                <c:pt idx="9">
                  <c:v>0.2277777777777778</c:v>
                </c:pt>
                <c:pt idx="10">
                  <c:v>0.2277777777777778</c:v>
                </c:pt>
                <c:pt idx="11">
                  <c:v>0.2277777777777778</c:v>
                </c:pt>
                <c:pt idx="12">
                  <c:v>0.2277777777777778</c:v>
                </c:pt>
                <c:pt idx="13">
                  <c:v>0.2277777777777778</c:v>
                </c:pt>
                <c:pt idx="14">
                  <c:v>0.2277777777777778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8-44AF-A765-278FC6BB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266</c:v>
                </c:pt>
                <c:pt idx="4">
                  <c:v>3001</c:v>
                </c:pt>
                <c:pt idx="5">
                  <c:v>2806</c:v>
                </c:pt>
                <c:pt idx="6">
                  <c:v>2939</c:v>
                </c:pt>
                <c:pt idx="7">
                  <c:v>2760</c:v>
                </c:pt>
                <c:pt idx="8">
                  <c:v>505</c:v>
                </c:pt>
                <c:pt idx="10">
                  <c:v>810</c:v>
                </c:pt>
                <c:pt idx="11">
                  <c:v>2520</c:v>
                </c:pt>
                <c:pt idx="13">
                  <c:v>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7-4733-8446-5A0326FEC2CB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266</c:v>
                </c:pt>
                <c:pt idx="3">
                  <c:v>1633</c:v>
                </c:pt>
                <c:pt idx="4">
                  <c:v>3001</c:v>
                </c:pt>
                <c:pt idx="5">
                  <c:v>2806</c:v>
                </c:pt>
                <c:pt idx="6">
                  <c:v>2939</c:v>
                </c:pt>
                <c:pt idx="7">
                  <c:v>2760</c:v>
                </c:pt>
                <c:pt idx="8">
                  <c:v>505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1200</c:v>
                </c:pt>
                <c:pt idx="13">
                  <c:v>2650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7-4733-8446-5A0326FEC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8%</c:v>
                </c:pt>
                <c:pt idx="3">
                  <c:v>0%</c:v>
                </c:pt>
                <c:pt idx="4">
                  <c:v>50%</c:v>
                </c:pt>
                <c:pt idx="5">
                  <c:v>46%</c:v>
                </c:pt>
                <c:pt idx="6">
                  <c:v>50%</c:v>
                </c:pt>
                <c:pt idx="7">
                  <c:v>50%</c:v>
                </c:pt>
                <c:pt idx="8">
                  <c:v>17%</c:v>
                </c:pt>
                <c:pt idx="9">
                  <c:v>0%</c:v>
                </c:pt>
                <c:pt idx="10">
                  <c:v>25%</c:v>
                </c:pt>
                <c:pt idx="11">
                  <c:v>46%</c:v>
                </c:pt>
                <c:pt idx="12">
                  <c:v>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  <c:pt idx="4">
                  <c:v>0.5</c:v>
                </c:pt>
                <c:pt idx="5">
                  <c:v>0.45833333333333331</c:v>
                </c:pt>
                <c:pt idx="6">
                  <c:v>0.5</c:v>
                </c:pt>
                <c:pt idx="7">
                  <c:v>0.5</c:v>
                </c:pt>
                <c:pt idx="8">
                  <c:v>0.16666666666666666</c:v>
                </c:pt>
                <c:pt idx="9">
                  <c:v>0</c:v>
                </c:pt>
                <c:pt idx="10">
                  <c:v>0.25</c:v>
                </c:pt>
                <c:pt idx="11">
                  <c:v>0.45833333333333331</c:v>
                </c:pt>
                <c:pt idx="12">
                  <c:v>0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1A3-B2F4-D3E1FD3BDA1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EF-41A3-B2F4-D3E1FD3BDA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0.2277777777777778</c:v>
                </c:pt>
                <c:pt idx="1">
                  <c:v>0.2277777777777778</c:v>
                </c:pt>
                <c:pt idx="2">
                  <c:v>0.2277777777777778</c:v>
                </c:pt>
                <c:pt idx="3">
                  <c:v>0.2277777777777778</c:v>
                </c:pt>
                <c:pt idx="4">
                  <c:v>0.2277777777777778</c:v>
                </c:pt>
                <c:pt idx="5">
                  <c:v>0.2277777777777778</c:v>
                </c:pt>
                <c:pt idx="6">
                  <c:v>0.2277777777777778</c:v>
                </c:pt>
                <c:pt idx="7">
                  <c:v>0.2277777777777778</c:v>
                </c:pt>
                <c:pt idx="8">
                  <c:v>0.2277777777777778</c:v>
                </c:pt>
                <c:pt idx="9">
                  <c:v>0.2277777777777778</c:v>
                </c:pt>
                <c:pt idx="10">
                  <c:v>0.2277777777777778</c:v>
                </c:pt>
                <c:pt idx="11">
                  <c:v>0.2277777777777778</c:v>
                </c:pt>
                <c:pt idx="12">
                  <c:v>0.2277777777777778</c:v>
                </c:pt>
                <c:pt idx="13">
                  <c:v>0.2277777777777778</c:v>
                </c:pt>
                <c:pt idx="14">
                  <c:v>0.2277777777777778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F-41A3-B2F4-D3E1FD3BD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B59-4040-9CDD-05DAB1EB84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9-4040-9CDD-05DAB1EB8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59-4040-9CDD-05DAB1EB84B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59-4040-9CDD-05DAB1EB8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2635</c:v>
                </c:pt>
                <c:pt idx="4">
                  <c:v>3031</c:v>
                </c:pt>
                <c:pt idx="5">
                  <c:v>1820</c:v>
                </c:pt>
                <c:pt idx="6">
                  <c:v>3119</c:v>
                </c:pt>
                <c:pt idx="7">
                  <c:v>414</c:v>
                </c:pt>
                <c:pt idx="8">
                  <c:v>1282</c:v>
                </c:pt>
                <c:pt idx="13">
                  <c:v>2688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E-4FCD-9173-FAA0B1E8FE62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2635</c:v>
                </c:pt>
                <c:pt idx="3">
                  <c:v>1633</c:v>
                </c:pt>
                <c:pt idx="4">
                  <c:v>3031</c:v>
                </c:pt>
                <c:pt idx="5">
                  <c:v>1820</c:v>
                </c:pt>
                <c:pt idx="6">
                  <c:v>3119</c:v>
                </c:pt>
                <c:pt idx="7">
                  <c:v>414</c:v>
                </c:pt>
                <c:pt idx="8">
                  <c:v>1282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1200</c:v>
                </c:pt>
                <c:pt idx="13">
                  <c:v>2688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E-4FCD-9173-FAA0B1E8F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0%</c:v>
                </c:pt>
                <c:pt idx="4">
                  <c:v>50%</c:v>
                </c:pt>
                <c:pt idx="5">
                  <c:v>42%</c:v>
                </c:pt>
                <c:pt idx="6">
                  <c:v>50%</c:v>
                </c:pt>
                <c:pt idx="7">
                  <c:v>17%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0.41666666666666669</c:v>
                </c:pt>
                <c:pt idx="6">
                  <c:v>0.5</c:v>
                </c:pt>
                <c:pt idx="7">
                  <c:v>0.16666666666666666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0-418C-AC5C-1AEB51D6329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C0-418C-AC5C-1AEB51D632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0.19722222222222224</c:v>
                </c:pt>
                <c:pt idx="1">
                  <c:v>0.19722222222222224</c:v>
                </c:pt>
                <c:pt idx="2">
                  <c:v>0.19722222222222224</c:v>
                </c:pt>
                <c:pt idx="3">
                  <c:v>0.19722222222222224</c:v>
                </c:pt>
                <c:pt idx="4">
                  <c:v>0.19722222222222224</c:v>
                </c:pt>
                <c:pt idx="5">
                  <c:v>0.19722222222222224</c:v>
                </c:pt>
                <c:pt idx="6">
                  <c:v>0.19722222222222224</c:v>
                </c:pt>
                <c:pt idx="7">
                  <c:v>0.19722222222222224</c:v>
                </c:pt>
                <c:pt idx="8">
                  <c:v>0.19722222222222224</c:v>
                </c:pt>
                <c:pt idx="9">
                  <c:v>0.19722222222222224</c:v>
                </c:pt>
                <c:pt idx="10">
                  <c:v>0.19722222222222224</c:v>
                </c:pt>
                <c:pt idx="11">
                  <c:v>0.19722222222222224</c:v>
                </c:pt>
                <c:pt idx="12">
                  <c:v>0.19722222222222224</c:v>
                </c:pt>
                <c:pt idx="13">
                  <c:v>0.19722222222222224</c:v>
                </c:pt>
                <c:pt idx="14">
                  <c:v>0.19722222222222224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0-418C-AC5C-1AEB51D63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2">
                  <c:v>2635</c:v>
                </c:pt>
                <c:pt idx="4">
                  <c:v>3031</c:v>
                </c:pt>
                <c:pt idx="5">
                  <c:v>1820</c:v>
                </c:pt>
                <c:pt idx="6">
                  <c:v>3119</c:v>
                </c:pt>
                <c:pt idx="7">
                  <c:v>414</c:v>
                </c:pt>
                <c:pt idx="8">
                  <c:v>1282</c:v>
                </c:pt>
                <c:pt idx="13">
                  <c:v>2688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E-40C3-96E0-5AC772B35791}"/>
            </c:ext>
          </c:extLst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2635</c:v>
                </c:pt>
                <c:pt idx="3">
                  <c:v>1633</c:v>
                </c:pt>
                <c:pt idx="4">
                  <c:v>3031</c:v>
                </c:pt>
                <c:pt idx="5">
                  <c:v>1820</c:v>
                </c:pt>
                <c:pt idx="6">
                  <c:v>3119</c:v>
                </c:pt>
                <c:pt idx="7">
                  <c:v>414</c:v>
                </c:pt>
                <c:pt idx="8">
                  <c:v>1282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1200</c:v>
                </c:pt>
                <c:pt idx="13">
                  <c:v>2688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E-40C3-96E0-5AC772B35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0%</c:v>
                </c:pt>
                <c:pt idx="4">
                  <c:v>50%</c:v>
                </c:pt>
                <c:pt idx="5">
                  <c:v>42%</c:v>
                </c:pt>
                <c:pt idx="6">
                  <c:v>50%</c:v>
                </c:pt>
                <c:pt idx="7">
                  <c:v>17%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50%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0.41666666666666669</c:v>
                </c:pt>
                <c:pt idx="6">
                  <c:v>0.5</c:v>
                </c:pt>
                <c:pt idx="7">
                  <c:v>0.16666666666666666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0-4B63-9C47-31032D11E36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D0-4B63-9C47-31032D11E36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'16'!$D$6:$D$20</c:f>
              <c:strCache>
                <c:ptCount val="14"/>
                <c:pt idx="2">
                  <c:v>BODY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0.19722222222222224</c:v>
                </c:pt>
                <c:pt idx="1">
                  <c:v>0.19722222222222224</c:v>
                </c:pt>
                <c:pt idx="2">
                  <c:v>0.19722222222222224</c:v>
                </c:pt>
                <c:pt idx="3">
                  <c:v>0.19722222222222224</c:v>
                </c:pt>
                <c:pt idx="4">
                  <c:v>0.19722222222222224</c:v>
                </c:pt>
                <c:pt idx="5">
                  <c:v>0.19722222222222224</c:v>
                </c:pt>
                <c:pt idx="6">
                  <c:v>0.19722222222222224</c:v>
                </c:pt>
                <c:pt idx="7">
                  <c:v>0.19722222222222224</c:v>
                </c:pt>
                <c:pt idx="8">
                  <c:v>0.19722222222222224</c:v>
                </c:pt>
                <c:pt idx="9">
                  <c:v>0.19722222222222224</c:v>
                </c:pt>
                <c:pt idx="10">
                  <c:v>0.19722222222222224</c:v>
                </c:pt>
                <c:pt idx="11">
                  <c:v>0.19722222222222224</c:v>
                </c:pt>
                <c:pt idx="12">
                  <c:v>0.19722222222222224</c:v>
                </c:pt>
                <c:pt idx="13">
                  <c:v>0.19722222222222224</c:v>
                </c:pt>
                <c:pt idx="14">
                  <c:v>0.19722222222222224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D0-4B63-9C47-31032D11E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AFD-4AF5-BE68-07ED921DAA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FD-4AF5-BE68-07ED921DA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FD-4AF5-BE68-07ED921DAA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FD-4AF5-BE68-07ED921DA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4733</c:v>
                </c:pt>
                <c:pt idx="3">
                  <c:v>87408</c:v>
                </c:pt>
                <c:pt idx="4">
                  <c:v>5525</c:v>
                </c:pt>
                <c:pt idx="5">
                  <c:v>5637</c:v>
                </c:pt>
                <c:pt idx="12">
                  <c:v>3851</c:v>
                </c:pt>
                <c:pt idx="13">
                  <c:v>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6-46C0-B8AE-DC278D6D6F5B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4733</c:v>
                </c:pt>
                <c:pt idx="3">
                  <c:v>87408</c:v>
                </c:pt>
                <c:pt idx="4">
                  <c:v>5525</c:v>
                </c:pt>
                <c:pt idx="5">
                  <c:v>5637</c:v>
                </c:pt>
                <c:pt idx="6">
                  <c:v>3119</c:v>
                </c:pt>
                <c:pt idx="7">
                  <c:v>414</c:v>
                </c:pt>
                <c:pt idx="8">
                  <c:v>1282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3851</c:v>
                </c:pt>
                <c:pt idx="13">
                  <c:v>5070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6-46C0-B8AE-DC278D6D6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0.99980276134122292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C-4B97-B9F6-D23241725A4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4C-4B97-B9F6-D23241725A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0.38609796186719264</c:v>
                </c:pt>
                <c:pt idx="1">
                  <c:v>0.38609796186719264</c:v>
                </c:pt>
                <c:pt idx="2">
                  <c:v>0.38609796186719264</c:v>
                </c:pt>
                <c:pt idx="3">
                  <c:v>0.38609796186719264</c:v>
                </c:pt>
                <c:pt idx="4">
                  <c:v>0.38609796186719264</c:v>
                </c:pt>
                <c:pt idx="5">
                  <c:v>0.38609796186719264</c:v>
                </c:pt>
                <c:pt idx="6">
                  <c:v>0.38609796186719264</c:v>
                </c:pt>
                <c:pt idx="7">
                  <c:v>0.38609796186719264</c:v>
                </c:pt>
                <c:pt idx="8">
                  <c:v>0.38609796186719264</c:v>
                </c:pt>
                <c:pt idx="9">
                  <c:v>0.38609796186719264</c:v>
                </c:pt>
                <c:pt idx="10">
                  <c:v>0.38609796186719264</c:v>
                </c:pt>
                <c:pt idx="11">
                  <c:v>0.38609796186719264</c:v>
                </c:pt>
                <c:pt idx="12">
                  <c:v>0.38609796186719264</c:v>
                </c:pt>
                <c:pt idx="13">
                  <c:v>0.38609796186719264</c:v>
                </c:pt>
                <c:pt idx="14">
                  <c:v>0.38609796186719264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4C-4B97-B9F6-D23241725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4733</c:v>
                </c:pt>
                <c:pt idx="3">
                  <c:v>87408</c:v>
                </c:pt>
                <c:pt idx="4">
                  <c:v>5525</c:v>
                </c:pt>
                <c:pt idx="5">
                  <c:v>5637</c:v>
                </c:pt>
                <c:pt idx="12">
                  <c:v>3851</c:v>
                </c:pt>
                <c:pt idx="13">
                  <c:v>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D-4D41-9BF5-FFC04AD714AF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4733</c:v>
                </c:pt>
                <c:pt idx="3">
                  <c:v>87408</c:v>
                </c:pt>
                <c:pt idx="4">
                  <c:v>5525</c:v>
                </c:pt>
                <c:pt idx="5">
                  <c:v>5637</c:v>
                </c:pt>
                <c:pt idx="6">
                  <c:v>3119</c:v>
                </c:pt>
                <c:pt idx="7">
                  <c:v>414</c:v>
                </c:pt>
                <c:pt idx="8">
                  <c:v>1282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3851</c:v>
                </c:pt>
                <c:pt idx="13">
                  <c:v>5070</c:v>
                </c:pt>
                <c:pt idx="14">
                  <c:v>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6D-4D41-9BF5-FFC04AD71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0.99980276134122292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6-4467-A4EE-A41AB1BC9C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A6-4467-A4EE-A41AB1BC9C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0.38609796186719264</c:v>
                </c:pt>
                <c:pt idx="1">
                  <c:v>0.38609796186719264</c:v>
                </c:pt>
                <c:pt idx="2">
                  <c:v>0.38609796186719264</c:v>
                </c:pt>
                <c:pt idx="3">
                  <c:v>0.38609796186719264</c:v>
                </c:pt>
                <c:pt idx="4">
                  <c:v>0.38609796186719264</c:v>
                </c:pt>
                <c:pt idx="5">
                  <c:v>0.38609796186719264</c:v>
                </c:pt>
                <c:pt idx="6">
                  <c:v>0.38609796186719264</c:v>
                </c:pt>
                <c:pt idx="7">
                  <c:v>0.38609796186719264</c:v>
                </c:pt>
                <c:pt idx="8">
                  <c:v>0.38609796186719264</c:v>
                </c:pt>
                <c:pt idx="9">
                  <c:v>0.38609796186719264</c:v>
                </c:pt>
                <c:pt idx="10">
                  <c:v>0.38609796186719264</c:v>
                </c:pt>
                <c:pt idx="11">
                  <c:v>0.38609796186719264</c:v>
                </c:pt>
                <c:pt idx="12">
                  <c:v>0.38609796186719264</c:v>
                </c:pt>
                <c:pt idx="13">
                  <c:v>0.38609796186719264</c:v>
                </c:pt>
                <c:pt idx="14">
                  <c:v>0.38609796186719264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6-4467-A4EE-A41AB1BC9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8B5-46E7-A148-F8D2A5580A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5-46E7-A148-F8D2A558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B5-46E7-A148-F8D2A5580A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B5-46E7-A148-F8D2A558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2">
                  <c:v>4887</c:v>
                </c:pt>
                <c:pt idx="4">
                  <c:v>5760</c:v>
                </c:pt>
                <c:pt idx="5">
                  <c:v>5826</c:v>
                </c:pt>
                <c:pt idx="6">
                  <c:v>7616</c:v>
                </c:pt>
                <c:pt idx="12">
                  <c:v>5097</c:v>
                </c:pt>
                <c:pt idx="13">
                  <c:v>4266</c:v>
                </c:pt>
                <c:pt idx="14">
                  <c:v>15040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A-447F-9FEA-ECD342E9F62F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4887</c:v>
                </c:pt>
                <c:pt idx="3">
                  <c:v>87408</c:v>
                </c:pt>
                <c:pt idx="4">
                  <c:v>5760</c:v>
                </c:pt>
                <c:pt idx="5">
                  <c:v>5826</c:v>
                </c:pt>
                <c:pt idx="6">
                  <c:v>7616</c:v>
                </c:pt>
                <c:pt idx="7">
                  <c:v>414</c:v>
                </c:pt>
                <c:pt idx="8">
                  <c:v>1282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5097</c:v>
                </c:pt>
                <c:pt idx="13">
                  <c:v>4266</c:v>
                </c:pt>
                <c:pt idx="14">
                  <c:v>15040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0A-447F-9FEA-ECD342E9F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83%</c:v>
                </c:pt>
                <c:pt idx="14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8-41E5-977C-C90E1E043C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38-41E5-977C-C90E1E043C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0.4055555555555555</c:v>
                </c:pt>
                <c:pt idx="1">
                  <c:v>0.4055555555555555</c:v>
                </c:pt>
                <c:pt idx="2">
                  <c:v>0.4055555555555555</c:v>
                </c:pt>
                <c:pt idx="3">
                  <c:v>0.4055555555555555</c:v>
                </c:pt>
                <c:pt idx="4">
                  <c:v>0.4055555555555555</c:v>
                </c:pt>
                <c:pt idx="5">
                  <c:v>0.4055555555555555</c:v>
                </c:pt>
                <c:pt idx="6">
                  <c:v>0.4055555555555555</c:v>
                </c:pt>
                <c:pt idx="7">
                  <c:v>0.4055555555555555</c:v>
                </c:pt>
                <c:pt idx="8">
                  <c:v>0.4055555555555555</c:v>
                </c:pt>
                <c:pt idx="9">
                  <c:v>0.4055555555555555</c:v>
                </c:pt>
                <c:pt idx="10">
                  <c:v>0.4055555555555555</c:v>
                </c:pt>
                <c:pt idx="11">
                  <c:v>0.4055555555555555</c:v>
                </c:pt>
                <c:pt idx="12">
                  <c:v>0.4055555555555555</c:v>
                </c:pt>
                <c:pt idx="13">
                  <c:v>0.4055555555555555</c:v>
                </c:pt>
                <c:pt idx="14">
                  <c:v>0.4055555555555555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8-41E5-977C-C90E1E043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2">
                  <c:v>4887</c:v>
                </c:pt>
                <c:pt idx="4">
                  <c:v>5760</c:v>
                </c:pt>
                <c:pt idx="5">
                  <c:v>5826</c:v>
                </c:pt>
                <c:pt idx="6">
                  <c:v>7616</c:v>
                </c:pt>
                <c:pt idx="12">
                  <c:v>5097</c:v>
                </c:pt>
                <c:pt idx="13">
                  <c:v>4266</c:v>
                </c:pt>
                <c:pt idx="14">
                  <c:v>15040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D-447E-B289-1726B04E1C52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4887</c:v>
                </c:pt>
                <c:pt idx="3">
                  <c:v>87408</c:v>
                </c:pt>
                <c:pt idx="4">
                  <c:v>5760</c:v>
                </c:pt>
                <c:pt idx="5">
                  <c:v>5826</c:v>
                </c:pt>
                <c:pt idx="6">
                  <c:v>7616</c:v>
                </c:pt>
                <c:pt idx="7">
                  <c:v>414</c:v>
                </c:pt>
                <c:pt idx="8">
                  <c:v>1282</c:v>
                </c:pt>
                <c:pt idx="9">
                  <c:v>2505</c:v>
                </c:pt>
                <c:pt idx="10">
                  <c:v>810</c:v>
                </c:pt>
                <c:pt idx="11">
                  <c:v>2520</c:v>
                </c:pt>
                <c:pt idx="12">
                  <c:v>5097</c:v>
                </c:pt>
                <c:pt idx="13">
                  <c:v>4266</c:v>
                </c:pt>
                <c:pt idx="14">
                  <c:v>15040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D-447E-B289-1726B04E1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83%</c:v>
                </c:pt>
                <c:pt idx="14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D-4C28-B1A1-323D27B6689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5D-4C28-B1A1-323D27B668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BODY</c:v>
                </c:pt>
                <c:pt idx="3">
                  <c:v>SHAFT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ADAPTER</c:v>
                </c:pt>
                <c:pt idx="9">
                  <c:v>SLIDER</c:v>
                </c:pt>
                <c:pt idx="10">
                  <c:v>STOPPER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0.4055555555555555</c:v>
                </c:pt>
                <c:pt idx="1">
                  <c:v>0.4055555555555555</c:v>
                </c:pt>
                <c:pt idx="2">
                  <c:v>0.4055555555555555</c:v>
                </c:pt>
                <c:pt idx="3">
                  <c:v>0.4055555555555555</c:v>
                </c:pt>
                <c:pt idx="4">
                  <c:v>0.4055555555555555</c:v>
                </c:pt>
                <c:pt idx="5">
                  <c:v>0.4055555555555555</c:v>
                </c:pt>
                <c:pt idx="6">
                  <c:v>0.4055555555555555</c:v>
                </c:pt>
                <c:pt idx="7">
                  <c:v>0.4055555555555555</c:v>
                </c:pt>
                <c:pt idx="8">
                  <c:v>0.4055555555555555</c:v>
                </c:pt>
                <c:pt idx="9">
                  <c:v>0.4055555555555555</c:v>
                </c:pt>
                <c:pt idx="10">
                  <c:v>0.4055555555555555</c:v>
                </c:pt>
                <c:pt idx="11">
                  <c:v>0.4055555555555555</c:v>
                </c:pt>
                <c:pt idx="12">
                  <c:v>0.4055555555555555</c:v>
                </c:pt>
                <c:pt idx="13">
                  <c:v>0.4055555555555555</c:v>
                </c:pt>
                <c:pt idx="14">
                  <c:v>0.4055555555555555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5D-4C28-B1A1-323D27B66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309-410F-8E95-3E1AE328DF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9-410F-8E95-3E1AE328D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309-410F-8E95-3E1AE328DF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09-410F-8E95-3E1AE328D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2">
                  <c:v>5214</c:v>
                </c:pt>
                <c:pt idx="3">
                  <c:v>998</c:v>
                </c:pt>
                <c:pt idx="4">
                  <c:v>589</c:v>
                </c:pt>
                <c:pt idx="5">
                  <c:v>960</c:v>
                </c:pt>
                <c:pt idx="6">
                  <c:v>4579</c:v>
                </c:pt>
                <c:pt idx="7">
                  <c:v>5854</c:v>
                </c:pt>
                <c:pt idx="8">
                  <c:v>8336</c:v>
                </c:pt>
                <c:pt idx="9">
                  <c:v>3302</c:v>
                </c:pt>
                <c:pt idx="10">
                  <c:v>158</c:v>
                </c:pt>
                <c:pt idx="12">
                  <c:v>430</c:v>
                </c:pt>
                <c:pt idx="13">
                  <c:v>5530</c:v>
                </c:pt>
                <c:pt idx="14">
                  <c:v>5270</c:v>
                </c:pt>
                <c:pt idx="15">
                  <c:v>5337</c:v>
                </c:pt>
                <c:pt idx="16">
                  <c:v>44972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8-4B7D-B0D9-09EFE16CB8DF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5214</c:v>
                </c:pt>
                <c:pt idx="3">
                  <c:v>998</c:v>
                </c:pt>
                <c:pt idx="4">
                  <c:v>589</c:v>
                </c:pt>
                <c:pt idx="5">
                  <c:v>960</c:v>
                </c:pt>
                <c:pt idx="6">
                  <c:v>4580</c:v>
                </c:pt>
                <c:pt idx="7">
                  <c:v>5860</c:v>
                </c:pt>
                <c:pt idx="8">
                  <c:v>8336</c:v>
                </c:pt>
                <c:pt idx="9">
                  <c:v>3302</c:v>
                </c:pt>
                <c:pt idx="10">
                  <c:v>158</c:v>
                </c:pt>
                <c:pt idx="11">
                  <c:v>2505</c:v>
                </c:pt>
                <c:pt idx="12">
                  <c:v>430</c:v>
                </c:pt>
                <c:pt idx="13">
                  <c:v>5530</c:v>
                </c:pt>
                <c:pt idx="14">
                  <c:v>5270</c:v>
                </c:pt>
                <c:pt idx="15">
                  <c:v>5337</c:v>
                </c:pt>
                <c:pt idx="16">
                  <c:v>44972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8-4B7D-B0D9-09EFE16CB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25%</c:v>
                </c:pt>
                <c:pt idx="5">
                  <c:v>21%</c:v>
                </c:pt>
                <c:pt idx="6">
                  <c:v>75%</c:v>
                </c:pt>
                <c:pt idx="7">
                  <c:v>100%</c:v>
                </c:pt>
                <c:pt idx="8">
                  <c:v>100%</c:v>
                </c:pt>
                <c:pt idx="9">
                  <c:v>79%</c:v>
                </c:pt>
                <c:pt idx="10">
                  <c:v>17%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0.25</c:v>
                </c:pt>
                <c:pt idx="5">
                  <c:v>0.20833333333333334</c:v>
                </c:pt>
                <c:pt idx="6">
                  <c:v>0.74983624454148468</c:v>
                </c:pt>
                <c:pt idx="7">
                  <c:v>0.99897610921501712</c:v>
                </c:pt>
                <c:pt idx="8">
                  <c:v>1</c:v>
                </c:pt>
                <c:pt idx="9">
                  <c:v>0.79166666666666663</c:v>
                </c:pt>
                <c:pt idx="10">
                  <c:v>0.16666666666666666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1-474F-BEEE-BCF208273E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81-474F-BEEE-BCF208273E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0.6054763791393224</c:v>
                </c:pt>
                <c:pt idx="1">
                  <c:v>0.6054763791393224</c:v>
                </c:pt>
                <c:pt idx="2">
                  <c:v>0.6054763791393224</c:v>
                </c:pt>
                <c:pt idx="3">
                  <c:v>0.6054763791393224</c:v>
                </c:pt>
                <c:pt idx="4">
                  <c:v>0.6054763791393224</c:v>
                </c:pt>
                <c:pt idx="5">
                  <c:v>0.6054763791393224</c:v>
                </c:pt>
                <c:pt idx="6">
                  <c:v>0.6054763791393224</c:v>
                </c:pt>
                <c:pt idx="7">
                  <c:v>0.6054763791393224</c:v>
                </c:pt>
                <c:pt idx="8">
                  <c:v>0.6054763791393224</c:v>
                </c:pt>
                <c:pt idx="9">
                  <c:v>0.6054763791393224</c:v>
                </c:pt>
                <c:pt idx="10">
                  <c:v>0.6054763791393224</c:v>
                </c:pt>
                <c:pt idx="11">
                  <c:v>0.6054763791393224</c:v>
                </c:pt>
                <c:pt idx="12">
                  <c:v>0.6054763791393224</c:v>
                </c:pt>
                <c:pt idx="13">
                  <c:v>0.6054763791393224</c:v>
                </c:pt>
                <c:pt idx="14">
                  <c:v>0.6054763791393224</c:v>
                </c:pt>
                <c:pt idx="15">
                  <c:v>0.6054763791393224</c:v>
                </c:pt>
                <c:pt idx="16">
                  <c:v>0.6054763791393224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81-474F-BEEE-BCF208273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2">
                  <c:v>5214</c:v>
                </c:pt>
                <c:pt idx="3">
                  <c:v>998</c:v>
                </c:pt>
                <c:pt idx="4">
                  <c:v>589</c:v>
                </c:pt>
                <c:pt idx="5">
                  <c:v>960</c:v>
                </c:pt>
                <c:pt idx="6">
                  <c:v>4579</c:v>
                </c:pt>
                <c:pt idx="7">
                  <c:v>5854</c:v>
                </c:pt>
                <c:pt idx="8">
                  <c:v>8336</c:v>
                </c:pt>
                <c:pt idx="9">
                  <c:v>3302</c:v>
                </c:pt>
                <c:pt idx="10">
                  <c:v>158</c:v>
                </c:pt>
                <c:pt idx="12">
                  <c:v>430</c:v>
                </c:pt>
                <c:pt idx="13">
                  <c:v>5530</c:v>
                </c:pt>
                <c:pt idx="14">
                  <c:v>5270</c:v>
                </c:pt>
                <c:pt idx="15">
                  <c:v>5337</c:v>
                </c:pt>
                <c:pt idx="16">
                  <c:v>44972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4-42EA-9C9A-D8A5B7B14B3C}"/>
            </c:ext>
          </c:extLst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5214</c:v>
                </c:pt>
                <c:pt idx="3">
                  <c:v>998</c:v>
                </c:pt>
                <c:pt idx="4">
                  <c:v>589</c:v>
                </c:pt>
                <c:pt idx="5">
                  <c:v>960</c:v>
                </c:pt>
                <c:pt idx="6">
                  <c:v>4580</c:v>
                </c:pt>
                <c:pt idx="7">
                  <c:v>5860</c:v>
                </c:pt>
                <c:pt idx="8">
                  <c:v>8336</c:v>
                </c:pt>
                <c:pt idx="9">
                  <c:v>3302</c:v>
                </c:pt>
                <c:pt idx="10">
                  <c:v>158</c:v>
                </c:pt>
                <c:pt idx="11">
                  <c:v>2505</c:v>
                </c:pt>
                <c:pt idx="12">
                  <c:v>430</c:v>
                </c:pt>
                <c:pt idx="13">
                  <c:v>5530</c:v>
                </c:pt>
                <c:pt idx="14">
                  <c:v>5270</c:v>
                </c:pt>
                <c:pt idx="15">
                  <c:v>5337</c:v>
                </c:pt>
                <c:pt idx="16">
                  <c:v>44972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4-42EA-9C9A-D8A5B7B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25%</c:v>
                </c:pt>
                <c:pt idx="5">
                  <c:v>21%</c:v>
                </c:pt>
                <c:pt idx="6">
                  <c:v>75%</c:v>
                </c:pt>
                <c:pt idx="7">
                  <c:v>100%</c:v>
                </c:pt>
                <c:pt idx="8">
                  <c:v>100%</c:v>
                </c:pt>
                <c:pt idx="9">
                  <c:v>79%</c:v>
                </c:pt>
                <c:pt idx="10">
                  <c:v>17%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0.25</c:v>
                </c:pt>
                <c:pt idx="5">
                  <c:v>0.20833333333333334</c:v>
                </c:pt>
                <c:pt idx="6">
                  <c:v>0.74983624454148468</c:v>
                </c:pt>
                <c:pt idx="7">
                  <c:v>0.99897610921501712</c:v>
                </c:pt>
                <c:pt idx="8">
                  <c:v>1</c:v>
                </c:pt>
                <c:pt idx="9">
                  <c:v>0.79166666666666663</c:v>
                </c:pt>
                <c:pt idx="10">
                  <c:v>0.16666666666666666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F2-45BD-AD0F-AF7875A8BC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F2-45BD-AD0F-AF7875A8BC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'21'!$D$6:$D$22</c:f>
              <c:strCache>
                <c:ptCount val="16"/>
                <c:pt idx="2">
                  <c:v>BODY</c:v>
                </c:pt>
                <c:pt idx="3">
                  <c:v>LEAD GUIDE</c:v>
                </c:pt>
                <c:pt idx="4">
                  <c:v>BASE</c:v>
                </c:pt>
                <c:pt idx="5">
                  <c:v>STOPPER</c:v>
                </c:pt>
                <c:pt idx="6">
                  <c:v>STOPPER</c:v>
                </c:pt>
                <c:pt idx="7">
                  <c:v>SLIDER</c:v>
                </c:pt>
                <c:pt idx="8">
                  <c:v>BASE</c:v>
                </c:pt>
                <c:pt idx="9">
                  <c:v>ACTUATOR</c:v>
                </c:pt>
                <c:pt idx="10">
                  <c:v>ADAPTER</c:v>
                </c:pt>
                <c:pt idx="11">
                  <c:v>SLIDER</c:v>
                </c:pt>
                <c:pt idx="12">
                  <c:v>LEAD GUIDE</c:v>
                </c:pt>
                <c:pt idx="13">
                  <c:v>COVER</c:v>
                </c:pt>
                <c:pt idx="14">
                  <c:v>SLIDER</c:v>
                </c:pt>
                <c:pt idx="15">
                  <c:v>BASE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0.6054763791393224</c:v>
                </c:pt>
                <c:pt idx="1">
                  <c:v>0.6054763791393224</c:v>
                </c:pt>
                <c:pt idx="2">
                  <c:v>0.6054763791393224</c:v>
                </c:pt>
                <c:pt idx="3">
                  <c:v>0.6054763791393224</c:v>
                </c:pt>
                <c:pt idx="4">
                  <c:v>0.6054763791393224</c:v>
                </c:pt>
                <c:pt idx="5">
                  <c:v>0.6054763791393224</c:v>
                </c:pt>
                <c:pt idx="6">
                  <c:v>0.6054763791393224</c:v>
                </c:pt>
                <c:pt idx="7">
                  <c:v>0.6054763791393224</c:v>
                </c:pt>
                <c:pt idx="8">
                  <c:v>0.6054763791393224</c:v>
                </c:pt>
                <c:pt idx="9">
                  <c:v>0.6054763791393224</c:v>
                </c:pt>
                <c:pt idx="10">
                  <c:v>0.6054763791393224</c:v>
                </c:pt>
                <c:pt idx="11">
                  <c:v>0.6054763791393224</c:v>
                </c:pt>
                <c:pt idx="12">
                  <c:v>0.6054763791393224</c:v>
                </c:pt>
                <c:pt idx="13">
                  <c:v>0.6054763791393224</c:v>
                </c:pt>
                <c:pt idx="14">
                  <c:v>0.6054763791393224</c:v>
                </c:pt>
                <c:pt idx="15">
                  <c:v>0.6054763791393224</c:v>
                </c:pt>
                <c:pt idx="16">
                  <c:v>0.6054763791393224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F2-45BD-AD0F-AF7875A8B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25D-43E0-8E5C-89BB6B517E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D-43E0-8E5C-89BB6B517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5D-43E0-8E5C-89BB6B517E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5D-43E0-8E5C-89BB6B517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4226</c:v>
                </c:pt>
                <c:pt idx="4">
                  <c:v>6047</c:v>
                </c:pt>
                <c:pt idx="5">
                  <c:v>5950</c:v>
                </c:pt>
                <c:pt idx="6">
                  <c:v>2888</c:v>
                </c:pt>
                <c:pt idx="7">
                  <c:v>5734</c:v>
                </c:pt>
                <c:pt idx="9">
                  <c:v>4017</c:v>
                </c:pt>
                <c:pt idx="10">
                  <c:v>5436</c:v>
                </c:pt>
                <c:pt idx="11">
                  <c:v>6591</c:v>
                </c:pt>
                <c:pt idx="12">
                  <c:v>3442</c:v>
                </c:pt>
                <c:pt idx="13">
                  <c:v>5404</c:v>
                </c:pt>
                <c:pt idx="14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E-4666-9BEB-33DCC6DF3A22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4226</c:v>
                </c:pt>
                <c:pt idx="3">
                  <c:v>998</c:v>
                </c:pt>
                <c:pt idx="4">
                  <c:v>6050</c:v>
                </c:pt>
                <c:pt idx="5">
                  <c:v>5950</c:v>
                </c:pt>
                <c:pt idx="6">
                  <c:v>2888</c:v>
                </c:pt>
                <c:pt idx="7">
                  <c:v>5734</c:v>
                </c:pt>
                <c:pt idx="8">
                  <c:v>158</c:v>
                </c:pt>
                <c:pt idx="9">
                  <c:v>4017</c:v>
                </c:pt>
                <c:pt idx="10">
                  <c:v>5436</c:v>
                </c:pt>
                <c:pt idx="11">
                  <c:v>6591</c:v>
                </c:pt>
                <c:pt idx="12">
                  <c:v>3442</c:v>
                </c:pt>
                <c:pt idx="13">
                  <c:v>5404</c:v>
                </c:pt>
                <c:pt idx="14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E-4666-9BEB-33DCC6DF3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25%</c:v>
                </c:pt>
                <c:pt idx="7">
                  <c:v>100%</c:v>
                </c:pt>
                <c:pt idx="8">
                  <c:v>0%</c:v>
                </c:pt>
                <c:pt idx="9">
                  <c:v>79%</c:v>
                </c:pt>
                <c:pt idx="10">
                  <c:v>100%</c:v>
                </c:pt>
                <c:pt idx="11">
                  <c:v>100%</c:v>
                </c:pt>
                <c:pt idx="12">
                  <c:v>75%</c:v>
                </c:pt>
                <c:pt idx="13">
                  <c:v>100%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</c:v>
                </c:pt>
                <c:pt idx="4">
                  <c:v>0.999504132231405</c:v>
                </c:pt>
                <c:pt idx="5">
                  <c:v>1</c:v>
                </c:pt>
                <c:pt idx="6">
                  <c:v>0.25</c:v>
                </c:pt>
                <c:pt idx="7">
                  <c:v>1</c:v>
                </c:pt>
                <c:pt idx="8">
                  <c:v>0</c:v>
                </c:pt>
                <c:pt idx="9">
                  <c:v>0.79166666666666663</c:v>
                </c:pt>
                <c:pt idx="10">
                  <c:v>1</c:v>
                </c:pt>
                <c:pt idx="11">
                  <c:v>1</c:v>
                </c:pt>
                <c:pt idx="12">
                  <c:v>0.75</c:v>
                </c:pt>
                <c:pt idx="13">
                  <c:v>1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77-4C3D-838D-0FD97C4A9D2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77-4C3D-838D-0FD97C4A9D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0.60552249770431588</c:v>
                </c:pt>
                <c:pt idx="1">
                  <c:v>0.60552249770431588</c:v>
                </c:pt>
                <c:pt idx="2">
                  <c:v>0.60552249770431588</c:v>
                </c:pt>
                <c:pt idx="3">
                  <c:v>0.60552249770431588</c:v>
                </c:pt>
                <c:pt idx="4">
                  <c:v>0.60552249770431588</c:v>
                </c:pt>
                <c:pt idx="5">
                  <c:v>0.60552249770431588</c:v>
                </c:pt>
                <c:pt idx="6">
                  <c:v>0.60552249770431588</c:v>
                </c:pt>
                <c:pt idx="7">
                  <c:v>0.60552249770431588</c:v>
                </c:pt>
                <c:pt idx="8">
                  <c:v>0.60552249770431588</c:v>
                </c:pt>
                <c:pt idx="9">
                  <c:v>0.60552249770431588</c:v>
                </c:pt>
                <c:pt idx="10">
                  <c:v>0.60552249770431588</c:v>
                </c:pt>
                <c:pt idx="11">
                  <c:v>0.60552249770431588</c:v>
                </c:pt>
                <c:pt idx="12">
                  <c:v>0.60552249770431588</c:v>
                </c:pt>
                <c:pt idx="13">
                  <c:v>0.60552249770431588</c:v>
                </c:pt>
                <c:pt idx="14">
                  <c:v>0.60552249770431588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77-4C3D-838D-0FD97C4A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2">
                  <c:v>4226</c:v>
                </c:pt>
                <c:pt idx="4">
                  <c:v>6047</c:v>
                </c:pt>
                <c:pt idx="5">
                  <c:v>5950</c:v>
                </c:pt>
                <c:pt idx="6">
                  <c:v>2888</c:v>
                </c:pt>
                <c:pt idx="7">
                  <c:v>5734</c:v>
                </c:pt>
                <c:pt idx="9">
                  <c:v>4017</c:v>
                </c:pt>
                <c:pt idx="10">
                  <c:v>5436</c:v>
                </c:pt>
                <c:pt idx="11">
                  <c:v>6591</c:v>
                </c:pt>
                <c:pt idx="12">
                  <c:v>3442</c:v>
                </c:pt>
                <c:pt idx="13">
                  <c:v>5404</c:v>
                </c:pt>
                <c:pt idx="14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7-45E3-B41C-D6BC990B1A91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4226</c:v>
                </c:pt>
                <c:pt idx="3">
                  <c:v>998</c:v>
                </c:pt>
                <c:pt idx="4">
                  <c:v>6050</c:v>
                </c:pt>
                <c:pt idx="5">
                  <c:v>5950</c:v>
                </c:pt>
                <c:pt idx="6">
                  <c:v>2888</c:v>
                </c:pt>
                <c:pt idx="7">
                  <c:v>5734</c:v>
                </c:pt>
                <c:pt idx="8">
                  <c:v>158</c:v>
                </c:pt>
                <c:pt idx="9">
                  <c:v>4017</c:v>
                </c:pt>
                <c:pt idx="10">
                  <c:v>5436</c:v>
                </c:pt>
                <c:pt idx="11">
                  <c:v>6591</c:v>
                </c:pt>
                <c:pt idx="12">
                  <c:v>3442</c:v>
                </c:pt>
                <c:pt idx="13">
                  <c:v>5404</c:v>
                </c:pt>
                <c:pt idx="14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7-45E3-B41C-D6BC990B1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25%</c:v>
                </c:pt>
                <c:pt idx="7">
                  <c:v>100%</c:v>
                </c:pt>
                <c:pt idx="8">
                  <c:v>0%</c:v>
                </c:pt>
                <c:pt idx="9">
                  <c:v>79%</c:v>
                </c:pt>
                <c:pt idx="10">
                  <c:v>100%</c:v>
                </c:pt>
                <c:pt idx="11">
                  <c:v>100%</c:v>
                </c:pt>
                <c:pt idx="12">
                  <c:v>75%</c:v>
                </c:pt>
                <c:pt idx="13">
                  <c:v>100%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</c:v>
                </c:pt>
                <c:pt idx="4">
                  <c:v>0.999504132231405</c:v>
                </c:pt>
                <c:pt idx="5">
                  <c:v>1</c:v>
                </c:pt>
                <c:pt idx="6">
                  <c:v>0.25</c:v>
                </c:pt>
                <c:pt idx="7">
                  <c:v>1</c:v>
                </c:pt>
                <c:pt idx="8">
                  <c:v>0</c:v>
                </c:pt>
                <c:pt idx="9">
                  <c:v>0.79166666666666663</c:v>
                </c:pt>
                <c:pt idx="10">
                  <c:v>1</c:v>
                </c:pt>
                <c:pt idx="11">
                  <c:v>1</c:v>
                </c:pt>
                <c:pt idx="12">
                  <c:v>0.75</c:v>
                </c:pt>
                <c:pt idx="13">
                  <c:v>1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6-4686-A491-6EBB44F388F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06-4686-A491-6EBB44F388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ACTUATOR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0.60552249770431588</c:v>
                </c:pt>
                <c:pt idx="1">
                  <c:v>0.60552249770431588</c:v>
                </c:pt>
                <c:pt idx="2">
                  <c:v>0.60552249770431588</c:v>
                </c:pt>
                <c:pt idx="3">
                  <c:v>0.60552249770431588</c:v>
                </c:pt>
                <c:pt idx="4">
                  <c:v>0.60552249770431588</c:v>
                </c:pt>
                <c:pt idx="5">
                  <c:v>0.60552249770431588</c:v>
                </c:pt>
                <c:pt idx="6">
                  <c:v>0.60552249770431588</c:v>
                </c:pt>
                <c:pt idx="7">
                  <c:v>0.60552249770431588</c:v>
                </c:pt>
                <c:pt idx="8">
                  <c:v>0.60552249770431588</c:v>
                </c:pt>
                <c:pt idx="9">
                  <c:v>0.60552249770431588</c:v>
                </c:pt>
                <c:pt idx="10">
                  <c:v>0.60552249770431588</c:v>
                </c:pt>
                <c:pt idx="11">
                  <c:v>0.60552249770431588</c:v>
                </c:pt>
                <c:pt idx="12">
                  <c:v>0.60552249770431588</c:v>
                </c:pt>
                <c:pt idx="13">
                  <c:v>0.60552249770431588</c:v>
                </c:pt>
                <c:pt idx="14">
                  <c:v>0.60552249770431588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6-4686-A491-6EBB44F38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040-4AE0-878B-9345DF002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40-4AE0-878B-9345DF002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40-4AE0-878B-9345DF002C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40-4AE0-878B-9345DF002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2">
                  <c:v>6836</c:v>
                </c:pt>
                <c:pt idx="3">
                  <c:v>4472</c:v>
                </c:pt>
                <c:pt idx="4">
                  <c:v>6324</c:v>
                </c:pt>
                <c:pt idx="5">
                  <c:v>5806</c:v>
                </c:pt>
                <c:pt idx="6">
                  <c:v>2289</c:v>
                </c:pt>
                <c:pt idx="7">
                  <c:v>1410</c:v>
                </c:pt>
                <c:pt idx="9">
                  <c:v>6169</c:v>
                </c:pt>
                <c:pt idx="10">
                  <c:v>2998</c:v>
                </c:pt>
                <c:pt idx="11">
                  <c:v>6555</c:v>
                </c:pt>
                <c:pt idx="12">
                  <c:v>4857</c:v>
                </c:pt>
                <c:pt idx="13">
                  <c:v>10540</c:v>
                </c:pt>
                <c:pt idx="14">
                  <c:v>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3-40D0-8D00-67B02BE633FB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6836</c:v>
                </c:pt>
                <c:pt idx="3">
                  <c:v>4472</c:v>
                </c:pt>
                <c:pt idx="4">
                  <c:v>6324</c:v>
                </c:pt>
                <c:pt idx="5">
                  <c:v>5806</c:v>
                </c:pt>
                <c:pt idx="6">
                  <c:v>2289</c:v>
                </c:pt>
                <c:pt idx="7">
                  <c:v>1410</c:v>
                </c:pt>
                <c:pt idx="8">
                  <c:v>158</c:v>
                </c:pt>
                <c:pt idx="9">
                  <c:v>6170</c:v>
                </c:pt>
                <c:pt idx="10">
                  <c:v>3000</c:v>
                </c:pt>
                <c:pt idx="11">
                  <c:v>6555</c:v>
                </c:pt>
                <c:pt idx="12">
                  <c:v>4857</c:v>
                </c:pt>
                <c:pt idx="13">
                  <c:v>10540</c:v>
                </c:pt>
                <c:pt idx="14">
                  <c:v>3400</c:v>
                </c:pt>
                <c:pt idx="15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3-40D0-8D00-67B02BE63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100%</c:v>
                </c:pt>
                <c:pt idx="6">
                  <c:v>58%</c:v>
                </c:pt>
                <c:pt idx="7">
                  <c:v>58%</c:v>
                </c:pt>
                <c:pt idx="8">
                  <c:v>0%</c:v>
                </c:pt>
                <c:pt idx="9">
                  <c:v>100%</c:v>
                </c:pt>
                <c:pt idx="10">
                  <c:v>54%</c:v>
                </c:pt>
                <c:pt idx="11">
                  <c:v>100%</c:v>
                </c:pt>
                <c:pt idx="12">
                  <c:v>92%</c:v>
                </c:pt>
                <c:pt idx="13">
                  <c:v>67%</c:v>
                </c:pt>
                <c:pt idx="14">
                  <c:v>29%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1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</c:v>
                </c:pt>
                <c:pt idx="9">
                  <c:v>0.99983792544570504</c:v>
                </c:pt>
                <c:pt idx="10">
                  <c:v>0.54130555555555548</c:v>
                </c:pt>
                <c:pt idx="11">
                  <c:v>1</c:v>
                </c:pt>
                <c:pt idx="12">
                  <c:v>0.91666666666666663</c:v>
                </c:pt>
                <c:pt idx="13">
                  <c:v>0.66666666666666663</c:v>
                </c:pt>
                <c:pt idx="14">
                  <c:v>0.29149509803921569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BF-4B04-85A9-26AB31DCC0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BF-4B04-85A9-26AB31DCC0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0.63050923860269836</c:v>
                </c:pt>
                <c:pt idx="1">
                  <c:v>0.63050923860269836</c:v>
                </c:pt>
                <c:pt idx="2">
                  <c:v>0.63050923860269836</c:v>
                </c:pt>
                <c:pt idx="3">
                  <c:v>0.63050923860269836</c:v>
                </c:pt>
                <c:pt idx="4">
                  <c:v>0.63050923860269836</c:v>
                </c:pt>
                <c:pt idx="5">
                  <c:v>0.63050923860269836</c:v>
                </c:pt>
                <c:pt idx="6">
                  <c:v>0.63050923860269836</c:v>
                </c:pt>
                <c:pt idx="7">
                  <c:v>0.63050923860269836</c:v>
                </c:pt>
                <c:pt idx="8">
                  <c:v>0.63050923860269836</c:v>
                </c:pt>
                <c:pt idx="9">
                  <c:v>0.63050923860269836</c:v>
                </c:pt>
                <c:pt idx="10">
                  <c:v>0.63050923860269836</c:v>
                </c:pt>
                <c:pt idx="11">
                  <c:v>0.63050923860269836</c:v>
                </c:pt>
                <c:pt idx="12">
                  <c:v>0.63050923860269836</c:v>
                </c:pt>
                <c:pt idx="13">
                  <c:v>0.63050923860269836</c:v>
                </c:pt>
                <c:pt idx="14">
                  <c:v>0.63050923860269836</c:v>
                </c:pt>
                <c:pt idx="15">
                  <c:v>0.63050923860269836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BF-4B04-85A9-26AB31DCC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2">
                  <c:v>6836</c:v>
                </c:pt>
                <c:pt idx="3">
                  <c:v>4472</c:v>
                </c:pt>
                <c:pt idx="4">
                  <c:v>6324</c:v>
                </c:pt>
                <c:pt idx="5">
                  <c:v>5806</c:v>
                </c:pt>
                <c:pt idx="6">
                  <c:v>2289</c:v>
                </c:pt>
                <c:pt idx="7">
                  <c:v>1410</c:v>
                </c:pt>
                <c:pt idx="9">
                  <c:v>6169</c:v>
                </c:pt>
                <c:pt idx="10">
                  <c:v>2998</c:v>
                </c:pt>
                <c:pt idx="11">
                  <c:v>6555</c:v>
                </c:pt>
                <c:pt idx="12">
                  <c:v>4857</c:v>
                </c:pt>
                <c:pt idx="13">
                  <c:v>10540</c:v>
                </c:pt>
                <c:pt idx="14">
                  <c:v>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6-4C94-805D-1A3A91E6E5F9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6836</c:v>
                </c:pt>
                <c:pt idx="3">
                  <c:v>4472</c:v>
                </c:pt>
                <c:pt idx="4">
                  <c:v>6324</c:v>
                </c:pt>
                <c:pt idx="5">
                  <c:v>5806</c:v>
                </c:pt>
                <c:pt idx="6">
                  <c:v>2289</c:v>
                </c:pt>
                <c:pt idx="7">
                  <c:v>1410</c:v>
                </c:pt>
                <c:pt idx="8">
                  <c:v>158</c:v>
                </c:pt>
                <c:pt idx="9">
                  <c:v>6170</c:v>
                </c:pt>
                <c:pt idx="10">
                  <c:v>3000</c:v>
                </c:pt>
                <c:pt idx="11">
                  <c:v>6555</c:v>
                </c:pt>
                <c:pt idx="12">
                  <c:v>4857</c:v>
                </c:pt>
                <c:pt idx="13">
                  <c:v>10540</c:v>
                </c:pt>
                <c:pt idx="14">
                  <c:v>3400</c:v>
                </c:pt>
                <c:pt idx="15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6-4C94-805D-1A3A91E6E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100%</c:v>
                </c:pt>
                <c:pt idx="6">
                  <c:v>58%</c:v>
                </c:pt>
                <c:pt idx="7">
                  <c:v>58%</c:v>
                </c:pt>
                <c:pt idx="8">
                  <c:v>0%</c:v>
                </c:pt>
                <c:pt idx="9">
                  <c:v>100%</c:v>
                </c:pt>
                <c:pt idx="10">
                  <c:v>54%</c:v>
                </c:pt>
                <c:pt idx="11">
                  <c:v>100%</c:v>
                </c:pt>
                <c:pt idx="12">
                  <c:v>92%</c:v>
                </c:pt>
                <c:pt idx="13">
                  <c:v>67%</c:v>
                </c:pt>
                <c:pt idx="14">
                  <c:v>29%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1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</c:v>
                </c:pt>
                <c:pt idx="9">
                  <c:v>0.99983792544570504</c:v>
                </c:pt>
                <c:pt idx="10">
                  <c:v>0.54130555555555548</c:v>
                </c:pt>
                <c:pt idx="11">
                  <c:v>1</c:v>
                </c:pt>
                <c:pt idx="12">
                  <c:v>0.91666666666666663</c:v>
                </c:pt>
                <c:pt idx="13">
                  <c:v>0.66666666666666663</c:v>
                </c:pt>
                <c:pt idx="14">
                  <c:v>0.29149509803921569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D7-4BF9-9105-37CDC4FE8B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D7-4BF9-9105-37CDC4FE8B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HINGE</c:v>
                </c:pt>
                <c:pt idx="7">
                  <c:v>G3BASE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LATCH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0.63050923860269836</c:v>
                </c:pt>
                <c:pt idx="1">
                  <c:v>0.63050923860269836</c:v>
                </c:pt>
                <c:pt idx="2">
                  <c:v>0.63050923860269836</c:v>
                </c:pt>
                <c:pt idx="3">
                  <c:v>0.63050923860269836</c:v>
                </c:pt>
                <c:pt idx="4">
                  <c:v>0.63050923860269836</c:v>
                </c:pt>
                <c:pt idx="5">
                  <c:v>0.63050923860269836</c:v>
                </c:pt>
                <c:pt idx="6">
                  <c:v>0.63050923860269836</c:v>
                </c:pt>
                <c:pt idx="7">
                  <c:v>0.63050923860269836</c:v>
                </c:pt>
                <c:pt idx="8">
                  <c:v>0.63050923860269836</c:v>
                </c:pt>
                <c:pt idx="9">
                  <c:v>0.63050923860269836</c:v>
                </c:pt>
                <c:pt idx="10">
                  <c:v>0.63050923860269836</c:v>
                </c:pt>
                <c:pt idx="11">
                  <c:v>0.63050923860269836</c:v>
                </c:pt>
                <c:pt idx="12">
                  <c:v>0.63050923860269836</c:v>
                </c:pt>
                <c:pt idx="13">
                  <c:v>0.63050923860269836</c:v>
                </c:pt>
                <c:pt idx="14">
                  <c:v>0.63050923860269836</c:v>
                </c:pt>
                <c:pt idx="15">
                  <c:v>0.63050923860269836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D7-4BF9-9105-37CDC4FE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E69-43FE-9A11-913E6E12A0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9-43FE-9A11-913E6E12A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69-43FE-9A11-913E6E12A0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69-43FE-9A11-913E6E12A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2">
                  <c:v>7688</c:v>
                </c:pt>
                <c:pt idx="3">
                  <c:v>1083</c:v>
                </c:pt>
                <c:pt idx="4">
                  <c:v>2849</c:v>
                </c:pt>
                <c:pt idx="5">
                  <c:v>6911</c:v>
                </c:pt>
                <c:pt idx="6">
                  <c:v>1603</c:v>
                </c:pt>
                <c:pt idx="7">
                  <c:v>4555</c:v>
                </c:pt>
                <c:pt idx="10">
                  <c:v>6186</c:v>
                </c:pt>
                <c:pt idx="12">
                  <c:v>7009</c:v>
                </c:pt>
                <c:pt idx="13">
                  <c:v>6103</c:v>
                </c:pt>
                <c:pt idx="14">
                  <c:v>9394</c:v>
                </c:pt>
                <c:pt idx="15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9-4C29-9BBA-17C5F1EEB029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7688</c:v>
                </c:pt>
                <c:pt idx="3">
                  <c:v>1083</c:v>
                </c:pt>
                <c:pt idx="4">
                  <c:v>2849</c:v>
                </c:pt>
                <c:pt idx="5">
                  <c:v>6911</c:v>
                </c:pt>
                <c:pt idx="6">
                  <c:v>1603</c:v>
                </c:pt>
                <c:pt idx="7">
                  <c:v>4555</c:v>
                </c:pt>
                <c:pt idx="8">
                  <c:v>1410</c:v>
                </c:pt>
                <c:pt idx="9">
                  <c:v>158</c:v>
                </c:pt>
                <c:pt idx="10">
                  <c:v>6190</c:v>
                </c:pt>
                <c:pt idx="11">
                  <c:v>3000</c:v>
                </c:pt>
                <c:pt idx="12">
                  <c:v>7009</c:v>
                </c:pt>
                <c:pt idx="13">
                  <c:v>6103</c:v>
                </c:pt>
                <c:pt idx="14">
                  <c:v>9394</c:v>
                </c:pt>
                <c:pt idx="15">
                  <c:v>748</c:v>
                </c:pt>
                <c:pt idx="16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9-4C29-9BBA-17C5F1EEB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67%</c:v>
                </c:pt>
                <c:pt idx="5">
                  <c:v>100%</c:v>
                </c:pt>
                <c:pt idx="6">
                  <c:v>38%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79%</c:v>
                </c:pt>
                <c:pt idx="15">
                  <c:v>17%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0.66666666666666663</c:v>
                </c:pt>
                <c:pt idx="5">
                  <c:v>1</c:v>
                </c:pt>
                <c:pt idx="6">
                  <c:v>0.375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0.9993537964458804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0.16666666666666666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7-4480-BCED-582D6434B09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C7-4480-BCED-582D6434B0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0.54440136420750318</c:v>
                </c:pt>
                <c:pt idx="1">
                  <c:v>0.54440136420750318</c:v>
                </c:pt>
                <c:pt idx="2">
                  <c:v>0.54440136420750318</c:v>
                </c:pt>
                <c:pt idx="3">
                  <c:v>0.54440136420750318</c:v>
                </c:pt>
                <c:pt idx="4">
                  <c:v>0.54440136420750318</c:v>
                </c:pt>
                <c:pt idx="5">
                  <c:v>0.54440136420750318</c:v>
                </c:pt>
                <c:pt idx="6">
                  <c:v>0.54440136420750318</c:v>
                </c:pt>
                <c:pt idx="7">
                  <c:v>0.54440136420750318</c:v>
                </c:pt>
                <c:pt idx="8">
                  <c:v>0.54440136420750318</c:v>
                </c:pt>
                <c:pt idx="9">
                  <c:v>0.54440136420750318</c:v>
                </c:pt>
                <c:pt idx="10">
                  <c:v>0.54440136420750318</c:v>
                </c:pt>
                <c:pt idx="11">
                  <c:v>0.54440136420750318</c:v>
                </c:pt>
                <c:pt idx="12">
                  <c:v>0.54440136420750318</c:v>
                </c:pt>
                <c:pt idx="13">
                  <c:v>0.54440136420750318</c:v>
                </c:pt>
                <c:pt idx="14">
                  <c:v>0.54440136420750318</c:v>
                </c:pt>
                <c:pt idx="15">
                  <c:v>0.54440136420750318</c:v>
                </c:pt>
                <c:pt idx="16">
                  <c:v>0.54440136420750318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C7-4480-BCED-582D6434B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2">
                  <c:v>7688</c:v>
                </c:pt>
                <c:pt idx="3">
                  <c:v>1083</c:v>
                </c:pt>
                <c:pt idx="4">
                  <c:v>2849</c:v>
                </c:pt>
                <c:pt idx="5">
                  <c:v>6911</c:v>
                </c:pt>
                <c:pt idx="6">
                  <c:v>1603</c:v>
                </c:pt>
                <c:pt idx="7">
                  <c:v>4555</c:v>
                </c:pt>
                <c:pt idx="10">
                  <c:v>6186</c:v>
                </c:pt>
                <c:pt idx="12">
                  <c:v>7009</c:v>
                </c:pt>
                <c:pt idx="13">
                  <c:v>6103</c:v>
                </c:pt>
                <c:pt idx="14">
                  <c:v>9394</c:v>
                </c:pt>
                <c:pt idx="15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4-4A46-A83E-DE30B04709F9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7688</c:v>
                </c:pt>
                <c:pt idx="3">
                  <c:v>1083</c:v>
                </c:pt>
                <c:pt idx="4">
                  <c:v>2849</c:v>
                </c:pt>
                <c:pt idx="5">
                  <c:v>6911</c:v>
                </c:pt>
                <c:pt idx="6">
                  <c:v>1603</c:v>
                </c:pt>
                <c:pt idx="7">
                  <c:v>4555</c:v>
                </c:pt>
                <c:pt idx="8">
                  <c:v>1410</c:v>
                </c:pt>
                <c:pt idx="9">
                  <c:v>158</c:v>
                </c:pt>
                <c:pt idx="10">
                  <c:v>6190</c:v>
                </c:pt>
                <c:pt idx="11">
                  <c:v>3000</c:v>
                </c:pt>
                <c:pt idx="12">
                  <c:v>7009</c:v>
                </c:pt>
                <c:pt idx="13">
                  <c:v>6103</c:v>
                </c:pt>
                <c:pt idx="14">
                  <c:v>9394</c:v>
                </c:pt>
                <c:pt idx="15">
                  <c:v>748</c:v>
                </c:pt>
                <c:pt idx="16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4-4A46-A83E-DE30B0470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25%</c:v>
                </c:pt>
                <c:pt idx="4">
                  <c:v>67%</c:v>
                </c:pt>
                <c:pt idx="5">
                  <c:v>100%</c:v>
                </c:pt>
                <c:pt idx="6">
                  <c:v>38%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79%</c:v>
                </c:pt>
                <c:pt idx="15">
                  <c:v>17%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0.25</c:v>
                </c:pt>
                <c:pt idx="4">
                  <c:v>0.66666666666666663</c:v>
                </c:pt>
                <c:pt idx="5">
                  <c:v>1</c:v>
                </c:pt>
                <c:pt idx="6">
                  <c:v>0.375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0.9993537964458804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0.79166666666666663</c:v>
                </c:pt>
                <c:pt idx="15">
                  <c:v>0.16666666666666666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4-49B5-8F81-85114D776A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94-49B5-8F81-85114D776A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2">
                  <c:v>LEAD GUIDE</c:v>
                </c:pt>
                <c:pt idx="3">
                  <c:v>SLIDER</c:v>
                </c:pt>
                <c:pt idx="4">
                  <c:v>BASE</c:v>
                </c:pt>
                <c:pt idx="5">
                  <c:v>STOPPER</c:v>
                </c:pt>
                <c:pt idx="6">
                  <c:v>SLIDER</c:v>
                </c:pt>
                <c:pt idx="7">
                  <c:v>LEAD GUIDE</c:v>
                </c:pt>
                <c:pt idx="8">
                  <c:v>G3BASE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LATCH</c:v>
                </c:pt>
                <c:pt idx="15">
                  <c:v>COVER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0.54440136420750318</c:v>
                </c:pt>
                <c:pt idx="1">
                  <c:v>0.54440136420750318</c:v>
                </c:pt>
                <c:pt idx="2">
                  <c:v>0.54440136420750318</c:v>
                </c:pt>
                <c:pt idx="3">
                  <c:v>0.54440136420750318</c:v>
                </c:pt>
                <c:pt idx="4">
                  <c:v>0.54440136420750318</c:v>
                </c:pt>
                <c:pt idx="5">
                  <c:v>0.54440136420750318</c:v>
                </c:pt>
                <c:pt idx="6">
                  <c:v>0.54440136420750318</c:v>
                </c:pt>
                <c:pt idx="7">
                  <c:v>0.54440136420750318</c:v>
                </c:pt>
                <c:pt idx="8">
                  <c:v>0.54440136420750318</c:v>
                </c:pt>
                <c:pt idx="9">
                  <c:v>0.54440136420750318</c:v>
                </c:pt>
                <c:pt idx="10">
                  <c:v>0.54440136420750318</c:v>
                </c:pt>
                <c:pt idx="11">
                  <c:v>0.54440136420750318</c:v>
                </c:pt>
                <c:pt idx="12">
                  <c:v>0.54440136420750318</c:v>
                </c:pt>
                <c:pt idx="13">
                  <c:v>0.54440136420750318</c:v>
                </c:pt>
                <c:pt idx="14">
                  <c:v>0.54440136420750318</c:v>
                </c:pt>
                <c:pt idx="15">
                  <c:v>0.54440136420750318</c:v>
                </c:pt>
                <c:pt idx="16">
                  <c:v>0.54440136420750318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4-49B5-8F81-85114D776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264-4FC5-BA04-DF024E4137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4-4FC5-BA04-DF024E413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64-4FC5-BA04-DF024E4137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64-4FC5-BA04-DF024E413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6790</c:v>
                </c:pt>
                <c:pt idx="4">
                  <c:v>6027</c:v>
                </c:pt>
                <c:pt idx="5">
                  <c:v>11556</c:v>
                </c:pt>
                <c:pt idx="6">
                  <c:v>1271</c:v>
                </c:pt>
                <c:pt idx="7">
                  <c:v>3230</c:v>
                </c:pt>
                <c:pt idx="8">
                  <c:v>8364</c:v>
                </c:pt>
                <c:pt idx="10">
                  <c:v>3488</c:v>
                </c:pt>
                <c:pt idx="12">
                  <c:v>6234</c:v>
                </c:pt>
                <c:pt idx="13">
                  <c:v>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1-4435-9B64-9C8A3AA0D999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6790</c:v>
                </c:pt>
                <c:pt idx="3">
                  <c:v>2849</c:v>
                </c:pt>
                <c:pt idx="4">
                  <c:v>6030</c:v>
                </c:pt>
                <c:pt idx="5">
                  <c:v>11556</c:v>
                </c:pt>
                <c:pt idx="6">
                  <c:v>1271</c:v>
                </c:pt>
                <c:pt idx="7">
                  <c:v>3230</c:v>
                </c:pt>
                <c:pt idx="8">
                  <c:v>8364</c:v>
                </c:pt>
                <c:pt idx="9">
                  <c:v>158</c:v>
                </c:pt>
                <c:pt idx="10">
                  <c:v>3488</c:v>
                </c:pt>
                <c:pt idx="11">
                  <c:v>3000</c:v>
                </c:pt>
                <c:pt idx="12">
                  <c:v>6234</c:v>
                </c:pt>
                <c:pt idx="13">
                  <c:v>3605</c:v>
                </c:pt>
                <c:pt idx="14">
                  <c:v>748</c:v>
                </c:pt>
                <c:pt idx="15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E1-4435-9B64-9C8A3AA0D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92%</c:v>
                </c:pt>
                <c:pt idx="6">
                  <c:v>29%</c:v>
                </c:pt>
                <c:pt idx="7">
                  <c:v>63%</c:v>
                </c:pt>
                <c:pt idx="8">
                  <c:v>75%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100%</c:v>
                </c:pt>
                <c:pt idx="13">
                  <c:v>71%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0.99950248756218907</c:v>
                </c:pt>
                <c:pt idx="5">
                  <c:v>0.91666666666666663</c:v>
                </c:pt>
                <c:pt idx="6">
                  <c:v>0.29166666666666669</c:v>
                </c:pt>
                <c:pt idx="7">
                  <c:v>0.625</c:v>
                </c:pt>
                <c:pt idx="8">
                  <c:v>0.75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1</c:v>
                </c:pt>
                <c:pt idx="13">
                  <c:v>0.70833333333333337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D-4AD4-8B2C-2145CC74383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BD-4AD4-8B2C-2145CC7438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0.46385572139303477</c:v>
                </c:pt>
                <c:pt idx="1">
                  <c:v>0.46385572139303477</c:v>
                </c:pt>
                <c:pt idx="2">
                  <c:v>0.46385572139303477</c:v>
                </c:pt>
                <c:pt idx="3">
                  <c:v>0.46385572139303477</c:v>
                </c:pt>
                <c:pt idx="4">
                  <c:v>0.46385572139303477</c:v>
                </c:pt>
                <c:pt idx="5">
                  <c:v>0.46385572139303477</c:v>
                </c:pt>
                <c:pt idx="6">
                  <c:v>0.46385572139303477</c:v>
                </c:pt>
                <c:pt idx="7">
                  <c:v>0.46385572139303477</c:v>
                </c:pt>
                <c:pt idx="8">
                  <c:v>0.46385572139303477</c:v>
                </c:pt>
                <c:pt idx="9">
                  <c:v>0.46385572139303477</c:v>
                </c:pt>
                <c:pt idx="10">
                  <c:v>0.46385572139303477</c:v>
                </c:pt>
                <c:pt idx="11">
                  <c:v>0.46385572139303477</c:v>
                </c:pt>
                <c:pt idx="12">
                  <c:v>0.46385572139303477</c:v>
                </c:pt>
                <c:pt idx="13">
                  <c:v>0.46385572139303477</c:v>
                </c:pt>
                <c:pt idx="14">
                  <c:v>0.46385572139303477</c:v>
                </c:pt>
                <c:pt idx="15">
                  <c:v>0.46385572139303477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BD-4AD4-8B2C-2145CC743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6790</c:v>
                </c:pt>
                <c:pt idx="4">
                  <c:v>6027</c:v>
                </c:pt>
                <c:pt idx="5">
                  <c:v>11556</c:v>
                </c:pt>
                <c:pt idx="6">
                  <c:v>1271</c:v>
                </c:pt>
                <c:pt idx="7">
                  <c:v>3230</c:v>
                </c:pt>
                <c:pt idx="8">
                  <c:v>8364</c:v>
                </c:pt>
                <c:pt idx="10">
                  <c:v>3488</c:v>
                </c:pt>
                <c:pt idx="12">
                  <c:v>6234</c:v>
                </c:pt>
                <c:pt idx="13">
                  <c:v>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A0-4E36-B7A0-2150439E4306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6790</c:v>
                </c:pt>
                <c:pt idx="3">
                  <c:v>2849</c:v>
                </c:pt>
                <c:pt idx="4">
                  <c:v>6030</c:v>
                </c:pt>
                <c:pt idx="5">
                  <c:v>11556</c:v>
                </c:pt>
                <c:pt idx="6">
                  <c:v>1271</c:v>
                </c:pt>
                <c:pt idx="7">
                  <c:v>3230</c:v>
                </c:pt>
                <c:pt idx="8">
                  <c:v>8364</c:v>
                </c:pt>
                <c:pt idx="9">
                  <c:v>158</c:v>
                </c:pt>
                <c:pt idx="10">
                  <c:v>3488</c:v>
                </c:pt>
                <c:pt idx="11">
                  <c:v>3000</c:v>
                </c:pt>
                <c:pt idx="12">
                  <c:v>6234</c:v>
                </c:pt>
                <c:pt idx="13">
                  <c:v>3605</c:v>
                </c:pt>
                <c:pt idx="14">
                  <c:v>748</c:v>
                </c:pt>
                <c:pt idx="15">
                  <c:v>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0-4E36-B7A0-2150439E4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92%</c:v>
                </c:pt>
                <c:pt idx="6">
                  <c:v>29%</c:v>
                </c:pt>
                <c:pt idx="7">
                  <c:v>63%</c:v>
                </c:pt>
                <c:pt idx="8">
                  <c:v>75%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100%</c:v>
                </c:pt>
                <c:pt idx="13">
                  <c:v>71%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0.99950248756218907</c:v>
                </c:pt>
                <c:pt idx="5">
                  <c:v>0.91666666666666663</c:v>
                </c:pt>
                <c:pt idx="6">
                  <c:v>0.29166666666666669</c:v>
                </c:pt>
                <c:pt idx="7">
                  <c:v>0.625</c:v>
                </c:pt>
                <c:pt idx="8">
                  <c:v>0.75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1</c:v>
                </c:pt>
                <c:pt idx="13">
                  <c:v>0.70833333333333337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F-49A0-9F58-C4AC6CFF918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7F-49A0-9F58-C4AC6CFF91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LEAD GUIDE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0.46385572139303477</c:v>
                </c:pt>
                <c:pt idx="1">
                  <c:v>0.46385572139303477</c:v>
                </c:pt>
                <c:pt idx="2">
                  <c:v>0.46385572139303477</c:v>
                </c:pt>
                <c:pt idx="3">
                  <c:v>0.46385572139303477</c:v>
                </c:pt>
                <c:pt idx="4">
                  <c:v>0.46385572139303477</c:v>
                </c:pt>
                <c:pt idx="5">
                  <c:v>0.46385572139303477</c:v>
                </c:pt>
                <c:pt idx="6">
                  <c:v>0.46385572139303477</c:v>
                </c:pt>
                <c:pt idx="7">
                  <c:v>0.46385572139303477</c:v>
                </c:pt>
                <c:pt idx="8">
                  <c:v>0.46385572139303477</c:v>
                </c:pt>
                <c:pt idx="9">
                  <c:v>0.46385572139303477</c:v>
                </c:pt>
                <c:pt idx="10">
                  <c:v>0.46385572139303477</c:v>
                </c:pt>
                <c:pt idx="11">
                  <c:v>0.46385572139303477</c:v>
                </c:pt>
                <c:pt idx="12">
                  <c:v>0.46385572139303477</c:v>
                </c:pt>
                <c:pt idx="13">
                  <c:v>0.46385572139303477</c:v>
                </c:pt>
                <c:pt idx="14">
                  <c:v>0.46385572139303477</c:v>
                </c:pt>
                <c:pt idx="15">
                  <c:v>0.46385572139303477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7F-49A0-9F58-C4AC6CFF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D38-410E-A4C4-651E337ED2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8-410E-A4C4-651E337ED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38-410E-A4C4-651E337ED2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38-410E-A4C4-651E337ED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7670</c:v>
                </c:pt>
                <c:pt idx="3">
                  <c:v>3005</c:v>
                </c:pt>
                <c:pt idx="4">
                  <c:v>6392</c:v>
                </c:pt>
                <c:pt idx="6">
                  <c:v>3249</c:v>
                </c:pt>
                <c:pt idx="7">
                  <c:v>1794</c:v>
                </c:pt>
                <c:pt idx="8">
                  <c:v>618</c:v>
                </c:pt>
                <c:pt idx="9">
                  <c:v>6134</c:v>
                </c:pt>
                <c:pt idx="11">
                  <c:v>3454</c:v>
                </c:pt>
                <c:pt idx="12">
                  <c:v>5831</c:v>
                </c:pt>
                <c:pt idx="14">
                  <c:v>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8-4E4A-BE42-544BD398C0A4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7670</c:v>
                </c:pt>
                <c:pt idx="3">
                  <c:v>3005</c:v>
                </c:pt>
                <c:pt idx="4">
                  <c:v>6400</c:v>
                </c:pt>
                <c:pt idx="5">
                  <c:v>11556</c:v>
                </c:pt>
                <c:pt idx="6">
                  <c:v>3250</c:v>
                </c:pt>
                <c:pt idx="7">
                  <c:v>1800</c:v>
                </c:pt>
                <c:pt idx="8">
                  <c:v>618</c:v>
                </c:pt>
                <c:pt idx="9">
                  <c:v>6134</c:v>
                </c:pt>
                <c:pt idx="10">
                  <c:v>3000</c:v>
                </c:pt>
                <c:pt idx="11">
                  <c:v>3454</c:v>
                </c:pt>
                <c:pt idx="12">
                  <c:v>5831</c:v>
                </c:pt>
                <c:pt idx="13">
                  <c:v>748</c:v>
                </c:pt>
                <c:pt idx="14">
                  <c:v>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48-4E4A-BE42-544BD398C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67%</c:v>
                </c:pt>
                <c:pt idx="7">
                  <c:v>25%</c:v>
                </c:pt>
                <c:pt idx="8">
                  <c:v>17%</c:v>
                </c:pt>
                <c:pt idx="9">
                  <c:v>100%</c:v>
                </c:pt>
                <c:pt idx="10">
                  <c:v>0%</c:v>
                </c:pt>
                <c:pt idx="11">
                  <c:v>58%</c:v>
                </c:pt>
                <c:pt idx="12">
                  <c:v>100%</c:v>
                </c:pt>
                <c:pt idx="13">
                  <c:v>0%</c:v>
                </c:pt>
                <c:pt idx="14">
                  <c:v>75%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0.99875000000000003</c:v>
                </c:pt>
                <c:pt idx="5">
                  <c:v>0</c:v>
                </c:pt>
                <c:pt idx="6">
                  <c:v>0.66646153846153844</c:v>
                </c:pt>
                <c:pt idx="7">
                  <c:v>0.24916666666666668</c:v>
                </c:pt>
                <c:pt idx="8">
                  <c:v>0.16666666666666666</c:v>
                </c:pt>
                <c:pt idx="9">
                  <c:v>1</c:v>
                </c:pt>
                <c:pt idx="10">
                  <c:v>0</c:v>
                </c:pt>
                <c:pt idx="11">
                  <c:v>0.58333333333333337</c:v>
                </c:pt>
                <c:pt idx="12">
                  <c:v>1</c:v>
                </c:pt>
                <c:pt idx="13">
                  <c:v>0</c:v>
                </c:pt>
                <c:pt idx="1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0-4935-BEBA-19E7A31ED0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90-4935-BEBA-19E7A31ED0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0.4776252136752136</c:v>
                </c:pt>
                <c:pt idx="1">
                  <c:v>0.4776252136752136</c:v>
                </c:pt>
                <c:pt idx="2">
                  <c:v>0.4776252136752136</c:v>
                </c:pt>
                <c:pt idx="3">
                  <c:v>0.4776252136752136</c:v>
                </c:pt>
                <c:pt idx="4">
                  <c:v>0.4776252136752136</c:v>
                </c:pt>
                <c:pt idx="5">
                  <c:v>0.4776252136752136</c:v>
                </c:pt>
                <c:pt idx="6">
                  <c:v>0.4776252136752136</c:v>
                </c:pt>
                <c:pt idx="7">
                  <c:v>0.4776252136752136</c:v>
                </c:pt>
                <c:pt idx="8">
                  <c:v>0.4776252136752136</c:v>
                </c:pt>
                <c:pt idx="9">
                  <c:v>0.4776252136752136</c:v>
                </c:pt>
                <c:pt idx="10">
                  <c:v>0.4776252136752136</c:v>
                </c:pt>
                <c:pt idx="11">
                  <c:v>0.4776252136752136</c:v>
                </c:pt>
                <c:pt idx="12">
                  <c:v>0.4776252136752136</c:v>
                </c:pt>
                <c:pt idx="13">
                  <c:v>0.4776252136752136</c:v>
                </c:pt>
                <c:pt idx="14">
                  <c:v>0.4776252136752136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90-4935-BEBA-19E7A31ED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7670</c:v>
                </c:pt>
                <c:pt idx="3">
                  <c:v>3005</c:v>
                </c:pt>
                <c:pt idx="4">
                  <c:v>6392</c:v>
                </c:pt>
                <c:pt idx="6">
                  <c:v>3249</c:v>
                </c:pt>
                <c:pt idx="7">
                  <c:v>1794</c:v>
                </c:pt>
                <c:pt idx="8">
                  <c:v>618</c:v>
                </c:pt>
                <c:pt idx="9">
                  <c:v>6134</c:v>
                </c:pt>
                <c:pt idx="11">
                  <c:v>3454</c:v>
                </c:pt>
                <c:pt idx="12">
                  <c:v>5831</c:v>
                </c:pt>
                <c:pt idx="14">
                  <c:v>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2D-4F80-9473-0FA0F4643BE9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7670</c:v>
                </c:pt>
                <c:pt idx="3">
                  <c:v>3005</c:v>
                </c:pt>
                <c:pt idx="4">
                  <c:v>6400</c:v>
                </c:pt>
                <c:pt idx="5">
                  <c:v>11556</c:v>
                </c:pt>
                <c:pt idx="6">
                  <c:v>3250</c:v>
                </c:pt>
                <c:pt idx="7">
                  <c:v>1800</c:v>
                </c:pt>
                <c:pt idx="8">
                  <c:v>618</c:v>
                </c:pt>
                <c:pt idx="9">
                  <c:v>6134</c:v>
                </c:pt>
                <c:pt idx="10">
                  <c:v>3000</c:v>
                </c:pt>
                <c:pt idx="11">
                  <c:v>3454</c:v>
                </c:pt>
                <c:pt idx="12">
                  <c:v>5831</c:v>
                </c:pt>
                <c:pt idx="13">
                  <c:v>748</c:v>
                </c:pt>
                <c:pt idx="14">
                  <c:v>39648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2D-4F80-9473-0FA0F4643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67%</c:v>
                </c:pt>
                <c:pt idx="7">
                  <c:v>25%</c:v>
                </c:pt>
                <c:pt idx="8">
                  <c:v>17%</c:v>
                </c:pt>
                <c:pt idx="9">
                  <c:v>100%</c:v>
                </c:pt>
                <c:pt idx="10">
                  <c:v>0%</c:v>
                </c:pt>
                <c:pt idx="11">
                  <c:v>58%</c:v>
                </c:pt>
                <c:pt idx="12">
                  <c:v>100%</c:v>
                </c:pt>
                <c:pt idx="13">
                  <c:v>0%</c:v>
                </c:pt>
                <c:pt idx="14">
                  <c:v>75%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0.99875000000000003</c:v>
                </c:pt>
                <c:pt idx="5">
                  <c:v>0</c:v>
                </c:pt>
                <c:pt idx="6">
                  <c:v>0.66646153846153844</c:v>
                </c:pt>
                <c:pt idx="7">
                  <c:v>0.24916666666666668</c:v>
                </c:pt>
                <c:pt idx="8">
                  <c:v>0.16666666666666666</c:v>
                </c:pt>
                <c:pt idx="9">
                  <c:v>1</c:v>
                </c:pt>
                <c:pt idx="10">
                  <c:v>0</c:v>
                </c:pt>
                <c:pt idx="11">
                  <c:v>0.58333333333333337</c:v>
                </c:pt>
                <c:pt idx="12">
                  <c:v>1</c:v>
                </c:pt>
                <c:pt idx="13">
                  <c:v>0</c:v>
                </c:pt>
                <c:pt idx="1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D9C-A7FD-07BF06B735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74-4D9C-A7FD-07BF06B735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COVER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0.4776252136752136</c:v>
                </c:pt>
                <c:pt idx="1">
                  <c:v>0.4776252136752136</c:v>
                </c:pt>
                <c:pt idx="2">
                  <c:v>0.4776252136752136</c:v>
                </c:pt>
                <c:pt idx="3">
                  <c:v>0.4776252136752136</c:v>
                </c:pt>
                <c:pt idx="4">
                  <c:v>0.4776252136752136</c:v>
                </c:pt>
                <c:pt idx="5">
                  <c:v>0.4776252136752136</c:v>
                </c:pt>
                <c:pt idx="6">
                  <c:v>0.4776252136752136</c:v>
                </c:pt>
                <c:pt idx="7">
                  <c:v>0.4776252136752136</c:v>
                </c:pt>
                <c:pt idx="8">
                  <c:v>0.4776252136752136</c:v>
                </c:pt>
                <c:pt idx="9">
                  <c:v>0.4776252136752136</c:v>
                </c:pt>
                <c:pt idx="10">
                  <c:v>0.4776252136752136</c:v>
                </c:pt>
                <c:pt idx="11">
                  <c:v>0.4776252136752136</c:v>
                </c:pt>
                <c:pt idx="12">
                  <c:v>0.4776252136752136</c:v>
                </c:pt>
                <c:pt idx="13">
                  <c:v>0.4776252136752136</c:v>
                </c:pt>
                <c:pt idx="14">
                  <c:v>0.4776252136752136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74-4D9C-A7FD-07BF06B73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81B-453E-BEF6-2750427AE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B-453E-BEF6-2750427AE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1B-453E-BEF6-2750427AE9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1B-453E-BEF6-2750427AE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5621</c:v>
                </c:pt>
                <c:pt idx="3">
                  <c:v>3572</c:v>
                </c:pt>
                <c:pt idx="4">
                  <c:v>6482</c:v>
                </c:pt>
                <c:pt idx="6">
                  <c:v>5080</c:v>
                </c:pt>
                <c:pt idx="8">
                  <c:v>2026</c:v>
                </c:pt>
                <c:pt idx="9">
                  <c:v>4402</c:v>
                </c:pt>
                <c:pt idx="11">
                  <c:v>6385</c:v>
                </c:pt>
                <c:pt idx="12">
                  <c:v>5901</c:v>
                </c:pt>
                <c:pt idx="13">
                  <c:v>2081</c:v>
                </c:pt>
                <c:pt idx="14">
                  <c:v>30712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B-4687-A425-FED6F16E8F61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5621</c:v>
                </c:pt>
                <c:pt idx="3">
                  <c:v>3572</c:v>
                </c:pt>
                <c:pt idx="4">
                  <c:v>6400</c:v>
                </c:pt>
                <c:pt idx="5">
                  <c:v>11556</c:v>
                </c:pt>
                <c:pt idx="6">
                  <c:v>5080</c:v>
                </c:pt>
                <c:pt idx="7">
                  <c:v>1800</c:v>
                </c:pt>
                <c:pt idx="8">
                  <c:v>2026</c:v>
                </c:pt>
                <c:pt idx="9">
                  <c:v>4402</c:v>
                </c:pt>
                <c:pt idx="10">
                  <c:v>3000</c:v>
                </c:pt>
                <c:pt idx="11">
                  <c:v>6385</c:v>
                </c:pt>
                <c:pt idx="12">
                  <c:v>5901</c:v>
                </c:pt>
                <c:pt idx="13">
                  <c:v>2081</c:v>
                </c:pt>
                <c:pt idx="14">
                  <c:v>30720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B-4687-A425-FED6F16E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92%</c:v>
                </c:pt>
                <c:pt idx="4">
                  <c:v>101%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50%</c:v>
                </c:pt>
                <c:pt idx="9">
                  <c:v>67%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54%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1.0128124999999999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0.5</c:v>
                </c:pt>
                <c:pt idx="9">
                  <c:v>0.66666666666666663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0.54166666666666663</c:v>
                </c:pt>
                <c:pt idx="14">
                  <c:v>0.54152560763888891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6-4BF9-B1F7-65DC83997F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B6-4BF9-B1F7-65DC83997F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0.53973365162037035</c:v>
                </c:pt>
                <c:pt idx="1">
                  <c:v>0.53973365162037035</c:v>
                </c:pt>
                <c:pt idx="2">
                  <c:v>0.53973365162037035</c:v>
                </c:pt>
                <c:pt idx="3">
                  <c:v>0.53973365162037035</c:v>
                </c:pt>
                <c:pt idx="4">
                  <c:v>0.53973365162037035</c:v>
                </c:pt>
                <c:pt idx="5">
                  <c:v>0.53973365162037035</c:v>
                </c:pt>
                <c:pt idx="6">
                  <c:v>0.53973365162037035</c:v>
                </c:pt>
                <c:pt idx="7">
                  <c:v>0.53973365162037035</c:v>
                </c:pt>
                <c:pt idx="8">
                  <c:v>0.53973365162037035</c:v>
                </c:pt>
                <c:pt idx="9">
                  <c:v>0.53973365162037035</c:v>
                </c:pt>
                <c:pt idx="10">
                  <c:v>0.53973365162037035</c:v>
                </c:pt>
                <c:pt idx="11">
                  <c:v>0.53973365162037035</c:v>
                </c:pt>
                <c:pt idx="12">
                  <c:v>0.53973365162037035</c:v>
                </c:pt>
                <c:pt idx="13">
                  <c:v>0.53973365162037035</c:v>
                </c:pt>
                <c:pt idx="14">
                  <c:v>0.53973365162037035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6-4BF9-B1F7-65DC83997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2">
                  <c:v>5621</c:v>
                </c:pt>
                <c:pt idx="3">
                  <c:v>3572</c:v>
                </c:pt>
                <c:pt idx="4">
                  <c:v>6482</c:v>
                </c:pt>
                <c:pt idx="6">
                  <c:v>5080</c:v>
                </c:pt>
                <c:pt idx="8">
                  <c:v>2026</c:v>
                </c:pt>
                <c:pt idx="9">
                  <c:v>4402</c:v>
                </c:pt>
                <c:pt idx="11">
                  <c:v>6385</c:v>
                </c:pt>
                <c:pt idx="12">
                  <c:v>5901</c:v>
                </c:pt>
                <c:pt idx="13">
                  <c:v>2081</c:v>
                </c:pt>
                <c:pt idx="14">
                  <c:v>30712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6-44A0-8B00-98F36265DE1A}"/>
            </c:ext>
          </c:extLst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5621</c:v>
                </c:pt>
                <c:pt idx="3">
                  <c:v>3572</c:v>
                </c:pt>
                <c:pt idx="4">
                  <c:v>6400</c:v>
                </c:pt>
                <c:pt idx="5">
                  <c:v>11556</c:v>
                </c:pt>
                <c:pt idx="6">
                  <c:v>5080</c:v>
                </c:pt>
                <c:pt idx="7">
                  <c:v>1800</c:v>
                </c:pt>
                <c:pt idx="8">
                  <c:v>2026</c:v>
                </c:pt>
                <c:pt idx="9">
                  <c:v>4402</c:v>
                </c:pt>
                <c:pt idx="10">
                  <c:v>3000</c:v>
                </c:pt>
                <c:pt idx="11">
                  <c:v>6385</c:v>
                </c:pt>
                <c:pt idx="12">
                  <c:v>5901</c:v>
                </c:pt>
                <c:pt idx="13">
                  <c:v>2081</c:v>
                </c:pt>
                <c:pt idx="14">
                  <c:v>30720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6-44A0-8B00-98F36265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92%</c:v>
                </c:pt>
                <c:pt idx="4">
                  <c:v>101%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50%</c:v>
                </c:pt>
                <c:pt idx="9">
                  <c:v>67%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54%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1.0128124999999999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0.5</c:v>
                </c:pt>
                <c:pt idx="9">
                  <c:v>0.66666666666666663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0.54166666666666663</c:v>
                </c:pt>
                <c:pt idx="14">
                  <c:v>0.54152560763888891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6-4B49-990D-CA8D4A56023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D6-4B49-990D-CA8D4A5602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TOP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0.53973365162037035</c:v>
                </c:pt>
                <c:pt idx="1">
                  <c:v>0.53973365162037035</c:v>
                </c:pt>
                <c:pt idx="2">
                  <c:v>0.53973365162037035</c:v>
                </c:pt>
                <c:pt idx="3">
                  <c:v>0.53973365162037035</c:v>
                </c:pt>
                <c:pt idx="4">
                  <c:v>0.53973365162037035</c:v>
                </c:pt>
                <c:pt idx="5">
                  <c:v>0.53973365162037035</c:v>
                </c:pt>
                <c:pt idx="6">
                  <c:v>0.53973365162037035</c:v>
                </c:pt>
                <c:pt idx="7">
                  <c:v>0.53973365162037035</c:v>
                </c:pt>
                <c:pt idx="8">
                  <c:v>0.53973365162037035</c:v>
                </c:pt>
                <c:pt idx="9">
                  <c:v>0.53973365162037035</c:v>
                </c:pt>
                <c:pt idx="10">
                  <c:v>0.53973365162037035</c:v>
                </c:pt>
                <c:pt idx="11">
                  <c:v>0.53973365162037035</c:v>
                </c:pt>
                <c:pt idx="12">
                  <c:v>0.53973365162037035</c:v>
                </c:pt>
                <c:pt idx="13">
                  <c:v>0.53973365162037035</c:v>
                </c:pt>
                <c:pt idx="14">
                  <c:v>0.53973365162037035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6-4B49-990D-CA8D4A560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D9A-43C1-9F79-A952D803E4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9A-43C1-9F79-A952D803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9A-43C1-9F79-A952D803E4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9A-43C1-9F79-A952D803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7015</c:v>
                </c:pt>
                <c:pt idx="3">
                  <c:v>412</c:v>
                </c:pt>
                <c:pt idx="4">
                  <c:v>6359</c:v>
                </c:pt>
                <c:pt idx="6">
                  <c:v>969</c:v>
                </c:pt>
                <c:pt idx="7">
                  <c:v>3818</c:v>
                </c:pt>
                <c:pt idx="9">
                  <c:v>2841</c:v>
                </c:pt>
                <c:pt idx="11">
                  <c:v>6995</c:v>
                </c:pt>
                <c:pt idx="12">
                  <c:v>4875</c:v>
                </c:pt>
                <c:pt idx="13">
                  <c:v>2084</c:v>
                </c:pt>
                <c:pt idx="14">
                  <c:v>45256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8-4FE4-A316-DA4ED7358583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7015</c:v>
                </c:pt>
                <c:pt idx="3">
                  <c:v>412</c:v>
                </c:pt>
                <c:pt idx="4">
                  <c:v>6360</c:v>
                </c:pt>
                <c:pt idx="5">
                  <c:v>11556</c:v>
                </c:pt>
                <c:pt idx="6">
                  <c:v>970</c:v>
                </c:pt>
                <c:pt idx="7">
                  <c:v>3818</c:v>
                </c:pt>
                <c:pt idx="8">
                  <c:v>2026</c:v>
                </c:pt>
                <c:pt idx="9">
                  <c:v>2841</c:v>
                </c:pt>
                <c:pt idx="10">
                  <c:v>3000</c:v>
                </c:pt>
                <c:pt idx="11">
                  <c:v>7000</c:v>
                </c:pt>
                <c:pt idx="12">
                  <c:v>4875</c:v>
                </c:pt>
                <c:pt idx="13">
                  <c:v>2084</c:v>
                </c:pt>
                <c:pt idx="14">
                  <c:v>45256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8-4FE4-A316-DA4ED7358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13%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83%</c:v>
                </c:pt>
                <c:pt idx="8">
                  <c:v>0%</c:v>
                </c:pt>
                <c:pt idx="9">
                  <c:v>50%</c:v>
                </c:pt>
                <c:pt idx="10">
                  <c:v>0%</c:v>
                </c:pt>
                <c:pt idx="11">
                  <c:v>100%</c:v>
                </c:pt>
                <c:pt idx="12">
                  <c:v>92%</c:v>
                </c:pt>
                <c:pt idx="13">
                  <c:v>58%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0.125</c:v>
                </c:pt>
                <c:pt idx="4">
                  <c:v>0.99984276729559751</c:v>
                </c:pt>
                <c:pt idx="5">
                  <c:v>0</c:v>
                </c:pt>
                <c:pt idx="6">
                  <c:v>0.20811855670103094</c:v>
                </c:pt>
                <c:pt idx="7">
                  <c:v>0.83333333333333337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0.99928571428571433</c:v>
                </c:pt>
                <c:pt idx="12">
                  <c:v>0.91666666666666663</c:v>
                </c:pt>
                <c:pt idx="13">
                  <c:v>0.58333333333333337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F-4964-A141-A766A06ED2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3F-4964-A141-A766A06ED2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0.44714980255215619</c:v>
                </c:pt>
                <c:pt idx="1">
                  <c:v>0.44714980255215619</c:v>
                </c:pt>
                <c:pt idx="2">
                  <c:v>0.44714980255215619</c:v>
                </c:pt>
                <c:pt idx="3">
                  <c:v>0.44714980255215619</c:v>
                </c:pt>
                <c:pt idx="4">
                  <c:v>0.44714980255215619</c:v>
                </c:pt>
                <c:pt idx="5">
                  <c:v>0.44714980255215619</c:v>
                </c:pt>
                <c:pt idx="6">
                  <c:v>0.44714980255215619</c:v>
                </c:pt>
                <c:pt idx="7">
                  <c:v>0.44714980255215619</c:v>
                </c:pt>
                <c:pt idx="8">
                  <c:v>0.44714980255215619</c:v>
                </c:pt>
                <c:pt idx="9">
                  <c:v>0.44714980255215619</c:v>
                </c:pt>
                <c:pt idx="10">
                  <c:v>0.44714980255215619</c:v>
                </c:pt>
                <c:pt idx="11">
                  <c:v>0.44714980255215619</c:v>
                </c:pt>
                <c:pt idx="12">
                  <c:v>0.44714980255215619</c:v>
                </c:pt>
                <c:pt idx="13">
                  <c:v>0.44714980255215619</c:v>
                </c:pt>
                <c:pt idx="14">
                  <c:v>0.44714980255215619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F-4964-A141-A766A06ED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7015</c:v>
                </c:pt>
                <c:pt idx="3">
                  <c:v>412</c:v>
                </c:pt>
                <c:pt idx="4">
                  <c:v>6359</c:v>
                </c:pt>
                <c:pt idx="6">
                  <c:v>969</c:v>
                </c:pt>
                <c:pt idx="7">
                  <c:v>3818</c:v>
                </c:pt>
                <c:pt idx="9">
                  <c:v>2841</c:v>
                </c:pt>
                <c:pt idx="11">
                  <c:v>6995</c:v>
                </c:pt>
                <c:pt idx="12">
                  <c:v>4875</c:v>
                </c:pt>
                <c:pt idx="13">
                  <c:v>2084</c:v>
                </c:pt>
                <c:pt idx="14">
                  <c:v>45256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9-4741-9448-230643650BBB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7015</c:v>
                </c:pt>
                <c:pt idx="3">
                  <c:v>412</c:v>
                </c:pt>
                <c:pt idx="4">
                  <c:v>6360</c:v>
                </c:pt>
                <c:pt idx="5">
                  <c:v>11556</c:v>
                </c:pt>
                <c:pt idx="6">
                  <c:v>970</c:v>
                </c:pt>
                <c:pt idx="7">
                  <c:v>3818</c:v>
                </c:pt>
                <c:pt idx="8">
                  <c:v>2026</c:v>
                </c:pt>
                <c:pt idx="9">
                  <c:v>2841</c:v>
                </c:pt>
                <c:pt idx="10">
                  <c:v>3000</c:v>
                </c:pt>
                <c:pt idx="11">
                  <c:v>7000</c:v>
                </c:pt>
                <c:pt idx="12">
                  <c:v>4875</c:v>
                </c:pt>
                <c:pt idx="13">
                  <c:v>2084</c:v>
                </c:pt>
                <c:pt idx="14">
                  <c:v>45256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9-4741-9448-230643650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13%</c:v>
                </c:pt>
                <c:pt idx="4">
                  <c:v>100%</c:v>
                </c:pt>
                <c:pt idx="5">
                  <c:v>0%</c:v>
                </c:pt>
                <c:pt idx="6">
                  <c:v>21%</c:v>
                </c:pt>
                <c:pt idx="7">
                  <c:v>83%</c:v>
                </c:pt>
                <c:pt idx="8">
                  <c:v>0%</c:v>
                </c:pt>
                <c:pt idx="9">
                  <c:v>50%</c:v>
                </c:pt>
                <c:pt idx="10">
                  <c:v>0%</c:v>
                </c:pt>
                <c:pt idx="11">
                  <c:v>100%</c:v>
                </c:pt>
                <c:pt idx="12">
                  <c:v>92%</c:v>
                </c:pt>
                <c:pt idx="13">
                  <c:v>58%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0.125</c:v>
                </c:pt>
                <c:pt idx="4">
                  <c:v>0.99984276729559751</c:v>
                </c:pt>
                <c:pt idx="5">
                  <c:v>0</c:v>
                </c:pt>
                <c:pt idx="6">
                  <c:v>0.20811855670103094</c:v>
                </c:pt>
                <c:pt idx="7">
                  <c:v>0.83333333333333337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0.99928571428571433</c:v>
                </c:pt>
                <c:pt idx="12">
                  <c:v>0.91666666666666663</c:v>
                </c:pt>
                <c:pt idx="13">
                  <c:v>0.58333333333333337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9-425B-A365-C111DB9E76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F9-425B-A365-C111DB9E76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STOPPER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0.44714980255215619</c:v>
                </c:pt>
                <c:pt idx="1">
                  <c:v>0.44714980255215619</c:v>
                </c:pt>
                <c:pt idx="2">
                  <c:v>0.44714980255215619</c:v>
                </c:pt>
                <c:pt idx="3">
                  <c:v>0.44714980255215619</c:v>
                </c:pt>
                <c:pt idx="4">
                  <c:v>0.44714980255215619</c:v>
                </c:pt>
                <c:pt idx="5">
                  <c:v>0.44714980255215619</c:v>
                </c:pt>
                <c:pt idx="6">
                  <c:v>0.44714980255215619</c:v>
                </c:pt>
                <c:pt idx="7">
                  <c:v>0.44714980255215619</c:v>
                </c:pt>
                <c:pt idx="8">
                  <c:v>0.44714980255215619</c:v>
                </c:pt>
                <c:pt idx="9">
                  <c:v>0.44714980255215619</c:v>
                </c:pt>
                <c:pt idx="10">
                  <c:v>0.44714980255215619</c:v>
                </c:pt>
                <c:pt idx="11">
                  <c:v>0.44714980255215619</c:v>
                </c:pt>
                <c:pt idx="12">
                  <c:v>0.44714980255215619</c:v>
                </c:pt>
                <c:pt idx="13">
                  <c:v>0.44714980255215619</c:v>
                </c:pt>
                <c:pt idx="14">
                  <c:v>0.44714980255215619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F9-425B-A365-C111DB9E7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738-4DFD-83F2-62A716D168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8-4DFD-83F2-62A716D16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38-4DFD-83F2-62A716D168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38-4DFD-83F2-62A716D16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7715</c:v>
                </c:pt>
                <c:pt idx="3">
                  <c:v>5011</c:v>
                </c:pt>
                <c:pt idx="4">
                  <c:v>6690</c:v>
                </c:pt>
                <c:pt idx="6">
                  <c:v>3246</c:v>
                </c:pt>
                <c:pt idx="7">
                  <c:v>4223</c:v>
                </c:pt>
                <c:pt idx="8">
                  <c:v>1622</c:v>
                </c:pt>
                <c:pt idx="9">
                  <c:v>7222</c:v>
                </c:pt>
                <c:pt idx="11">
                  <c:v>7383</c:v>
                </c:pt>
                <c:pt idx="12">
                  <c:v>6279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E-43FB-9E39-981CFD91FAC9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7715</c:v>
                </c:pt>
                <c:pt idx="3">
                  <c:v>5011</c:v>
                </c:pt>
                <c:pt idx="4">
                  <c:v>6690</c:v>
                </c:pt>
                <c:pt idx="5">
                  <c:v>11556</c:v>
                </c:pt>
                <c:pt idx="6">
                  <c:v>3246</c:v>
                </c:pt>
                <c:pt idx="7">
                  <c:v>4223</c:v>
                </c:pt>
                <c:pt idx="8">
                  <c:v>1622</c:v>
                </c:pt>
                <c:pt idx="9">
                  <c:v>7222</c:v>
                </c:pt>
                <c:pt idx="10">
                  <c:v>3000</c:v>
                </c:pt>
                <c:pt idx="11">
                  <c:v>7383</c:v>
                </c:pt>
                <c:pt idx="12">
                  <c:v>6279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E-43FB-9E39-981CFD91F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75%</c:v>
                </c:pt>
                <c:pt idx="7">
                  <c:v>88%</c:v>
                </c:pt>
                <c:pt idx="8">
                  <c:v>38%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0.75</c:v>
                </c:pt>
                <c:pt idx="7">
                  <c:v>0.875</c:v>
                </c:pt>
                <c:pt idx="8">
                  <c:v>0.375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9-404E-84EE-D69917896C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99-404E-84EE-D69917896C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0.56388888888888888</c:v>
                </c:pt>
                <c:pt idx="1">
                  <c:v>0.56388888888888888</c:v>
                </c:pt>
                <c:pt idx="2">
                  <c:v>0.56388888888888888</c:v>
                </c:pt>
                <c:pt idx="3">
                  <c:v>0.56388888888888888</c:v>
                </c:pt>
                <c:pt idx="4">
                  <c:v>0.56388888888888888</c:v>
                </c:pt>
                <c:pt idx="5">
                  <c:v>0.56388888888888888</c:v>
                </c:pt>
                <c:pt idx="6">
                  <c:v>0.56388888888888888</c:v>
                </c:pt>
                <c:pt idx="7">
                  <c:v>0.56388888888888888</c:v>
                </c:pt>
                <c:pt idx="8">
                  <c:v>0.56388888888888888</c:v>
                </c:pt>
                <c:pt idx="9">
                  <c:v>0.56388888888888888</c:v>
                </c:pt>
                <c:pt idx="10">
                  <c:v>0.56388888888888888</c:v>
                </c:pt>
                <c:pt idx="11">
                  <c:v>0.56388888888888888</c:v>
                </c:pt>
                <c:pt idx="12">
                  <c:v>0.56388888888888888</c:v>
                </c:pt>
                <c:pt idx="13">
                  <c:v>0.56388888888888888</c:v>
                </c:pt>
                <c:pt idx="14">
                  <c:v>0.56388888888888888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9-404E-84EE-D69917896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7715</c:v>
                </c:pt>
                <c:pt idx="3">
                  <c:v>5011</c:v>
                </c:pt>
                <c:pt idx="4">
                  <c:v>6690</c:v>
                </c:pt>
                <c:pt idx="6">
                  <c:v>3246</c:v>
                </c:pt>
                <c:pt idx="7">
                  <c:v>4223</c:v>
                </c:pt>
                <c:pt idx="8">
                  <c:v>1622</c:v>
                </c:pt>
                <c:pt idx="9">
                  <c:v>7222</c:v>
                </c:pt>
                <c:pt idx="11">
                  <c:v>7383</c:v>
                </c:pt>
                <c:pt idx="12">
                  <c:v>6279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5-4980-ABCD-6F5E72B5697B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7715</c:v>
                </c:pt>
                <c:pt idx="3">
                  <c:v>5011</c:v>
                </c:pt>
                <c:pt idx="4">
                  <c:v>6690</c:v>
                </c:pt>
                <c:pt idx="5">
                  <c:v>11556</c:v>
                </c:pt>
                <c:pt idx="6">
                  <c:v>3246</c:v>
                </c:pt>
                <c:pt idx="7">
                  <c:v>4223</c:v>
                </c:pt>
                <c:pt idx="8">
                  <c:v>1622</c:v>
                </c:pt>
                <c:pt idx="9">
                  <c:v>7222</c:v>
                </c:pt>
                <c:pt idx="10">
                  <c:v>3000</c:v>
                </c:pt>
                <c:pt idx="11">
                  <c:v>7383</c:v>
                </c:pt>
                <c:pt idx="12">
                  <c:v>6279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5-4980-ABCD-6F5E72B56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75%</c:v>
                </c:pt>
                <c:pt idx="7">
                  <c:v>88%</c:v>
                </c:pt>
                <c:pt idx="8">
                  <c:v>38%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0.75</c:v>
                </c:pt>
                <c:pt idx="7">
                  <c:v>0.875</c:v>
                </c:pt>
                <c:pt idx="8">
                  <c:v>0.375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15-4765-934C-9A3CFA9C347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15-4765-934C-9A3CFA9C34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0.56388888888888888</c:v>
                </c:pt>
                <c:pt idx="1">
                  <c:v>0.56388888888888888</c:v>
                </c:pt>
                <c:pt idx="2">
                  <c:v>0.56388888888888888</c:v>
                </c:pt>
                <c:pt idx="3">
                  <c:v>0.56388888888888888</c:v>
                </c:pt>
                <c:pt idx="4">
                  <c:v>0.56388888888888888</c:v>
                </c:pt>
                <c:pt idx="5">
                  <c:v>0.56388888888888888</c:v>
                </c:pt>
                <c:pt idx="6">
                  <c:v>0.56388888888888888</c:v>
                </c:pt>
                <c:pt idx="7">
                  <c:v>0.56388888888888888</c:v>
                </c:pt>
                <c:pt idx="8">
                  <c:v>0.56388888888888888</c:v>
                </c:pt>
                <c:pt idx="9">
                  <c:v>0.56388888888888888</c:v>
                </c:pt>
                <c:pt idx="10">
                  <c:v>0.56388888888888888</c:v>
                </c:pt>
                <c:pt idx="11">
                  <c:v>0.56388888888888888</c:v>
                </c:pt>
                <c:pt idx="12">
                  <c:v>0.56388888888888888</c:v>
                </c:pt>
                <c:pt idx="13">
                  <c:v>0.56388888888888888</c:v>
                </c:pt>
                <c:pt idx="14">
                  <c:v>0.56388888888888888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15-4765-934C-9A3CFA9C3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05-427C-A60C-F5EE21F15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0.57489754574884333</c:v>
                </c:pt>
                <c:pt idx="1">
                  <c:v>0.51897881626970699</c:v>
                </c:pt>
                <c:pt idx="4">
                  <c:v>0.40277777777777779</c:v>
                </c:pt>
                <c:pt idx="5">
                  <c:v>0.29444444444444451</c:v>
                </c:pt>
                <c:pt idx="6">
                  <c:v>0.21940476190476191</c:v>
                </c:pt>
                <c:pt idx="7">
                  <c:v>0.25833333333333336</c:v>
                </c:pt>
                <c:pt idx="8">
                  <c:v>0.10277777777777779</c:v>
                </c:pt>
                <c:pt idx="11">
                  <c:v>0.21109523809523809</c:v>
                </c:pt>
                <c:pt idx="12">
                  <c:v>0.22222222222222224</c:v>
                </c:pt>
                <c:pt idx="13">
                  <c:v>0.19166666666666668</c:v>
                </c:pt>
                <c:pt idx="14">
                  <c:v>0.2277777777777778</c:v>
                </c:pt>
                <c:pt idx="15">
                  <c:v>0.19722222222222224</c:v>
                </c:pt>
                <c:pt idx="18">
                  <c:v>0.38609796186719264</c:v>
                </c:pt>
                <c:pt idx="19">
                  <c:v>0.4055555555555555</c:v>
                </c:pt>
                <c:pt idx="20">
                  <c:v>0.6054763791393224</c:v>
                </c:pt>
                <c:pt idx="21">
                  <c:v>0.60552249770431588</c:v>
                </c:pt>
                <c:pt idx="22">
                  <c:v>0.63050923860269836</c:v>
                </c:pt>
                <c:pt idx="23">
                  <c:v>0.54440136420750318</c:v>
                </c:pt>
                <c:pt idx="25">
                  <c:v>0.46385572139303477</c:v>
                </c:pt>
                <c:pt idx="26">
                  <c:v>0.4776252136752136</c:v>
                </c:pt>
                <c:pt idx="27">
                  <c:v>0.53973365162037035</c:v>
                </c:pt>
                <c:pt idx="28">
                  <c:v>0.44714980255215619</c:v>
                </c:pt>
                <c:pt idx="29">
                  <c:v>0.56388888888888888</c:v>
                </c:pt>
                <c:pt idx="31">
                  <c:v>0.30304716198156745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5-427C-A60C-F5EE21F1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05-427C-A60C-F5EE21F15A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05-427C-A60C-F5EE21F1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3A4C2A-415C-4F05-843A-B19E9C14D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EB1569-265D-4982-965D-DF36F2448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8BE6203-2F02-47EB-88B1-CB9271DC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4B73DEE-7C58-4AE3-80C3-7509D4143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E10278C-F5FA-4D6D-8A6C-77ACCC14D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CEA123A-A69F-4952-8761-CF13D5145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BC5484C-1219-4190-8E4B-4428B27DD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6A4CE4-2DDA-44E1-88A4-EC8C541BD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E349973-D05E-47FE-A035-51FC856D8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9BA2A93-93EF-4441-8AFD-F6A1B0B6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D8EB4DB-56E9-4E85-8AA3-68F7B9F4A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B1BB156-B402-4320-B15D-B3962A303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F04E460-CF35-4A74-85AC-2F0CAE606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A9CD8F3-C485-4736-98B7-36BCB6F16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E54AC1-A001-4C43-85A7-B2C7A0352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B6B4D89-41AF-42AE-80C7-4C8AC0621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5FB107F-6347-4871-B654-F504D69B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0C5AEEC-014F-40A2-AEC4-00E214410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82AA978-8FAE-4BA2-94F5-498C33758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CBEA8BB-2561-4446-9CFC-D09A2A5B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45E835C-A2F7-46A4-99C4-BD33A3935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0B847A6-2491-484F-B9BB-6227C8446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7E90F9-890F-4962-B9C7-20C5E31D9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AF4EDA9-47ED-4E24-8415-343CB64A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234DE88-934F-41DB-86E1-A900CF28F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B4AC7FA-C757-4FB1-9102-5342CF831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51FC2C7-3FAF-4FFA-9486-8F7054662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7753683-CCD5-445F-8A8B-77828B1CA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070195-7B6B-4325-BAFA-67300D035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660539-F10C-4751-A6AE-F38E39DF8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D266D0F-BC2D-44F5-B120-D68D0AF11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33E2985-6252-446B-9EB9-EDA56CBA9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49C2DE6-5CD3-4537-A404-89CA5627A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82CEDB7-9794-4231-8559-7FF51F61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76DF355-0FCE-4038-82CA-40040F2E9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D467B05-C77D-4AB4-9C25-D2D145045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CC009B-F4EE-4F40-8A3C-0711B4BAC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EB81CBD-75A0-424F-BF53-366279030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9C4D40E-A146-48E7-B150-69E10D747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E70377A-5A83-4A56-AC56-99D18FF87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5BC51DE-A4AD-40DC-9229-C67BBC192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8C1E200-942E-440C-83D6-B7EB3C73D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B9A4B34-69D2-41DE-BD23-2937D016C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2D6AE6-23A1-4A30-A98C-D80F41874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EB461C6-6951-437A-943C-8705980E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BCA8E30-A3C1-46B1-A335-493179198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CFAD4FA-77AA-47FA-BAA0-D2316130B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994D1F-20DE-44EF-B3BC-CEFBD2DB0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1A0F595-A02D-42DD-BF9F-9DA8741B8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24E386-A809-456E-B0F5-06CB36C89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336C3CB-925A-459B-B749-073BFD573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25F60A1-AE43-468C-972D-F2A54B67F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CB98969-8BA6-4DBF-BA33-DB6D761CD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3F57039-F2C3-48F0-9E7B-498B5FA9B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2EA8030-84DE-4E85-957A-BEF81D1A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20C754F-F192-4352-BFB6-E33E9BD2C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6CE5067-1D50-47F9-AC77-4C52325FB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055B2C-D578-47AC-959F-59CF3F234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D8DC34C-E67D-4B0C-8D8F-FA1404A1B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28C72D0-B268-42BC-9ED6-5B2282BD5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034AA4E-061C-4DC6-B083-6247699D5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F678B97-48E3-4D4D-B2FC-44383758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BADEB37-E6DA-4F64-98D5-4FC0A8135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ECD4E7-1640-4F72-9AA7-AC58C4093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5C84EE2-B1A0-4EFD-A8A5-BC8FEC438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4AD17E4-ED4E-48D3-A23D-B4C846AE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8677489-B193-4074-95B3-392652A3F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9F43252-836F-4183-A8CC-742A9FC83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1EB8DE6-4F7B-4ACC-B333-3F3AC9ED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807B61B-D082-4631-A489-510423840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48A07CD-4815-44BD-8FBA-87E730779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9D066FD-61C6-4475-AE0E-C69D9CBA6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CA1A9D7-8FD8-4169-A531-5276544E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E7B01B2-BD9A-44EF-83D1-FF0CBBFCF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F48553D-111D-43D9-986C-E5E0B72A4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545763A-3B05-4049-85ED-EA5EE097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CD6C780-7F86-42C0-96CF-C205040BC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2B02110-8733-4726-883D-ED968E4C7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408D64A-5B2B-4B2B-BC04-542F5F003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EB76895-7222-40A5-AF02-079B1266F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8F63A7D-930E-43E3-B91C-5D3CF95D8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E7EFF4C-38E1-4050-A45E-20FB5E523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8BEE381-CEC6-4A3D-A3BC-3F3685883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B0BBEC5-8641-49EB-9105-F3E9AB4529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FF55C3-3062-4790-B75A-374A377AF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BACFE8-A644-4BEE-A586-CCF157B64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CBBDDC8-6FE2-49FE-98C2-3A5FC6B36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AD39B15-6E1D-418A-9CF0-0434628B7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9A995C6-B651-47D0-8AFC-A3B4A7020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79AF3DE-500A-4DB8-B029-AFCA9176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D8FACDF-44B1-4A7C-919F-6FEF1025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0D09FBB-B3C9-45E6-9680-C315AFB38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CDD4616-BC90-4A44-804B-2AD1AB137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92F5AEC-1B35-4AFA-B054-BA18872C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BEEE3C2-AE3A-4E80-A804-42732D38D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D976432-3873-4D59-AC77-8551B434B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10FF742-E3F1-4EBB-BF99-920C9829B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88CE8B7-ECB4-4F29-BD35-454C04EB8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59229AB-32B3-4EDC-8F5A-B98B56223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B26603D-A3BD-4BE3-B6C6-666FC1C0A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2ABCEF7-596D-4019-BB97-8487063A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88497AB-0D0C-49CC-B3E6-159D6082A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1D1D487-1127-4AD9-9347-833BED422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3C745EB-7F8A-4EFC-A81C-5C91EE756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23A82E0-161C-4AC8-AC9C-F8EE2F515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EC6C807-2F2B-4290-AE53-2DE6247E0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56F7DC-61E3-4F88-80C4-B71E2F3F3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9BB4134-1B9B-4F94-89B8-14A69CEDB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2541FBD-1C50-4E4E-ACEE-840B15604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C800EC6-598F-4F4F-88DF-D90D9FA37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B658924-0A40-4AFE-9AC3-8E741170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0FE2D1A-0AAB-48FB-BA18-FECB73AEC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B4750DD-7C81-4045-8309-A61C3FF0B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7BDE0E1-92D4-4F3D-B825-C1B6083D8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581C1A5-7541-43D8-9557-36CE8880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C4F8EB3-7EEC-4ECA-BFE4-FB1C2F43F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3033577-77AD-4052-9E92-AF83A0589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4C0B995-8EB3-4CFA-96C4-16A69C6E5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3773253-BA42-4602-AE2E-0386DBB2C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C652B2B-615D-4DCE-80A0-6D4768AFE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FE19F68-E061-4432-B752-C34DC9D2A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582CB3D-25C6-4DF1-980F-00A42BFCF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88B621B-1C8B-4D82-9804-7EEA9D23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14C7200-FF4A-4139-9CD0-AFD1DD246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7078222-0FB3-4D0F-85FC-14EA40C0C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6EAD42E-3180-40BD-A0D8-11C2D10D9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DFD660-2DA7-45CE-A475-F3EFC1ED0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5B0F6D2-E8EF-4418-8081-2550F6CFB0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4E2E7F6-DFB4-45CE-92DD-E2688131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5155970-9049-4E39-9CB7-4A904B43F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1C4CAEC-5F60-43C5-B02C-13A0DB386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01F2364-528F-4895-A222-110549ED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E682204-7AAC-4653-BFDB-0A0428EDF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E9AA2D4-8274-4E27-81C7-084A4CF82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298B48A-3109-4058-BA87-C5AAFD569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6759AE8-F9FC-408A-AF8B-2E926B1E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0A03513-3A3D-4DE1-92AB-837B68546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4E360E1-A884-4A30-BE93-90BABE6F0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A8AD9D6-090C-4522-9F1F-D3E2F1B20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AF302EC-0AE2-4510-937C-E1C439316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6FE5BE1-33C1-4BDA-BBC7-3521D8D3A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07691BE-2AFC-4931-A064-3A305D18B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6D8B184-7C93-416A-9C88-BD2CB1E71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B3B3DD2-4827-4BF9-9BA6-A3E267111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489D81C-CC91-4FDF-ADCA-69F96F7B5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C83F9B9-3F8D-4751-AD83-F291E98A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9D48010-8E83-4094-894B-0CA527255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64C7DA-C981-4250-BA71-7D236840C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94FC165-910F-45D3-8667-75D5E525C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6425147-6582-4FDA-B526-91B59C23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98C079A-3CA7-4213-A769-AA8887601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EFAED2A-5B22-4634-A913-87C32C8C9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47FF292-D2A0-4984-9A26-1178999D3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6B44A0A-4F99-4E9C-A30C-A49D48E09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C0875C-7190-4418-B922-F449953DD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38CDDA5-6C51-478C-A216-100D4A047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50CC81E-EE3F-4193-92DE-2BBC1532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1FB5583-7E98-4151-93CE-568FF86B0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158AEA7-0D09-4446-99AB-EA9082712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D20326C-F761-4B2B-955C-1A67ECE6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33D000B-C616-47EC-9CC8-85AFD19FD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15" sqref="AI15"/>
    </sheetView>
  </sheetViews>
  <sheetFormatPr defaultRowHeight="13.5"/>
  <cols>
    <col min="1" max="1" width="7.5" style="74" bestFit="1" customWidth="1"/>
    <col min="2" max="17" width="5.5" style="74" bestFit="1" customWidth="1"/>
    <col min="18" max="18" width="6" style="74" customWidth="1"/>
    <col min="19" max="33" width="5.5" style="74" bestFit="1" customWidth="1"/>
    <col min="34" max="16384" width="9" style="74"/>
  </cols>
  <sheetData>
    <row r="1" spans="1:33" ht="33.75" customHeight="1" thickBot="1">
      <c r="A1" s="371" t="s">
        <v>166</v>
      </c>
      <c r="B1" s="371"/>
      <c r="C1" s="371"/>
      <c r="D1" s="371"/>
      <c r="E1" s="371"/>
      <c r="F1" s="371"/>
      <c r="G1" s="371"/>
      <c r="H1" s="371"/>
    </row>
    <row r="2" spans="1:33" ht="21.75" customHeight="1" thickBot="1">
      <c r="A2" s="95" t="s">
        <v>59</v>
      </c>
      <c r="B2" s="97" t="s">
        <v>74</v>
      </c>
      <c r="C2" s="98" t="s">
        <v>75</v>
      </c>
      <c r="D2" s="98" t="s">
        <v>76</v>
      </c>
      <c r="E2" s="98" t="s">
        <v>77</v>
      </c>
      <c r="F2" s="98" t="s">
        <v>78</v>
      </c>
      <c r="G2" s="98" t="s">
        <v>79</v>
      </c>
      <c r="H2" s="98" t="s">
        <v>80</v>
      </c>
      <c r="I2" s="98" t="s">
        <v>81</v>
      </c>
      <c r="J2" s="98" t="s">
        <v>82</v>
      </c>
      <c r="K2" s="98" t="s">
        <v>83</v>
      </c>
      <c r="L2" s="98" t="s">
        <v>84</v>
      </c>
      <c r="M2" s="98" t="s">
        <v>85</v>
      </c>
      <c r="N2" s="98" t="s">
        <v>86</v>
      </c>
      <c r="O2" s="98" t="s">
        <v>87</v>
      </c>
      <c r="P2" s="98" t="s">
        <v>88</v>
      </c>
      <c r="Q2" s="98" t="s">
        <v>89</v>
      </c>
      <c r="R2" s="98" t="s">
        <v>90</v>
      </c>
      <c r="S2" s="98" t="s">
        <v>91</v>
      </c>
      <c r="T2" s="98" t="s">
        <v>92</v>
      </c>
      <c r="U2" s="98" t="s">
        <v>93</v>
      </c>
      <c r="V2" s="98" t="s">
        <v>94</v>
      </c>
      <c r="W2" s="98" t="s">
        <v>95</v>
      </c>
      <c r="X2" s="98" t="s">
        <v>96</v>
      </c>
      <c r="Y2" s="98" t="s">
        <v>97</v>
      </c>
      <c r="Z2" s="98" t="s">
        <v>98</v>
      </c>
      <c r="AA2" s="98" t="s">
        <v>99</v>
      </c>
      <c r="AB2" s="98" t="s">
        <v>100</v>
      </c>
      <c r="AC2" s="98" t="s">
        <v>101</v>
      </c>
      <c r="AD2" s="98" t="s">
        <v>102</v>
      </c>
      <c r="AE2" s="98" t="s">
        <v>103</v>
      </c>
      <c r="AF2" s="99" t="s">
        <v>104</v>
      </c>
      <c r="AG2" s="95" t="s">
        <v>106</v>
      </c>
    </row>
    <row r="3" spans="1:33" ht="21.75" customHeight="1">
      <c r="A3" s="115" t="s">
        <v>60</v>
      </c>
      <c r="B3" s="110">
        <f>'01'!AD6</f>
        <v>0</v>
      </c>
      <c r="C3" s="110">
        <f>'02'!AD6</f>
        <v>0</v>
      </c>
      <c r="D3" s="103"/>
      <c r="E3" s="103"/>
      <c r="F3" s="103">
        <f>'05'!AD6</f>
        <v>0</v>
      </c>
      <c r="G3" s="103">
        <f>'06'!AD6</f>
        <v>0</v>
      </c>
      <c r="H3" s="103">
        <f>'07'!AD6</f>
        <v>0</v>
      </c>
      <c r="I3" s="103">
        <f>'08'!AD6</f>
        <v>0</v>
      </c>
      <c r="J3" s="103">
        <f>'09'!AD6</f>
        <v>0</v>
      </c>
      <c r="K3" s="103"/>
      <c r="L3" s="103"/>
      <c r="M3" s="103">
        <f>'12'!AD6</f>
        <v>0</v>
      </c>
      <c r="N3" s="121">
        <f>'13'!AD6</f>
        <v>0</v>
      </c>
      <c r="O3" s="103">
        <f>'14'!AD6</f>
        <v>0</v>
      </c>
      <c r="P3" s="103">
        <f>'15'!AD6</f>
        <v>0</v>
      </c>
      <c r="Q3" s="103">
        <f>'16'!AD6</f>
        <v>0</v>
      </c>
      <c r="R3" s="103"/>
      <c r="S3" s="103"/>
      <c r="T3" s="103">
        <f>'19'!AD6</f>
        <v>0</v>
      </c>
      <c r="U3" s="103">
        <f>'20'!AD6</f>
        <v>0</v>
      </c>
      <c r="V3" s="103">
        <f>'21'!AD6</f>
        <v>0</v>
      </c>
      <c r="W3" s="121">
        <f>'22'!AD6</f>
        <v>0</v>
      </c>
      <c r="X3" s="103">
        <f>'23'!AD6</f>
        <v>0</v>
      </c>
      <c r="Y3" s="103">
        <f>'24'!AD6</f>
        <v>0</v>
      </c>
      <c r="Z3" s="103"/>
      <c r="AA3" s="103">
        <f>'26'!AD6</f>
        <v>0</v>
      </c>
      <c r="AB3" s="103">
        <f>'27'!AD6</f>
        <v>0</v>
      </c>
      <c r="AC3" s="103">
        <f>'28'!AD6</f>
        <v>0</v>
      </c>
      <c r="AD3" s="103">
        <f>'29'!AD6</f>
        <v>0</v>
      </c>
      <c r="AE3" s="103">
        <f>'30'!AD6</f>
        <v>0</v>
      </c>
      <c r="AF3" s="104"/>
      <c r="AG3" s="106">
        <f>SUM(B3:AF3)/30</f>
        <v>0</v>
      </c>
    </row>
    <row r="4" spans="1:33" ht="21.75" customHeight="1">
      <c r="A4" s="116" t="s">
        <v>61</v>
      </c>
      <c r="B4" s="111">
        <f>'01'!AD7</f>
        <v>0</v>
      </c>
      <c r="C4" s="111">
        <f>'02'!AD7</f>
        <v>0</v>
      </c>
      <c r="D4" s="80"/>
      <c r="E4" s="80"/>
      <c r="F4" s="80">
        <f>'05'!AD7</f>
        <v>0</v>
      </c>
      <c r="G4" s="80">
        <f>'06'!AD7</f>
        <v>0</v>
      </c>
      <c r="H4" s="80">
        <f>'07'!AD7</f>
        <v>0</v>
      </c>
      <c r="I4" s="80">
        <f>'08'!AD7</f>
        <v>0</v>
      </c>
      <c r="J4" s="80">
        <f>'09'!AD7</f>
        <v>0</v>
      </c>
      <c r="K4" s="80"/>
      <c r="L4" s="80"/>
      <c r="M4" s="80">
        <f>'12'!AD7</f>
        <v>0</v>
      </c>
      <c r="N4" s="80">
        <f>'13'!AD7</f>
        <v>0</v>
      </c>
      <c r="O4" s="80">
        <f>'14'!AD7</f>
        <v>0</v>
      </c>
      <c r="P4" s="80">
        <f>'15'!AD7</f>
        <v>0</v>
      </c>
      <c r="Q4" s="80">
        <f>'16'!AD7</f>
        <v>0</v>
      </c>
      <c r="R4" s="80"/>
      <c r="S4" s="80"/>
      <c r="T4" s="80">
        <f>'19'!AD7</f>
        <v>0</v>
      </c>
      <c r="U4" s="80">
        <f>'20'!AD7</f>
        <v>0</v>
      </c>
      <c r="V4" s="80">
        <f>'21'!AD7</f>
        <v>0</v>
      </c>
      <c r="W4" s="80">
        <f>'22'!AD7</f>
        <v>0</v>
      </c>
      <c r="X4" s="80">
        <f>'23'!AD7</f>
        <v>0</v>
      </c>
      <c r="Y4" s="80">
        <f>'24'!AD7</f>
        <v>0</v>
      </c>
      <c r="Z4" s="80"/>
      <c r="AA4" s="80">
        <f>'26'!AD7</f>
        <v>0</v>
      </c>
      <c r="AB4" s="80">
        <f>'27'!AD7</f>
        <v>0</v>
      </c>
      <c r="AC4" s="80">
        <f>'28'!AD7</f>
        <v>0</v>
      </c>
      <c r="AD4" s="80">
        <f>'29'!AD7</f>
        <v>0</v>
      </c>
      <c r="AE4" s="80">
        <f>'30'!AD7</f>
        <v>0</v>
      </c>
      <c r="AF4" s="81"/>
      <c r="AG4" s="82">
        <f t="shared" ref="AG4:AG18" si="0">SUM(B4:AF4)/30</f>
        <v>0</v>
      </c>
    </row>
    <row r="5" spans="1:33" ht="21.75" customHeight="1">
      <c r="A5" s="117" t="s">
        <v>62</v>
      </c>
      <c r="B5" s="112">
        <f>'01'!AD8</f>
        <v>1</v>
      </c>
      <c r="C5" s="112">
        <f>'02'!AD8</f>
        <v>0.41666666666666669</v>
      </c>
      <c r="D5" s="83"/>
      <c r="E5" s="83"/>
      <c r="F5" s="83">
        <f>'05'!AD8</f>
        <v>0</v>
      </c>
      <c r="G5" s="83">
        <f>'06'!AD8</f>
        <v>0.58333333333333337</v>
      </c>
      <c r="H5" s="83">
        <f>'07'!AD8</f>
        <v>0</v>
      </c>
      <c r="I5" s="83">
        <f>'08'!AD8</f>
        <v>0.95833333333333337</v>
      </c>
      <c r="J5" s="83">
        <f>'09'!AD8</f>
        <v>0.45833333333333331</v>
      </c>
      <c r="K5" s="83"/>
      <c r="L5" s="83"/>
      <c r="M5" s="83">
        <f>'12'!AD8</f>
        <v>0.5</v>
      </c>
      <c r="N5" s="83">
        <f>'13'!AD8</f>
        <v>0.5</v>
      </c>
      <c r="O5" s="83">
        <f>'14'!AD8</f>
        <v>0</v>
      </c>
      <c r="P5" s="83">
        <f>'15'!AD8</f>
        <v>8.3333333333333329E-2</v>
      </c>
      <c r="Q5" s="83">
        <f>'16'!AD8</f>
        <v>0.5</v>
      </c>
      <c r="R5" s="83"/>
      <c r="S5" s="83"/>
      <c r="T5" s="83">
        <f>'19'!AD8</f>
        <v>1</v>
      </c>
      <c r="U5" s="83">
        <f>'20'!AD8</f>
        <v>1</v>
      </c>
      <c r="V5" s="83">
        <f>'21'!AD8</f>
        <v>1</v>
      </c>
      <c r="W5" s="122">
        <f>'22'!AD8</f>
        <v>0.79166666666666663</v>
      </c>
      <c r="X5" s="83">
        <f>'23'!AD8</f>
        <v>1</v>
      </c>
      <c r="Y5" s="83">
        <f>'24'!AD8</f>
        <v>1</v>
      </c>
      <c r="Z5" s="83"/>
      <c r="AA5" s="83">
        <f>'26'!AD8</f>
        <v>1</v>
      </c>
      <c r="AB5" s="83">
        <f>'27'!AD8</f>
        <v>1</v>
      </c>
      <c r="AC5" s="83">
        <f>'28'!AD8</f>
        <v>0.91666666666666663</v>
      </c>
      <c r="AD5" s="83">
        <f>'29'!AD8</f>
        <v>1</v>
      </c>
      <c r="AE5" s="83">
        <f>'30'!AD8</f>
        <v>1</v>
      </c>
      <c r="AF5" s="84"/>
      <c r="AG5" s="85">
        <f t="shared" si="0"/>
        <v>0.52361111111111103</v>
      </c>
    </row>
    <row r="6" spans="1:33" ht="21.75" customHeight="1">
      <c r="A6" s="118" t="s">
        <v>63</v>
      </c>
      <c r="B6" s="113">
        <f>'01'!AD9</f>
        <v>0.79166666666666663</v>
      </c>
      <c r="C6" s="113">
        <f>'02'!AD9</f>
        <v>0.95833333333333337</v>
      </c>
      <c r="D6" s="86"/>
      <c r="E6" s="86"/>
      <c r="F6" s="86">
        <f>'05'!AD9</f>
        <v>0.75</v>
      </c>
      <c r="G6" s="86">
        <f>'06'!AD9</f>
        <v>0.95833333333333337</v>
      </c>
      <c r="H6" s="86">
        <f>'07'!AD9</f>
        <v>0.5</v>
      </c>
      <c r="I6" s="86">
        <f>'08'!AD9</f>
        <v>0.16666666666666666</v>
      </c>
      <c r="J6" s="86">
        <f>'09'!AD9</f>
        <v>0</v>
      </c>
      <c r="K6" s="86"/>
      <c r="L6" s="86"/>
      <c r="M6" s="86">
        <f>'12'!AD9+'12'!AD10</f>
        <v>0.5</v>
      </c>
      <c r="N6" s="86">
        <f>'13'!AD9</f>
        <v>0.41666666666666669</v>
      </c>
      <c r="O6" s="86">
        <f>'14'!AD9</f>
        <v>0</v>
      </c>
      <c r="P6" s="86">
        <f>'15'!AD9</f>
        <v>0</v>
      </c>
      <c r="Q6" s="86">
        <f>'16'!AD9</f>
        <v>0</v>
      </c>
      <c r="R6" s="86"/>
      <c r="S6" s="86"/>
      <c r="T6" s="86">
        <f>'19'!AD9</f>
        <v>0.95833333333333337</v>
      </c>
      <c r="U6" s="86">
        <f>'20'!AD9</f>
        <v>0</v>
      </c>
      <c r="V6" s="86">
        <f>'21'!AD9+'21'!AD10</f>
        <v>0.5</v>
      </c>
      <c r="W6" s="86">
        <f>'22'!AD9</f>
        <v>0</v>
      </c>
      <c r="X6" s="86">
        <f>'23'!AD9</f>
        <v>0.875</v>
      </c>
      <c r="Y6" s="86">
        <f>'24'!AD9</f>
        <v>0.25</v>
      </c>
      <c r="Z6" s="86"/>
      <c r="AA6" s="86">
        <f>'26'!AD9</f>
        <v>0</v>
      </c>
      <c r="AB6" s="86">
        <f>'27'!AD9</f>
        <v>0.75</v>
      </c>
      <c r="AC6" s="86">
        <f>'28'!AD9</f>
        <v>0.91666666666666663</v>
      </c>
      <c r="AD6" s="86">
        <f>'29'!AD9</f>
        <v>0.125</v>
      </c>
      <c r="AE6" s="86">
        <f>'30'!AD9</f>
        <v>0.95833333333333337</v>
      </c>
      <c r="AF6" s="87"/>
      <c r="AG6" s="88">
        <f t="shared" si="0"/>
        <v>0.34583333333333333</v>
      </c>
    </row>
    <row r="7" spans="1:33" ht="21.75" customHeight="1">
      <c r="A7" s="118" t="s">
        <v>64</v>
      </c>
      <c r="B7" s="113">
        <f>'01'!AD10</f>
        <v>1</v>
      </c>
      <c r="C7" s="113">
        <f>'02'!AD10</f>
        <v>0.875</v>
      </c>
      <c r="D7" s="86"/>
      <c r="E7" s="86"/>
      <c r="F7" s="86">
        <f>'05'!AD10</f>
        <v>0.25</v>
      </c>
      <c r="G7" s="86">
        <f>'06'!AD10</f>
        <v>0</v>
      </c>
      <c r="H7" s="86">
        <f>'07'!AD10</f>
        <v>0</v>
      </c>
      <c r="I7" s="86">
        <f>'08'!AD10</f>
        <v>0</v>
      </c>
      <c r="J7" s="86">
        <f>'09'!AD10</f>
        <v>0</v>
      </c>
      <c r="K7" s="86"/>
      <c r="L7" s="86"/>
      <c r="M7" s="86">
        <f>'12'!AD11</f>
        <v>0.5</v>
      </c>
      <c r="N7" s="86">
        <f>'13'!AD10</f>
        <v>0.5</v>
      </c>
      <c r="O7" s="86">
        <f>'14'!AD10</f>
        <v>0.41666666666666669</v>
      </c>
      <c r="P7" s="86">
        <f>'15'!AD10</f>
        <v>0.5</v>
      </c>
      <c r="Q7" s="86">
        <f>'16'!AD10</f>
        <v>0.5</v>
      </c>
      <c r="R7" s="86"/>
      <c r="S7" s="86"/>
      <c r="T7" s="86">
        <f>'19'!AD10</f>
        <v>1</v>
      </c>
      <c r="U7" s="86">
        <f>'20'!AD10</f>
        <v>1</v>
      </c>
      <c r="V7" s="86">
        <f>'21'!AD11+'21'!AD12</f>
        <v>0.95816957787481805</v>
      </c>
      <c r="W7" s="86">
        <f>'22'!AD10</f>
        <v>0.999504132231405</v>
      </c>
      <c r="X7" s="86">
        <f>'23'!AD10</f>
        <v>1</v>
      </c>
      <c r="Y7" s="86">
        <f>'24'!AD10</f>
        <v>0.66666666666666663</v>
      </c>
      <c r="Z7" s="86"/>
      <c r="AA7" s="86">
        <f>'26'!AD10</f>
        <v>0.99950248756218907</v>
      </c>
      <c r="AB7" s="86">
        <f>'27'!AD10</f>
        <v>0.99875000000000003</v>
      </c>
      <c r="AC7" s="86">
        <f>'28'!AD10</f>
        <v>1.0128124999999999</v>
      </c>
      <c r="AD7" s="86">
        <f>'29'!AD10</f>
        <v>0.99984276729559751</v>
      </c>
      <c r="AE7" s="86">
        <f>'30'!AD10</f>
        <v>1</v>
      </c>
      <c r="AF7" s="87"/>
      <c r="AG7" s="88">
        <f t="shared" si="0"/>
        <v>0.50589715994324469</v>
      </c>
    </row>
    <row r="8" spans="1:33" ht="21.75" customHeight="1">
      <c r="A8" s="118" t="s">
        <v>65</v>
      </c>
      <c r="B8" s="113">
        <f>'01'!AD11</f>
        <v>0.99933884297520659</v>
      </c>
      <c r="C8" s="113">
        <f>'02'!AD11</f>
        <v>0.20833333333333334</v>
      </c>
      <c r="D8" s="86"/>
      <c r="E8" s="86"/>
      <c r="F8" s="86">
        <f>'05'!AD11</f>
        <v>0.58333333333333337</v>
      </c>
      <c r="G8" s="86">
        <f>'06'!AD11</f>
        <v>0</v>
      </c>
      <c r="H8" s="86">
        <f>'07'!AD11</f>
        <v>0</v>
      </c>
      <c r="I8" s="86">
        <f>'08'!AD11</f>
        <v>0</v>
      </c>
      <c r="J8" s="86">
        <f>'09'!AD11</f>
        <v>0</v>
      </c>
      <c r="K8" s="86"/>
      <c r="L8" s="86"/>
      <c r="M8" s="86">
        <f>'12'!AD12</f>
        <v>0</v>
      </c>
      <c r="N8" s="86">
        <f>'13'!AD11</f>
        <v>0</v>
      </c>
      <c r="O8" s="86">
        <f>'14'!AD11</f>
        <v>0</v>
      </c>
      <c r="P8" s="86">
        <f>'15'!AD11</f>
        <v>0.45833333333333331</v>
      </c>
      <c r="Q8" s="86">
        <f>'16'!AD11</f>
        <v>0.41666666666666669</v>
      </c>
      <c r="R8" s="86"/>
      <c r="S8" s="86"/>
      <c r="T8" s="86">
        <f>'19'!AD11</f>
        <v>1</v>
      </c>
      <c r="U8" s="86">
        <f>'20'!AD11</f>
        <v>1</v>
      </c>
      <c r="V8" s="86">
        <f>'21'!AD13</f>
        <v>0.99897610921501712</v>
      </c>
      <c r="W8" s="86">
        <f>'22'!AD11</f>
        <v>1</v>
      </c>
      <c r="X8" s="86">
        <f>'23'!AD11</f>
        <v>1</v>
      </c>
      <c r="Y8" s="86">
        <f>'24'!AD11</f>
        <v>1</v>
      </c>
      <c r="Z8" s="86"/>
      <c r="AA8" s="86">
        <f>'26'!AD11</f>
        <v>0.91666666666666663</v>
      </c>
      <c r="AB8" s="86">
        <f>'27'!AD11</f>
        <v>0</v>
      </c>
      <c r="AC8" s="86">
        <f>'28'!AD11</f>
        <v>0</v>
      </c>
      <c r="AD8" s="86">
        <f>'29'!AD11</f>
        <v>0</v>
      </c>
      <c r="AE8" s="86">
        <f>'30'!AD11</f>
        <v>0</v>
      </c>
      <c r="AF8" s="87"/>
      <c r="AG8" s="88">
        <f t="shared" si="0"/>
        <v>0.31938827618411858</v>
      </c>
    </row>
    <row r="9" spans="1:33" ht="21.75" customHeight="1">
      <c r="A9" s="118" t="s">
        <v>66</v>
      </c>
      <c r="B9" s="113">
        <f>'01'!AD12</f>
        <v>1</v>
      </c>
      <c r="C9" s="113">
        <f>'02'!AD12</f>
        <v>1</v>
      </c>
      <c r="D9" s="86"/>
      <c r="E9" s="86"/>
      <c r="F9" s="86">
        <f>'05'!AD12</f>
        <v>0.875</v>
      </c>
      <c r="G9" s="86">
        <f>'06'!AD12</f>
        <v>0</v>
      </c>
      <c r="H9" s="86">
        <f>'07'!AD12</f>
        <v>0.41666666666666669</v>
      </c>
      <c r="I9" s="86">
        <f>'08'!AD12</f>
        <v>0.5</v>
      </c>
      <c r="J9" s="86">
        <f>'09'!AD12</f>
        <v>0.45833333333333331</v>
      </c>
      <c r="K9" s="86"/>
      <c r="L9" s="86"/>
      <c r="M9" s="86">
        <f>'12'!AD13</f>
        <v>0.5</v>
      </c>
      <c r="N9" s="86">
        <f>'13'!AD12</f>
        <v>0.5</v>
      </c>
      <c r="O9" s="86">
        <f>'14'!AD12</f>
        <v>0.5</v>
      </c>
      <c r="P9" s="86">
        <f>'15'!AD12</f>
        <v>0.5</v>
      </c>
      <c r="Q9" s="86">
        <f>'16'!AD12</f>
        <v>0.5</v>
      </c>
      <c r="R9" s="86"/>
      <c r="S9" s="86"/>
      <c r="T9" s="86">
        <f>'19'!AD12</f>
        <v>0</v>
      </c>
      <c r="U9" s="86">
        <f>'20'!AD12</f>
        <v>0.91666666666666663</v>
      </c>
      <c r="V9" s="86">
        <f>'21'!AD14</f>
        <v>1</v>
      </c>
      <c r="W9" s="86">
        <f>'22'!AD12</f>
        <v>0.25</v>
      </c>
      <c r="X9" s="86">
        <f>'23'!AD12</f>
        <v>0.58333333333333337</v>
      </c>
      <c r="Y9" s="86">
        <f>'24'!AD12</f>
        <v>0.375</v>
      </c>
      <c r="Z9" s="86"/>
      <c r="AA9" s="86">
        <f>'26'!AD12+'26'!AD13</f>
        <v>0.91666666666666674</v>
      </c>
      <c r="AB9" s="86">
        <f>'27'!AD12</f>
        <v>0.66646153846153844</v>
      </c>
      <c r="AC9" s="86">
        <f>'28'!AD12</f>
        <v>1</v>
      </c>
      <c r="AD9" s="86">
        <f>'29'!AD12</f>
        <v>0.20811855670103094</v>
      </c>
      <c r="AE9" s="86">
        <f>'30'!AD12</f>
        <v>0.75</v>
      </c>
      <c r="AF9" s="87"/>
      <c r="AG9" s="88">
        <f t="shared" si="0"/>
        <v>0.44720822539430788</v>
      </c>
    </row>
    <row r="10" spans="1:33" ht="21.75" customHeight="1">
      <c r="A10" s="118" t="s">
        <v>67</v>
      </c>
      <c r="B10" s="113">
        <f>'01'!AD13</f>
        <v>0</v>
      </c>
      <c r="C10" s="113">
        <f>'02'!AD13</f>
        <v>0.75</v>
      </c>
      <c r="D10" s="86"/>
      <c r="E10" s="86"/>
      <c r="F10" s="86">
        <f>'05'!AD13</f>
        <v>0.91666666666666663</v>
      </c>
      <c r="G10" s="86">
        <f>'06'!AD13</f>
        <v>1</v>
      </c>
      <c r="H10" s="86">
        <f>'07'!AD13</f>
        <v>0.5</v>
      </c>
      <c r="I10" s="86">
        <f>'08'!AD13</f>
        <v>0.45833333333333331</v>
      </c>
      <c r="J10" s="86">
        <f>'09'!AD13</f>
        <v>0.45833333333333331</v>
      </c>
      <c r="K10" s="86"/>
      <c r="L10" s="86"/>
      <c r="M10" s="86">
        <f>'12'!AD14</f>
        <v>0.5</v>
      </c>
      <c r="N10" s="86">
        <f>'13'!AD13</f>
        <v>0.5</v>
      </c>
      <c r="O10" s="86">
        <f>'14'!AD13</f>
        <v>0.41666666666666669</v>
      </c>
      <c r="P10" s="86">
        <f>'15'!AD13</f>
        <v>0.5</v>
      </c>
      <c r="Q10" s="86">
        <f>'16'!AD13</f>
        <v>0.16666666666666666</v>
      </c>
      <c r="R10" s="86"/>
      <c r="S10" s="86"/>
      <c r="T10" s="86">
        <f>'19'!AD13</f>
        <v>0</v>
      </c>
      <c r="U10" s="86">
        <f>'20'!AD13</f>
        <v>0</v>
      </c>
      <c r="V10" s="86">
        <f>'21'!AD15</f>
        <v>0.79166666666666663</v>
      </c>
      <c r="W10" s="86">
        <f>'22'!AD13</f>
        <v>1</v>
      </c>
      <c r="X10" s="86">
        <f>'23'!AD13</f>
        <v>0.58333333333333337</v>
      </c>
      <c r="Y10" s="86">
        <f>'24'!AD13</f>
        <v>0.91666666666666663</v>
      </c>
      <c r="Z10" s="86"/>
      <c r="AA10" s="86">
        <f>'26'!AD14</f>
        <v>0.75</v>
      </c>
      <c r="AB10" s="86">
        <f>'27'!AD13</f>
        <v>0.24916666666666668</v>
      </c>
      <c r="AC10" s="86">
        <f>'28'!AD13</f>
        <v>0</v>
      </c>
      <c r="AD10" s="86">
        <f>'29'!AD13</f>
        <v>0.83333333333333337</v>
      </c>
      <c r="AE10" s="86">
        <f>'30'!AD13</f>
        <v>0.875</v>
      </c>
      <c r="AF10" s="87"/>
      <c r="AG10" s="88">
        <f t="shared" si="0"/>
        <v>0.40552777777777782</v>
      </c>
    </row>
    <row r="11" spans="1:33" ht="21.75" customHeight="1">
      <c r="A11" s="117" t="s">
        <v>68</v>
      </c>
      <c r="B11" s="112">
        <f>'01'!AD14</f>
        <v>0.95833333333333337</v>
      </c>
      <c r="C11" s="112">
        <f>'02'!AD14</f>
        <v>0.95833333333333337</v>
      </c>
      <c r="D11" s="83"/>
      <c r="E11" s="83"/>
      <c r="F11" s="83">
        <f>'05'!AD14</f>
        <v>0.20833333333333334</v>
      </c>
      <c r="G11" s="83">
        <f>'06'!AD14</f>
        <v>0</v>
      </c>
      <c r="H11" s="83">
        <f>'07'!AD14</f>
        <v>0</v>
      </c>
      <c r="I11" s="83">
        <f>'08'!AD14</f>
        <v>0</v>
      </c>
      <c r="J11" s="83">
        <f>'09'!AD14</f>
        <v>0</v>
      </c>
      <c r="K11" s="83"/>
      <c r="L11" s="83"/>
      <c r="M11" s="83">
        <f>'12'!AD15</f>
        <v>0</v>
      </c>
      <c r="N11" s="83">
        <f>'13'!AD14</f>
        <v>0.25</v>
      </c>
      <c r="O11" s="83">
        <f>'14'!AD14+'14'!AD15</f>
        <v>0.5</v>
      </c>
      <c r="P11" s="83">
        <f>'15'!AD14</f>
        <v>0.16666666666666666</v>
      </c>
      <c r="Q11" s="83">
        <f>'16'!AD14</f>
        <v>0.375</v>
      </c>
      <c r="R11" s="83"/>
      <c r="S11" s="83"/>
      <c r="T11" s="83">
        <f>'19'!AD14</f>
        <v>0</v>
      </c>
      <c r="U11" s="83">
        <f>'20'!AD14</f>
        <v>0</v>
      </c>
      <c r="V11" s="83">
        <f>'21'!AD16</f>
        <v>0.16666666666666666</v>
      </c>
      <c r="W11" s="83">
        <f>'22'!AD14</f>
        <v>0</v>
      </c>
      <c r="X11" s="83">
        <f>'23'!AD14</f>
        <v>0</v>
      </c>
      <c r="Y11" s="83">
        <f>'24'!AD14</f>
        <v>0</v>
      </c>
      <c r="Z11" s="83"/>
      <c r="AA11" s="83">
        <f>'26'!AD15</f>
        <v>0</v>
      </c>
      <c r="AB11" s="83">
        <f>'27'!AD14</f>
        <v>0.16666666666666666</v>
      </c>
      <c r="AC11" s="83">
        <f>'28'!AD14</f>
        <v>0.5</v>
      </c>
      <c r="AD11" s="83">
        <f>'29'!AD14</f>
        <v>0</v>
      </c>
      <c r="AE11" s="83">
        <f>'30'!AD14</f>
        <v>0.375</v>
      </c>
      <c r="AF11" s="84"/>
      <c r="AG11" s="85">
        <f t="shared" si="0"/>
        <v>0.15416666666666667</v>
      </c>
    </row>
    <row r="12" spans="1:33" ht="21.75" customHeight="1">
      <c r="A12" s="117" t="s">
        <v>69</v>
      </c>
      <c r="B12" s="112">
        <f>'01'!AD15</f>
        <v>0.66666666666666663</v>
      </c>
      <c r="C12" s="112">
        <f>'02'!AD15</f>
        <v>0</v>
      </c>
      <c r="D12" s="83"/>
      <c r="E12" s="83"/>
      <c r="F12" s="83">
        <f>'05'!AD15</f>
        <v>0</v>
      </c>
      <c r="G12" s="83">
        <f>'06'!AD15</f>
        <v>0</v>
      </c>
      <c r="H12" s="83">
        <f>'07'!AD15</f>
        <v>0</v>
      </c>
      <c r="I12" s="83">
        <f>'08'!AD15</f>
        <v>0</v>
      </c>
      <c r="J12" s="83">
        <f>'09'!AD15</f>
        <v>0</v>
      </c>
      <c r="K12" s="83"/>
      <c r="L12" s="83"/>
      <c r="M12" s="83">
        <f>'12'!AD16</f>
        <v>0</v>
      </c>
      <c r="N12" s="83">
        <f>'13'!AD15</f>
        <v>0</v>
      </c>
      <c r="O12" s="83">
        <f>'14'!AD16</f>
        <v>0</v>
      </c>
      <c r="P12" s="83">
        <f>'15'!AD15</f>
        <v>0</v>
      </c>
      <c r="Q12" s="83">
        <f>'16'!AD15</f>
        <v>0</v>
      </c>
      <c r="R12" s="83"/>
      <c r="S12" s="83"/>
      <c r="T12" s="83">
        <f>'19'!AD15</f>
        <v>0</v>
      </c>
      <c r="U12" s="83">
        <f>'20'!AD15</f>
        <v>0</v>
      </c>
      <c r="V12" s="83">
        <f>'21'!AD17</f>
        <v>0</v>
      </c>
      <c r="W12" s="83">
        <f>'22'!AD15</f>
        <v>0.79166666666666663</v>
      </c>
      <c r="X12" s="83">
        <f>'23'!AD15</f>
        <v>0.99983792544570504</v>
      </c>
      <c r="Y12" s="83">
        <f>'24'!AD15</f>
        <v>0</v>
      </c>
      <c r="Z12" s="83"/>
      <c r="AA12" s="83">
        <f>'26'!AD16</f>
        <v>0.66666666666666663</v>
      </c>
      <c r="AB12" s="83">
        <f>'27'!AD15</f>
        <v>1</v>
      </c>
      <c r="AC12" s="83">
        <f>'28'!AD15</f>
        <v>0.66666666666666663</v>
      </c>
      <c r="AD12" s="83">
        <f>'29'!AD15</f>
        <v>0.5</v>
      </c>
      <c r="AE12" s="83">
        <f>'30'!AD15</f>
        <v>1</v>
      </c>
      <c r="AF12" s="84"/>
      <c r="AG12" s="85">
        <f t="shared" si="0"/>
        <v>0.20971681973707906</v>
      </c>
    </row>
    <row r="13" spans="1:33" ht="21.75" customHeight="1">
      <c r="A13" s="117" t="s">
        <v>70</v>
      </c>
      <c r="B13" s="112">
        <f>'01'!AD16</f>
        <v>0</v>
      </c>
      <c r="C13" s="112">
        <f>'02'!AD16</f>
        <v>0.16666666666666666</v>
      </c>
      <c r="D13" s="83"/>
      <c r="E13" s="83"/>
      <c r="F13" s="83">
        <f>'05'!AD16</f>
        <v>0</v>
      </c>
      <c r="G13" s="83">
        <f>'06'!AD16</f>
        <v>0.58333333333333337</v>
      </c>
      <c r="H13" s="83">
        <f>'07'!AD16</f>
        <v>0.375</v>
      </c>
      <c r="I13" s="83">
        <f>'08'!AD16</f>
        <v>0.41666666666666669</v>
      </c>
      <c r="J13" s="83">
        <f>'09'!AD16</f>
        <v>0</v>
      </c>
      <c r="K13" s="83"/>
      <c r="L13" s="83"/>
      <c r="M13" s="83">
        <f>'12'!AD17</f>
        <v>0</v>
      </c>
      <c r="N13" s="83">
        <f>'13'!AD16</f>
        <v>0</v>
      </c>
      <c r="O13" s="83">
        <f>'14'!AD17</f>
        <v>0.16666666666666666</v>
      </c>
      <c r="P13" s="83">
        <f>'15'!AD16</f>
        <v>0.25</v>
      </c>
      <c r="Q13" s="83">
        <f>'16'!AD16</f>
        <v>0</v>
      </c>
      <c r="R13" s="83"/>
      <c r="S13" s="83"/>
      <c r="T13" s="83">
        <f>'19'!AD16</f>
        <v>0</v>
      </c>
      <c r="U13" s="83">
        <f>'20'!AD16</f>
        <v>0</v>
      </c>
      <c r="V13" s="83">
        <f>'21'!AD18</f>
        <v>0.16666666666666666</v>
      </c>
      <c r="W13" s="83">
        <f>'22'!AD16</f>
        <v>1</v>
      </c>
      <c r="X13" s="83">
        <f>'23'!AD16</f>
        <v>0.54130555555555548</v>
      </c>
      <c r="Y13" s="83">
        <f>'24'!AD16</f>
        <v>0.9993537964458804</v>
      </c>
      <c r="Z13" s="83"/>
      <c r="AA13" s="83">
        <f>'26'!AD17</f>
        <v>0</v>
      </c>
      <c r="AB13" s="83">
        <f>'27'!AD16</f>
        <v>0</v>
      </c>
      <c r="AC13" s="83">
        <f>'28'!AD16</f>
        <v>0</v>
      </c>
      <c r="AD13" s="83">
        <f>'29'!AD16</f>
        <v>0</v>
      </c>
      <c r="AE13" s="83">
        <f>'30'!AD16</f>
        <v>0</v>
      </c>
      <c r="AF13" s="84"/>
      <c r="AG13" s="85">
        <f t="shared" si="0"/>
        <v>0.15552197840004786</v>
      </c>
    </row>
    <row r="14" spans="1:33" ht="21.75" customHeight="1">
      <c r="A14" s="117" t="s">
        <v>71</v>
      </c>
      <c r="B14" s="112">
        <f>'01'!AD17</f>
        <v>0</v>
      </c>
      <c r="C14" s="112">
        <f>'02'!AD17</f>
        <v>0</v>
      </c>
      <c r="D14" s="83"/>
      <c r="E14" s="83"/>
      <c r="F14" s="83">
        <f>'05'!AD17</f>
        <v>0</v>
      </c>
      <c r="G14" s="83">
        <f>'06'!AD17</f>
        <v>0</v>
      </c>
      <c r="H14" s="83">
        <f>'07'!AD17</f>
        <v>0.49940476190476191</v>
      </c>
      <c r="I14" s="83">
        <f>'08'!AD17+'08'!AD18</f>
        <v>0.375</v>
      </c>
      <c r="J14" s="83">
        <f>'09'!AD17</f>
        <v>0</v>
      </c>
      <c r="K14" s="83"/>
      <c r="L14" s="83"/>
      <c r="M14" s="83">
        <f>'12'!AD18</f>
        <v>0</v>
      </c>
      <c r="N14" s="83">
        <f>'13'!AD17</f>
        <v>0</v>
      </c>
      <c r="O14" s="83">
        <f>'14'!AD18+'14'!AD19</f>
        <v>0.45833333333333337</v>
      </c>
      <c r="P14" s="83">
        <f>'15'!AD17</f>
        <v>0.45833333333333331</v>
      </c>
      <c r="Q14" s="83">
        <f>'16'!AD17</f>
        <v>0</v>
      </c>
      <c r="R14" s="83"/>
      <c r="S14" s="83"/>
      <c r="T14" s="83">
        <f>'19'!AD17</f>
        <v>0</v>
      </c>
      <c r="U14" s="83">
        <f>'20'!AD17</f>
        <v>0</v>
      </c>
      <c r="V14" s="83">
        <f>'21'!AD19</f>
        <v>1</v>
      </c>
      <c r="W14" s="83">
        <f>'22'!AD17</f>
        <v>1</v>
      </c>
      <c r="X14" s="83">
        <f>'23'!AD17</f>
        <v>1</v>
      </c>
      <c r="Y14" s="83">
        <f>'24'!AD17</f>
        <v>0</v>
      </c>
      <c r="Z14" s="83"/>
      <c r="AA14" s="83">
        <f>'26'!AD18</f>
        <v>1</v>
      </c>
      <c r="AB14" s="83">
        <f>'27'!AD17</f>
        <v>0.58333333333333337</v>
      </c>
      <c r="AC14" s="83">
        <f>'28'!AD17</f>
        <v>1</v>
      </c>
      <c r="AD14" s="83">
        <f>'29'!AD17</f>
        <v>0.99928571428571433</v>
      </c>
      <c r="AE14" s="83">
        <f>'30'!AD17</f>
        <v>1</v>
      </c>
      <c r="AF14" s="84"/>
      <c r="AG14" s="85">
        <f t="shared" si="0"/>
        <v>0.31245634920634918</v>
      </c>
    </row>
    <row r="15" spans="1:33" ht="21.75" customHeight="1">
      <c r="A15" s="118" t="s">
        <v>72</v>
      </c>
      <c r="B15" s="113">
        <f>'01'!AD18</f>
        <v>0.99912434325744304</v>
      </c>
      <c r="C15" s="113">
        <f>'02'!AD18</f>
        <v>1</v>
      </c>
      <c r="D15" s="86"/>
      <c r="E15" s="86"/>
      <c r="F15" s="86">
        <f>'05'!AD18</f>
        <v>1</v>
      </c>
      <c r="G15" s="86">
        <f>'06'!AD18</f>
        <v>0.95833333333333337</v>
      </c>
      <c r="H15" s="86">
        <f>'07'!AD18</f>
        <v>0.5</v>
      </c>
      <c r="I15" s="86">
        <f>'08'!AD19</f>
        <v>0.5</v>
      </c>
      <c r="J15" s="86">
        <f>'09'!AD18</f>
        <v>0.16666666666666666</v>
      </c>
      <c r="K15" s="86"/>
      <c r="L15" s="86"/>
      <c r="M15" s="86">
        <f>'12'!AD19</f>
        <v>0.16642857142857143</v>
      </c>
      <c r="N15" s="86">
        <f>'13'!AD18</f>
        <v>0.25</v>
      </c>
      <c r="O15" s="86">
        <f>'14'!AD20</f>
        <v>0.41666666666666669</v>
      </c>
      <c r="P15" s="86">
        <f>'15'!AD18</f>
        <v>0</v>
      </c>
      <c r="Q15" s="86">
        <f>'16'!AD18</f>
        <v>0</v>
      </c>
      <c r="R15" s="86"/>
      <c r="S15" s="86"/>
      <c r="T15" s="86">
        <f>'19'!AD18</f>
        <v>0.83333333333333337</v>
      </c>
      <c r="U15" s="86">
        <f>'20'!AD18</f>
        <v>1</v>
      </c>
      <c r="V15" s="86">
        <f>'21'!AD20</f>
        <v>1</v>
      </c>
      <c r="W15" s="86">
        <f>'22'!AD18</f>
        <v>0.75</v>
      </c>
      <c r="X15" s="86">
        <f>'23'!AD18</f>
        <v>0.91666666666666663</v>
      </c>
      <c r="Y15" s="86">
        <f>'24'!AD18</f>
        <v>1</v>
      </c>
      <c r="Z15" s="86"/>
      <c r="AA15" s="86">
        <f>'26'!AD19</f>
        <v>0.70833333333333337</v>
      </c>
      <c r="AB15" s="86">
        <f>'27'!AD18</f>
        <v>1</v>
      </c>
      <c r="AC15" s="86">
        <f>'28'!AD18</f>
        <v>1</v>
      </c>
      <c r="AD15" s="86">
        <f>'29'!AD18</f>
        <v>0.91666666666666663</v>
      </c>
      <c r="AE15" s="86">
        <f>'30'!AD18</f>
        <v>1</v>
      </c>
      <c r="AF15" s="87"/>
      <c r="AG15" s="88">
        <f t="shared" si="0"/>
        <v>0.53607398604508938</v>
      </c>
    </row>
    <row r="16" spans="1:33" ht="21.75" customHeight="1">
      <c r="A16" s="118" t="s">
        <v>73</v>
      </c>
      <c r="B16" s="113">
        <f>'01'!AD19</f>
        <v>0.75</v>
      </c>
      <c r="C16" s="113">
        <f>'02'!AD19</f>
        <v>1</v>
      </c>
      <c r="D16" s="86"/>
      <c r="E16" s="86"/>
      <c r="F16" s="86">
        <f>'05'!AD19</f>
        <v>1</v>
      </c>
      <c r="G16" s="86">
        <f>'06'!AD19</f>
        <v>0.16666666666666666</v>
      </c>
      <c r="H16" s="86">
        <f>'07'!AD19</f>
        <v>0.5</v>
      </c>
      <c r="I16" s="86">
        <f>'08'!AD20</f>
        <v>0.5</v>
      </c>
      <c r="J16" s="86">
        <f>'09'!AD19</f>
        <v>0</v>
      </c>
      <c r="K16" s="86"/>
      <c r="L16" s="86"/>
      <c r="M16" s="86">
        <f>'12'!AD20</f>
        <v>0.5</v>
      </c>
      <c r="N16" s="86">
        <f>'13'!AD19</f>
        <v>0.41666666666666669</v>
      </c>
      <c r="O16" s="86">
        <f>'14'!AD21</f>
        <v>0</v>
      </c>
      <c r="P16" s="86">
        <f>'15'!AD19</f>
        <v>0.5</v>
      </c>
      <c r="Q16" s="86">
        <f>'16'!AD19</f>
        <v>0.5</v>
      </c>
      <c r="R16" s="86"/>
      <c r="S16" s="86"/>
      <c r="T16" s="86">
        <f>'19'!AD19</f>
        <v>0.99980276134122292</v>
      </c>
      <c r="U16" s="86">
        <f>'20'!AD19</f>
        <v>0.83333333333333337</v>
      </c>
      <c r="V16" s="86">
        <f>'21'!AD21</f>
        <v>1</v>
      </c>
      <c r="W16" s="86">
        <f>'22'!AD19</f>
        <v>1</v>
      </c>
      <c r="X16" s="86">
        <f>'23'!AD19+'23'!AD20</f>
        <v>0.95816176470588232</v>
      </c>
      <c r="Y16" s="86">
        <f>'24'!AD20+'24'!AD21</f>
        <v>0.95833333333333326</v>
      </c>
      <c r="Z16" s="86"/>
      <c r="AA16" s="86">
        <f>'26'!AD20</f>
        <v>0</v>
      </c>
      <c r="AB16" s="86">
        <f>'27'!AD19</f>
        <v>0</v>
      </c>
      <c r="AC16" s="86">
        <f>'28'!AD19</f>
        <v>0.54166666666666663</v>
      </c>
      <c r="AD16" s="86">
        <f>'29'!AD19</f>
        <v>0.58333333333333337</v>
      </c>
      <c r="AE16" s="86">
        <f>'30'!AD19</f>
        <v>0</v>
      </c>
      <c r="AF16" s="87"/>
      <c r="AG16" s="88">
        <f t="shared" si="0"/>
        <v>0.42359881753490358</v>
      </c>
    </row>
    <row r="17" spans="1:33" ht="21.75" customHeight="1" thickBot="1">
      <c r="A17" s="119" t="s">
        <v>111</v>
      </c>
      <c r="B17" s="114">
        <f>'01'!AD20</f>
        <v>0.45833333333333331</v>
      </c>
      <c r="C17" s="114">
        <f>'02'!AD20</f>
        <v>0.45134891071226996</v>
      </c>
      <c r="D17" s="89"/>
      <c r="E17" s="89"/>
      <c r="F17" s="89">
        <f>'05'!AD20</f>
        <v>0.45833333333333331</v>
      </c>
      <c r="G17" s="89">
        <f>'06'!AD20</f>
        <v>0.16666666666666666</v>
      </c>
      <c r="H17" s="89">
        <f>'07'!AD20</f>
        <v>0</v>
      </c>
      <c r="I17" s="89">
        <f>'08'!AD21</f>
        <v>0</v>
      </c>
      <c r="J17" s="89">
        <f>'09'!AD20</f>
        <v>0</v>
      </c>
      <c r="K17" s="89"/>
      <c r="L17" s="89"/>
      <c r="M17" s="89">
        <f>'12'!AD21</f>
        <v>0</v>
      </c>
      <c r="N17" s="89">
        <f>'13'!AD20</f>
        <v>0</v>
      </c>
      <c r="O17" s="89">
        <f>'14'!AD22</f>
        <v>0</v>
      </c>
      <c r="P17" s="89">
        <f>'15'!AD20</f>
        <v>0</v>
      </c>
      <c r="Q17" s="89">
        <f>'16'!AD20</f>
        <v>0</v>
      </c>
      <c r="R17" s="89"/>
      <c r="S17" s="89"/>
      <c r="T17" s="89">
        <f>'19'!AD20</f>
        <v>0</v>
      </c>
      <c r="U17" s="89">
        <f>'20'!AD20</f>
        <v>0.33333333333333331</v>
      </c>
      <c r="V17" s="89">
        <f>'21'!AD22</f>
        <v>0.5</v>
      </c>
      <c r="W17" s="89">
        <f>'22'!AD20</f>
        <v>0.5</v>
      </c>
      <c r="X17" s="89">
        <f>'23'!AD21</f>
        <v>0</v>
      </c>
      <c r="Y17" s="89">
        <f>'24'!AD22</f>
        <v>0</v>
      </c>
      <c r="Z17" s="89"/>
      <c r="AA17" s="89">
        <f>'26'!AD21</f>
        <v>0</v>
      </c>
      <c r="AB17" s="89">
        <f>'27'!AD20</f>
        <v>0.75</v>
      </c>
      <c r="AC17" s="89">
        <f>'28'!AD20</f>
        <v>0.54152560763888891</v>
      </c>
      <c r="AD17" s="89">
        <f>'29'!AD20</f>
        <v>0.54166666666666663</v>
      </c>
      <c r="AE17" s="89">
        <f>'30'!AD20</f>
        <v>0.5</v>
      </c>
      <c r="AF17" s="90"/>
      <c r="AG17" s="91">
        <f t="shared" si="0"/>
        <v>0.17337359505614974</v>
      </c>
    </row>
    <row r="18" spans="1:33" s="92" customFormat="1" ht="21.75" customHeight="1">
      <c r="A18" s="96" t="s">
        <v>105</v>
      </c>
      <c r="B18" s="100">
        <f>'01'!AD21</f>
        <v>0.57489754574884333</v>
      </c>
      <c r="C18" s="100">
        <f>'02'!AD21</f>
        <v>0.51897881626970699</v>
      </c>
      <c r="D18" s="101"/>
      <c r="E18" s="101"/>
      <c r="F18" s="101">
        <f>'05'!AD21</f>
        <v>0.40277777777777779</v>
      </c>
      <c r="G18" s="101">
        <f>'06'!AD21</f>
        <v>0.29444444444444451</v>
      </c>
      <c r="H18" s="101">
        <f>'07'!AD21</f>
        <v>0.21940476190476191</v>
      </c>
      <c r="I18" s="101">
        <f>'08'!AD22</f>
        <v>0.25833333333333336</v>
      </c>
      <c r="J18" s="101">
        <f>'09'!AD21</f>
        <v>0.10277777777777779</v>
      </c>
      <c r="K18" s="101"/>
      <c r="L18" s="101"/>
      <c r="M18" s="101">
        <f>'12'!AD22</f>
        <v>0.21109523809523809</v>
      </c>
      <c r="N18" s="101">
        <f>'13'!AD21</f>
        <v>0.22222222222222224</v>
      </c>
      <c r="O18" s="101">
        <f>'14'!AD23</f>
        <v>0.19166666666666668</v>
      </c>
      <c r="P18" s="101">
        <f>'15'!AD21</f>
        <v>0.2277777777777778</v>
      </c>
      <c r="Q18" s="101">
        <f>'16'!AD21</f>
        <v>0.19722222222222224</v>
      </c>
      <c r="R18" s="101"/>
      <c r="S18" s="101"/>
      <c r="T18" s="101">
        <f>'19'!AD21</f>
        <v>0.38609796186719264</v>
      </c>
      <c r="U18" s="101">
        <f>'20'!AD21</f>
        <v>0.4055555555555555</v>
      </c>
      <c r="V18" s="101">
        <f>'21'!AD23</f>
        <v>0.6054763791393224</v>
      </c>
      <c r="W18" s="101">
        <f>'22'!AD21</f>
        <v>0.60552249770431588</v>
      </c>
      <c r="X18" s="101">
        <f>'23'!AD22</f>
        <v>0.63050923860269836</v>
      </c>
      <c r="Y18" s="101">
        <f>'24'!AD23</f>
        <v>0.54440136420750318</v>
      </c>
      <c r="Z18" s="101"/>
      <c r="AA18" s="101">
        <f>'26'!AD22</f>
        <v>0.46385572139303477</v>
      </c>
      <c r="AB18" s="101">
        <f>'27'!AD21</f>
        <v>0.4776252136752136</v>
      </c>
      <c r="AC18" s="101">
        <f>'28'!AD21</f>
        <v>0.53973365162037035</v>
      </c>
      <c r="AD18" s="101">
        <f>'29'!AD21</f>
        <v>0.44714980255215619</v>
      </c>
      <c r="AE18" s="101">
        <f>'30'!AD21</f>
        <v>0.56388888888888888</v>
      </c>
      <c r="AF18" s="102"/>
      <c r="AG18" s="105">
        <f t="shared" si="0"/>
        <v>0.30304716198156745</v>
      </c>
    </row>
    <row r="19" spans="1:33" ht="21.75" customHeight="1" thickBot="1">
      <c r="A19" s="75" t="s">
        <v>109</v>
      </c>
      <c r="B19" s="76">
        <v>0.7</v>
      </c>
      <c r="C19" s="77">
        <v>0.7</v>
      </c>
      <c r="D19" s="77">
        <v>0.7</v>
      </c>
      <c r="E19" s="77">
        <v>0.7</v>
      </c>
      <c r="F19" s="77">
        <v>0.7</v>
      </c>
      <c r="G19" s="77">
        <v>0.7</v>
      </c>
      <c r="H19" s="77">
        <v>0.7</v>
      </c>
      <c r="I19" s="77">
        <v>0.7</v>
      </c>
      <c r="J19" s="77">
        <v>0.7</v>
      </c>
      <c r="K19" s="77">
        <v>0.7</v>
      </c>
      <c r="L19" s="77">
        <v>0.7</v>
      </c>
      <c r="M19" s="77">
        <v>0.7</v>
      </c>
      <c r="N19" s="77">
        <v>0.7</v>
      </c>
      <c r="O19" s="77">
        <v>0.7</v>
      </c>
      <c r="P19" s="77">
        <v>0.7</v>
      </c>
      <c r="Q19" s="77">
        <v>0.7</v>
      </c>
      <c r="R19" s="77">
        <v>0.7</v>
      </c>
      <c r="S19" s="77">
        <v>0.7</v>
      </c>
      <c r="T19" s="77">
        <v>0.7</v>
      </c>
      <c r="U19" s="77">
        <v>0.7</v>
      </c>
      <c r="V19" s="77">
        <v>0.7</v>
      </c>
      <c r="W19" s="77">
        <v>0.7</v>
      </c>
      <c r="X19" s="77">
        <v>0.7</v>
      </c>
      <c r="Y19" s="77">
        <v>0.7</v>
      </c>
      <c r="Z19" s="77">
        <v>0.7</v>
      </c>
      <c r="AA19" s="77">
        <v>0.7</v>
      </c>
      <c r="AB19" s="77">
        <v>0.7</v>
      </c>
      <c r="AC19" s="77">
        <v>0.7</v>
      </c>
      <c r="AD19" s="77">
        <v>0.7</v>
      </c>
      <c r="AE19" s="77">
        <v>0.7</v>
      </c>
      <c r="AF19" s="78">
        <v>0.7</v>
      </c>
      <c r="AG19" s="79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B450-C9FB-4EEB-A5D6-5AC049FF9C4E}">
  <sheetPr>
    <pageSetUpPr fitToPage="1"/>
  </sheetPr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165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135" t="s">
        <v>17</v>
      </c>
      <c r="L5" s="135" t="s">
        <v>18</v>
      </c>
      <c r="M5" s="135" t="s">
        <v>19</v>
      </c>
      <c r="N5" s="1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0.57489754574884333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0.57489754574884333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118</v>
      </c>
      <c r="D8" s="55" t="s">
        <v>133</v>
      </c>
      <c r="E8" s="57" t="s">
        <v>136</v>
      </c>
      <c r="F8" s="33" t="s">
        <v>129</v>
      </c>
      <c r="G8" s="36">
        <v>1</v>
      </c>
      <c r="H8" s="38">
        <v>25</v>
      </c>
      <c r="I8" s="7">
        <v>18000</v>
      </c>
      <c r="J8" s="5">
        <v>5403</v>
      </c>
      <c r="K8" s="15">
        <f>L8+4451+2564+5334+5151</f>
        <v>22903</v>
      </c>
      <c r="L8" s="15">
        <f>2886+2517</f>
        <v>5403</v>
      </c>
      <c r="M8" s="16">
        <f t="shared" si="0"/>
        <v>5403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0.57489754574884333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135</v>
      </c>
      <c r="F9" s="33" t="s">
        <v>128</v>
      </c>
      <c r="G9" s="36">
        <v>1</v>
      </c>
      <c r="H9" s="38">
        <v>25</v>
      </c>
      <c r="I9" s="7">
        <v>18000</v>
      </c>
      <c r="J9" s="5">
        <v>3443</v>
      </c>
      <c r="K9" s="15">
        <f>L9+3346+4675+4163+4691</f>
        <v>20318</v>
      </c>
      <c r="L9" s="15">
        <f>2192+1251</f>
        <v>3443</v>
      </c>
      <c r="M9" s="16">
        <f t="shared" si="0"/>
        <v>3443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9">
        <f t="shared" si="7"/>
        <v>0.57489754574884333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118</v>
      </c>
      <c r="D10" s="55" t="s">
        <v>131</v>
      </c>
      <c r="E10" s="57" t="s">
        <v>130</v>
      </c>
      <c r="F10" s="12" t="s">
        <v>129</v>
      </c>
      <c r="G10" s="12">
        <v>2</v>
      </c>
      <c r="H10" s="13">
        <v>25</v>
      </c>
      <c r="I10" s="7">
        <v>40000</v>
      </c>
      <c r="J10" s="14">
        <v>12254</v>
      </c>
      <c r="K10" s="15">
        <f>L10+10478+14576+14436</f>
        <v>51744</v>
      </c>
      <c r="L10" s="15">
        <f>2685*2+3442*2</f>
        <v>12254</v>
      </c>
      <c r="M10" s="16">
        <f t="shared" si="0"/>
        <v>12254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0.57489754574884333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134</v>
      </c>
      <c r="F11" s="12" t="s">
        <v>127</v>
      </c>
      <c r="G11" s="12">
        <v>1</v>
      </c>
      <c r="H11" s="13">
        <v>25</v>
      </c>
      <c r="I11" s="34">
        <v>15000</v>
      </c>
      <c r="J11" s="5">
        <v>6050</v>
      </c>
      <c r="K11" s="15">
        <f>L11+5375+6082</f>
        <v>17503</v>
      </c>
      <c r="L11" s="15">
        <f>3249+2797</f>
        <v>6046</v>
      </c>
      <c r="M11" s="16">
        <f t="shared" si="0"/>
        <v>6046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0.99933884297520659</v>
      </c>
      <c r="AC11" s="9">
        <f t="shared" si="5"/>
        <v>1</v>
      </c>
      <c r="AD11" s="10">
        <f t="shared" si="6"/>
        <v>0.99933884297520659</v>
      </c>
      <c r="AE11" s="39">
        <f t="shared" si="7"/>
        <v>0.57489754574884333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146</v>
      </c>
      <c r="E12" s="57" t="s">
        <v>160</v>
      </c>
      <c r="F12" s="12">
        <v>7301</v>
      </c>
      <c r="G12" s="12">
        <v>1</v>
      </c>
      <c r="H12" s="13">
        <v>25</v>
      </c>
      <c r="I12" s="7">
        <v>25000</v>
      </c>
      <c r="J12" s="14">
        <v>5287</v>
      </c>
      <c r="K12" s="15">
        <f>L12+4854</f>
        <v>10141</v>
      </c>
      <c r="L12" s="15">
        <f>2828+2459</f>
        <v>5287</v>
      </c>
      <c r="M12" s="16">
        <f t="shared" si="0"/>
        <v>5287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0.57489754574884333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148</v>
      </c>
      <c r="E13" s="57" t="s">
        <v>164</v>
      </c>
      <c r="F13" s="12" t="s">
        <v>122</v>
      </c>
      <c r="G13" s="12">
        <v>1</v>
      </c>
      <c r="H13" s="13">
        <v>25</v>
      </c>
      <c r="I13" s="7">
        <v>20000</v>
      </c>
      <c r="J13" s="14">
        <v>820</v>
      </c>
      <c r="K13" s="15">
        <f>L13</f>
        <v>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0.57489754574884333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118</v>
      </c>
      <c r="D14" s="55" t="s">
        <v>152</v>
      </c>
      <c r="E14" s="57" t="s">
        <v>158</v>
      </c>
      <c r="F14" s="33" t="s">
        <v>155</v>
      </c>
      <c r="G14" s="36">
        <v>1</v>
      </c>
      <c r="H14" s="38">
        <v>25</v>
      </c>
      <c r="I14" s="7">
        <f>20000</f>
        <v>20000</v>
      </c>
      <c r="J14" s="5">
        <v>5008</v>
      </c>
      <c r="K14" s="15">
        <f>L14+4376+5256</f>
        <v>14640</v>
      </c>
      <c r="L14" s="15">
        <f>2520+2488</f>
        <v>5008</v>
      </c>
      <c r="M14" s="16">
        <f t="shared" si="0"/>
        <v>5008</v>
      </c>
      <c r="N14" s="16">
        <v>0</v>
      </c>
      <c r="O14" s="62">
        <f t="shared" si="1"/>
        <v>0</v>
      </c>
      <c r="P14" s="42">
        <f t="shared" si="2"/>
        <v>23</v>
      </c>
      <c r="Q14" s="43">
        <f t="shared" si="3"/>
        <v>1</v>
      </c>
      <c r="R14" s="7">
        <v>1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0.95833333333333337</v>
      </c>
      <c r="AD14" s="10">
        <f t="shared" si="6"/>
        <v>0.95833333333333337</v>
      </c>
      <c r="AE14" s="39">
        <f t="shared" si="7"/>
        <v>0.57489754574884333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</f>
        <v>4655</v>
      </c>
      <c r="L15" s="15">
        <f>1257+1248</f>
        <v>2505</v>
      </c>
      <c r="M15" s="16">
        <f t="shared" si="0"/>
        <v>2505</v>
      </c>
      <c r="N15" s="16">
        <v>0</v>
      </c>
      <c r="O15" s="62">
        <f t="shared" si="1"/>
        <v>0</v>
      </c>
      <c r="P15" s="42">
        <f t="shared" si="2"/>
        <v>16</v>
      </c>
      <c r="Q15" s="43">
        <f t="shared" si="3"/>
        <v>8</v>
      </c>
      <c r="R15" s="7"/>
      <c r="S15" s="6">
        <v>8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0.66666666666666663</v>
      </c>
      <c r="AD15" s="10">
        <f t="shared" si="6"/>
        <v>0.66666666666666663</v>
      </c>
      <c r="AE15" s="39">
        <f t="shared" si="7"/>
        <v>0.57489754574884333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162</v>
      </c>
      <c r="E16" s="57" t="s">
        <v>161</v>
      </c>
      <c r="F16" s="33" t="s">
        <v>129</v>
      </c>
      <c r="G16" s="36">
        <v>2</v>
      </c>
      <c r="H16" s="38">
        <v>24</v>
      </c>
      <c r="I16" s="7">
        <v>5000</v>
      </c>
      <c r="J16" s="5">
        <v>11556</v>
      </c>
      <c r="K16" s="15">
        <f>L16+11556</f>
        <v>11556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0.57489754574884333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150</v>
      </c>
      <c r="D17" s="55"/>
      <c r="E17" s="57" t="s">
        <v>157</v>
      </c>
      <c r="F17" s="12">
        <v>8301</v>
      </c>
      <c r="G17" s="12" t="s">
        <v>137</v>
      </c>
      <c r="H17" s="13">
        <v>24</v>
      </c>
      <c r="I17" s="34">
        <v>2000</v>
      </c>
      <c r="J17" s="14">
        <v>1660</v>
      </c>
      <c r="K17" s="15">
        <f>L17+1660</f>
        <v>1660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0.57489754574884333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120</v>
      </c>
      <c r="E18" s="57" t="s">
        <v>159</v>
      </c>
      <c r="F18" s="12">
        <v>7301</v>
      </c>
      <c r="G18" s="36">
        <v>1</v>
      </c>
      <c r="H18" s="38">
        <v>24</v>
      </c>
      <c r="I18" s="7">
        <v>25000</v>
      </c>
      <c r="J18" s="5">
        <v>5710</v>
      </c>
      <c r="K18" s="15">
        <f>L18+3536+5741</f>
        <v>14982</v>
      </c>
      <c r="L18" s="15">
        <f>3054+2651</f>
        <v>5705</v>
      </c>
      <c r="M18" s="16">
        <f t="shared" si="0"/>
        <v>5705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0.99912434325744304</v>
      </c>
      <c r="AC18" s="9">
        <f t="shared" si="5"/>
        <v>1</v>
      </c>
      <c r="AD18" s="10">
        <f t="shared" si="6"/>
        <v>0.99912434325744304</v>
      </c>
      <c r="AE18" s="39">
        <f t="shared" si="7"/>
        <v>0.57489754574884333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146</v>
      </c>
      <c r="E19" s="57" t="s">
        <v>156</v>
      </c>
      <c r="F19" s="12">
        <v>7301</v>
      </c>
      <c r="G19" s="36">
        <v>1</v>
      </c>
      <c r="H19" s="13">
        <v>24</v>
      </c>
      <c r="I19" s="7">
        <v>12000</v>
      </c>
      <c r="J19" s="14">
        <v>3018</v>
      </c>
      <c r="K19" s="15">
        <f>L19</f>
        <v>3018</v>
      </c>
      <c r="L19" s="15">
        <f>3018</f>
        <v>3018</v>
      </c>
      <c r="M19" s="16">
        <f t="shared" si="0"/>
        <v>3018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9">
        <f t="shared" si="7"/>
        <v>0.57489754574884333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23624</v>
      </c>
      <c r="K20" s="15">
        <f>L20+21192+22576+21736</f>
        <v>89128</v>
      </c>
      <c r="L20" s="15">
        <f>5906*4</f>
        <v>23624</v>
      </c>
      <c r="M20" s="16">
        <f t="shared" si="0"/>
        <v>23624</v>
      </c>
      <c r="N20" s="16">
        <v>0</v>
      </c>
      <c r="O20" s="62">
        <f t="shared" si="1"/>
        <v>0</v>
      </c>
      <c r="P20" s="42">
        <f t="shared" si="2"/>
        <v>11</v>
      </c>
      <c r="Q20" s="43">
        <f t="shared" si="3"/>
        <v>13</v>
      </c>
      <c r="R20" s="7"/>
      <c r="S20" s="6"/>
      <c r="T20" s="17"/>
      <c r="U20" s="17"/>
      <c r="V20" s="18">
        <v>13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0.45833333333333331</v>
      </c>
      <c r="AD20" s="10">
        <f t="shared" si="6"/>
        <v>0.45833333333333331</v>
      </c>
      <c r="AE20" s="39">
        <f t="shared" si="7"/>
        <v>0.57489754574884333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502000</v>
      </c>
      <c r="J21" s="22">
        <f t="shared" si="9"/>
        <v>86338</v>
      </c>
      <c r="K21" s="23">
        <f t="shared" si="9"/>
        <v>262248</v>
      </c>
      <c r="L21" s="24">
        <f t="shared" si="9"/>
        <v>72293</v>
      </c>
      <c r="M21" s="23">
        <f t="shared" si="9"/>
        <v>72293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207</v>
      </c>
      <c r="Q21" s="46">
        <f t="shared" si="10"/>
        <v>153</v>
      </c>
      <c r="R21" s="26">
        <f t="shared" si="10"/>
        <v>25</v>
      </c>
      <c r="S21" s="27">
        <f t="shared" si="10"/>
        <v>43</v>
      </c>
      <c r="T21" s="27">
        <f t="shared" si="10"/>
        <v>0</v>
      </c>
      <c r="U21" s="27">
        <f t="shared" si="10"/>
        <v>0</v>
      </c>
      <c r="V21" s="28">
        <f t="shared" si="10"/>
        <v>13</v>
      </c>
      <c r="W21" s="29">
        <f t="shared" si="10"/>
        <v>72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0.66656421241551</v>
      </c>
      <c r="AC21" s="4">
        <f>SUM(AC6:AC20)/15</f>
        <v>0.57499999999999996</v>
      </c>
      <c r="AD21" s="4">
        <f>SUM(AD6:AD20)/15</f>
        <v>0.57489754574884333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138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140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134" t="s">
        <v>46</v>
      </c>
      <c r="D50" s="134" t="s">
        <v>47</v>
      </c>
      <c r="E50" s="134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134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131" t="s">
        <v>139</v>
      </c>
      <c r="D51" s="131" t="s">
        <v>117</v>
      </c>
      <c r="E51" s="131" t="s">
        <v>135</v>
      </c>
      <c r="F51" s="422" t="s">
        <v>167</v>
      </c>
      <c r="G51" s="422"/>
      <c r="H51" s="422"/>
      <c r="I51" s="422"/>
      <c r="J51" s="422"/>
      <c r="K51" s="422"/>
      <c r="L51" s="422"/>
      <c r="M51" s="432"/>
      <c r="N51" s="130" t="s">
        <v>118</v>
      </c>
      <c r="O51" s="124" t="s">
        <v>139</v>
      </c>
      <c r="P51" s="439" t="s">
        <v>121</v>
      </c>
      <c r="Q51" s="440"/>
      <c r="R51" s="441" t="s">
        <v>176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154</v>
      </c>
      <c r="B52" s="431"/>
      <c r="C52" s="136" t="s">
        <v>141</v>
      </c>
      <c r="D52" s="136"/>
      <c r="E52" s="136" t="s">
        <v>163</v>
      </c>
      <c r="F52" s="422" t="s">
        <v>168</v>
      </c>
      <c r="G52" s="422"/>
      <c r="H52" s="422"/>
      <c r="I52" s="422"/>
      <c r="J52" s="422"/>
      <c r="K52" s="422"/>
      <c r="L52" s="422"/>
      <c r="M52" s="432"/>
      <c r="N52" s="130" t="s">
        <v>114</v>
      </c>
      <c r="O52" s="124" t="s">
        <v>125</v>
      </c>
      <c r="P52" s="439" t="s">
        <v>148</v>
      </c>
      <c r="Q52" s="440"/>
      <c r="R52" s="431" t="s">
        <v>164</v>
      </c>
      <c r="S52" s="431"/>
      <c r="T52" s="431"/>
      <c r="U52" s="431"/>
      <c r="V52" s="422" t="s">
        <v>124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169</v>
      </c>
      <c r="B53" s="431"/>
      <c r="C53" s="131" t="s">
        <v>170</v>
      </c>
      <c r="D53" s="131" t="s">
        <v>171</v>
      </c>
      <c r="E53" s="131" t="s">
        <v>172</v>
      </c>
      <c r="F53" s="422" t="s">
        <v>151</v>
      </c>
      <c r="G53" s="422"/>
      <c r="H53" s="422"/>
      <c r="I53" s="422"/>
      <c r="J53" s="422"/>
      <c r="K53" s="422"/>
      <c r="L53" s="422"/>
      <c r="M53" s="432"/>
      <c r="N53" s="130" t="s">
        <v>118</v>
      </c>
      <c r="O53" s="124" t="s">
        <v>123</v>
      </c>
      <c r="P53" s="439" t="s">
        <v>120</v>
      </c>
      <c r="Q53" s="440"/>
      <c r="R53" s="431" t="s">
        <v>177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169</v>
      </c>
      <c r="B54" s="431"/>
      <c r="C54" s="131" t="s">
        <v>174</v>
      </c>
      <c r="D54" s="131" t="s">
        <v>175</v>
      </c>
      <c r="E54" s="131" t="s">
        <v>173</v>
      </c>
      <c r="F54" s="422" t="s">
        <v>145</v>
      </c>
      <c r="G54" s="422"/>
      <c r="H54" s="422"/>
      <c r="I54" s="422"/>
      <c r="J54" s="422"/>
      <c r="K54" s="422"/>
      <c r="L54" s="422"/>
      <c r="M54" s="432"/>
      <c r="N54" s="130" t="s">
        <v>114</v>
      </c>
      <c r="O54" s="124" t="s">
        <v>179</v>
      </c>
      <c r="P54" s="439" t="s">
        <v>120</v>
      </c>
      <c r="Q54" s="440"/>
      <c r="R54" s="431" t="s">
        <v>178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131"/>
      <c r="D55" s="131"/>
      <c r="E55" s="131"/>
      <c r="F55" s="422"/>
      <c r="G55" s="422"/>
      <c r="H55" s="422"/>
      <c r="I55" s="422"/>
      <c r="J55" s="422"/>
      <c r="K55" s="422"/>
      <c r="L55" s="422"/>
      <c r="M55" s="432"/>
      <c r="N55" s="130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131"/>
      <c r="D56" s="131"/>
      <c r="E56" s="131"/>
      <c r="F56" s="422"/>
      <c r="G56" s="422"/>
      <c r="H56" s="422"/>
      <c r="I56" s="422"/>
      <c r="J56" s="422"/>
      <c r="K56" s="422"/>
      <c r="L56" s="422"/>
      <c r="M56" s="432"/>
      <c r="N56" s="130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131"/>
      <c r="D57" s="131"/>
      <c r="E57" s="131"/>
      <c r="F57" s="422"/>
      <c r="G57" s="422"/>
      <c r="H57" s="422"/>
      <c r="I57" s="422"/>
      <c r="J57" s="422"/>
      <c r="K57" s="422"/>
      <c r="L57" s="422"/>
      <c r="M57" s="432"/>
      <c r="N57" s="130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131"/>
      <c r="D58" s="131"/>
      <c r="E58" s="131"/>
      <c r="F58" s="422"/>
      <c r="G58" s="422"/>
      <c r="H58" s="422"/>
      <c r="I58" s="422"/>
      <c r="J58" s="422"/>
      <c r="K58" s="422"/>
      <c r="L58" s="422"/>
      <c r="M58" s="432"/>
      <c r="N58" s="130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131"/>
      <c r="D59" s="131"/>
      <c r="E59" s="131"/>
      <c r="F59" s="422"/>
      <c r="G59" s="422"/>
      <c r="H59" s="422"/>
      <c r="I59" s="422"/>
      <c r="J59" s="422"/>
      <c r="K59" s="422"/>
      <c r="L59" s="422"/>
      <c r="M59" s="432"/>
      <c r="N59" s="130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133"/>
      <c r="D60" s="133"/>
      <c r="E60" s="133"/>
      <c r="F60" s="435"/>
      <c r="G60" s="435"/>
      <c r="H60" s="435"/>
      <c r="I60" s="435"/>
      <c r="J60" s="435"/>
      <c r="K60" s="435"/>
      <c r="L60" s="435"/>
      <c r="M60" s="436"/>
      <c r="N60" s="132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142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129" t="s">
        <v>2</v>
      </c>
      <c r="D62" s="129" t="s">
        <v>37</v>
      </c>
      <c r="E62" s="129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129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/>
      <c r="D63" s="125"/>
      <c r="E63" s="128"/>
      <c r="F63" s="420"/>
      <c r="G63" s="412"/>
      <c r="H63" s="412"/>
      <c r="I63" s="412"/>
      <c r="J63" s="412"/>
      <c r="K63" s="412"/>
      <c r="L63" s="412"/>
      <c r="M63" s="54"/>
      <c r="N63" s="412"/>
      <c r="O63" s="412"/>
      <c r="P63" s="421"/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125"/>
      <c r="E64" s="128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125"/>
      <c r="E65" s="128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125"/>
      <c r="E66" s="128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125"/>
      <c r="E67" s="128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125"/>
      <c r="E68" s="128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125"/>
      <c r="E69" s="128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125"/>
      <c r="E70" s="128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143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127" t="s">
        <v>2</v>
      </c>
      <c r="D72" s="127" t="s">
        <v>37</v>
      </c>
      <c r="E72" s="127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126" t="s">
        <v>114</v>
      </c>
      <c r="D73" s="126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125"/>
      <c r="D74" s="125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125"/>
      <c r="D75" s="125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125"/>
      <c r="D76" s="125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125"/>
      <c r="D77" s="125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125"/>
      <c r="D78" s="125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125"/>
      <c r="D79" s="125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125"/>
      <c r="D80" s="125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125"/>
      <c r="D81" s="125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144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393E-D89D-4AE5-BF8B-B54670618842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180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137" t="s">
        <v>17</v>
      </c>
      <c r="L5" s="137" t="s">
        <v>18</v>
      </c>
      <c r="M5" s="137" t="s">
        <v>19</v>
      </c>
      <c r="N5" s="13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0.51897881626970699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0.51897881626970699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118</v>
      </c>
      <c r="D8" s="55" t="s">
        <v>133</v>
      </c>
      <c r="E8" s="57" t="s">
        <v>136</v>
      </c>
      <c r="F8" s="33" t="s">
        <v>129</v>
      </c>
      <c r="G8" s="36">
        <v>1</v>
      </c>
      <c r="H8" s="38">
        <v>25</v>
      </c>
      <c r="I8" s="7">
        <v>18000</v>
      </c>
      <c r="J8" s="5">
        <v>1715</v>
      </c>
      <c r="K8" s="15">
        <f>L8+4451+2564+5334+5151+5403</f>
        <v>24618</v>
      </c>
      <c r="L8" s="15">
        <v>1715</v>
      </c>
      <c r="M8" s="16">
        <f t="shared" si="0"/>
        <v>1715</v>
      </c>
      <c r="N8" s="16">
        <v>0</v>
      </c>
      <c r="O8" s="62">
        <f t="shared" si="1"/>
        <v>0</v>
      </c>
      <c r="P8" s="42">
        <f t="shared" si="2"/>
        <v>10</v>
      </c>
      <c r="Q8" s="43">
        <f t="shared" si="3"/>
        <v>14</v>
      </c>
      <c r="R8" s="7"/>
      <c r="S8" s="6"/>
      <c r="T8" s="17"/>
      <c r="U8" s="17"/>
      <c r="V8" s="18"/>
      <c r="W8" s="19">
        <v>14</v>
      </c>
      <c r="X8" s="17"/>
      <c r="Y8" s="20"/>
      <c r="Z8" s="20"/>
      <c r="AA8" s="21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9">
        <f t="shared" si="7"/>
        <v>0.51897881626970699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121</v>
      </c>
      <c r="E9" s="57" t="s">
        <v>176</v>
      </c>
      <c r="F9" s="33" t="s">
        <v>181</v>
      </c>
      <c r="G9" s="36">
        <v>1</v>
      </c>
      <c r="H9" s="38">
        <v>25</v>
      </c>
      <c r="I9" s="7">
        <v>3000</v>
      </c>
      <c r="J9" s="5">
        <v>4540</v>
      </c>
      <c r="K9" s="15">
        <f>L9</f>
        <v>4540</v>
      </c>
      <c r="L9" s="15">
        <f>2404+2136</f>
        <v>4540</v>
      </c>
      <c r="M9" s="16">
        <f t="shared" si="0"/>
        <v>4540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9">
        <f t="shared" si="7"/>
        <v>0.51897881626970699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118</v>
      </c>
      <c r="D10" s="55" t="s">
        <v>120</v>
      </c>
      <c r="E10" s="57" t="s">
        <v>177</v>
      </c>
      <c r="F10" s="12" t="s">
        <v>182</v>
      </c>
      <c r="G10" s="12">
        <v>2</v>
      </c>
      <c r="H10" s="13">
        <v>25</v>
      </c>
      <c r="I10" s="7">
        <v>3000</v>
      </c>
      <c r="J10" s="14">
        <v>9582</v>
      </c>
      <c r="K10" s="15">
        <f>L10</f>
        <v>9582</v>
      </c>
      <c r="L10" s="15">
        <f>3316*2+1475*2</f>
        <v>9582</v>
      </c>
      <c r="M10" s="16">
        <f t="shared" si="0"/>
        <v>9582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2</v>
      </c>
      <c r="T10" s="17">
        <v>1</v>
      </c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9">
        <f t="shared" si="7"/>
        <v>0.51897881626970699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134</v>
      </c>
      <c r="F11" s="12" t="s">
        <v>127</v>
      </c>
      <c r="G11" s="12">
        <v>1</v>
      </c>
      <c r="H11" s="13">
        <v>25</v>
      </c>
      <c r="I11" s="34">
        <v>15000</v>
      </c>
      <c r="J11" s="5">
        <v>982</v>
      </c>
      <c r="K11" s="15">
        <f>L11+5375+6082+6046</f>
        <v>18485</v>
      </c>
      <c r="L11" s="15">
        <v>982</v>
      </c>
      <c r="M11" s="16">
        <f t="shared" si="0"/>
        <v>982</v>
      </c>
      <c r="N11" s="16">
        <v>0</v>
      </c>
      <c r="O11" s="62">
        <f t="shared" si="1"/>
        <v>0</v>
      </c>
      <c r="P11" s="42">
        <f t="shared" si="2"/>
        <v>5</v>
      </c>
      <c r="Q11" s="43">
        <f t="shared" si="3"/>
        <v>19</v>
      </c>
      <c r="R11" s="7"/>
      <c r="S11" s="6"/>
      <c r="T11" s="17"/>
      <c r="U11" s="17"/>
      <c r="V11" s="18"/>
      <c r="W11" s="19">
        <v>19</v>
      </c>
      <c r="X11" s="17"/>
      <c r="Y11" s="20"/>
      <c r="Z11" s="20"/>
      <c r="AA11" s="21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9">
        <f t="shared" si="7"/>
        <v>0.51897881626970699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146</v>
      </c>
      <c r="E12" s="57" t="s">
        <v>160</v>
      </c>
      <c r="F12" s="12">
        <v>7301</v>
      </c>
      <c r="G12" s="12">
        <v>1</v>
      </c>
      <c r="H12" s="13">
        <v>25</v>
      </c>
      <c r="I12" s="7">
        <v>25000</v>
      </c>
      <c r="J12" s="14">
        <v>5635</v>
      </c>
      <c r="K12" s="15">
        <f>L12+4854+5287</f>
        <v>15776</v>
      </c>
      <c r="L12" s="15">
        <f>3030+2605</f>
        <v>5635</v>
      </c>
      <c r="M12" s="16">
        <f t="shared" si="0"/>
        <v>5635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0.51897881626970699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148</v>
      </c>
      <c r="E13" s="57" t="s">
        <v>164</v>
      </c>
      <c r="F13" s="12" t="s">
        <v>122</v>
      </c>
      <c r="G13" s="12">
        <v>1</v>
      </c>
      <c r="H13" s="13">
        <v>25</v>
      </c>
      <c r="I13" s="7">
        <v>20000</v>
      </c>
      <c r="J13" s="14">
        <v>3626</v>
      </c>
      <c r="K13" s="15">
        <f>L13</f>
        <v>3626</v>
      </c>
      <c r="L13" s="15">
        <f>2761+865</f>
        <v>3626</v>
      </c>
      <c r="M13" s="16">
        <f t="shared" si="0"/>
        <v>3626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>
        <v>6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0.75</v>
      </c>
      <c r="AD13" s="10">
        <f t="shared" si="6"/>
        <v>0.75</v>
      </c>
      <c r="AE13" s="39">
        <f t="shared" si="7"/>
        <v>0.51897881626970699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118</v>
      </c>
      <c r="D14" s="55" t="s">
        <v>152</v>
      </c>
      <c r="E14" s="57" t="s">
        <v>158</v>
      </c>
      <c r="F14" s="33" t="s">
        <v>155</v>
      </c>
      <c r="G14" s="36">
        <v>1</v>
      </c>
      <c r="H14" s="38">
        <v>25</v>
      </c>
      <c r="I14" s="7">
        <f>20000</f>
        <v>20000</v>
      </c>
      <c r="J14" s="5">
        <v>5115</v>
      </c>
      <c r="K14" s="15">
        <f>L14+4376+5256+5008</f>
        <v>19755</v>
      </c>
      <c r="L14" s="15">
        <f>3050+2065</f>
        <v>5115</v>
      </c>
      <c r="M14" s="16">
        <f t="shared" si="0"/>
        <v>5115</v>
      </c>
      <c r="N14" s="16">
        <v>0</v>
      </c>
      <c r="O14" s="62">
        <f t="shared" si="1"/>
        <v>0</v>
      </c>
      <c r="P14" s="42">
        <f t="shared" si="2"/>
        <v>23</v>
      </c>
      <c r="Q14" s="43">
        <f t="shared" si="3"/>
        <v>1</v>
      </c>
      <c r="R14" s="7">
        <v>1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0.95833333333333337</v>
      </c>
      <c r="AD14" s="10">
        <f t="shared" si="6"/>
        <v>0.95833333333333337</v>
      </c>
      <c r="AE14" s="39">
        <f t="shared" si="7"/>
        <v>0.51897881626970699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0.51897881626970699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183</v>
      </c>
      <c r="F16" s="33" t="s">
        <v>184</v>
      </c>
      <c r="G16" s="36" t="s">
        <v>137</v>
      </c>
      <c r="H16" s="38">
        <v>24</v>
      </c>
      <c r="I16" s="7">
        <v>400</v>
      </c>
      <c r="J16" s="5">
        <v>933</v>
      </c>
      <c r="K16" s="15">
        <f>L16</f>
        <v>933</v>
      </c>
      <c r="L16" s="15">
        <f>933</f>
        <v>933</v>
      </c>
      <c r="M16" s="16">
        <f t="shared" si="0"/>
        <v>933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9">
        <f t="shared" si="7"/>
        <v>0.51897881626970699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150</v>
      </c>
      <c r="D17" s="55"/>
      <c r="E17" s="57" t="s">
        <v>157</v>
      </c>
      <c r="F17" s="12">
        <v>8301</v>
      </c>
      <c r="G17" s="12" t="s">
        <v>137</v>
      </c>
      <c r="H17" s="13">
        <v>24</v>
      </c>
      <c r="I17" s="34">
        <v>2000</v>
      </c>
      <c r="J17" s="14">
        <v>1660</v>
      </c>
      <c r="K17" s="15">
        <f>L17+1660</f>
        <v>1660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0.51897881626970699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120</v>
      </c>
      <c r="E18" s="57" t="s">
        <v>159</v>
      </c>
      <c r="F18" s="12">
        <v>7301</v>
      </c>
      <c r="G18" s="36">
        <v>1</v>
      </c>
      <c r="H18" s="38">
        <v>24</v>
      </c>
      <c r="I18" s="7">
        <v>25000</v>
      </c>
      <c r="J18" s="5">
        <v>6036</v>
      </c>
      <c r="K18" s="15">
        <f>L18+3536+5741+5705</f>
        <v>21018</v>
      </c>
      <c r="L18" s="15">
        <f>3251+2785</f>
        <v>6036</v>
      </c>
      <c r="M18" s="16">
        <f t="shared" si="0"/>
        <v>6036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0.51897881626970699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146</v>
      </c>
      <c r="E19" s="57" t="s">
        <v>156</v>
      </c>
      <c r="F19" s="12">
        <v>7301</v>
      </c>
      <c r="G19" s="36">
        <v>1</v>
      </c>
      <c r="H19" s="13">
        <v>24</v>
      </c>
      <c r="I19" s="7">
        <v>12000</v>
      </c>
      <c r="J19" s="14">
        <v>6138</v>
      </c>
      <c r="K19" s="15">
        <f>L19+3018</f>
        <v>9156</v>
      </c>
      <c r="L19" s="15">
        <f>3310+2828</f>
        <v>6138</v>
      </c>
      <c r="M19" s="16">
        <f t="shared" si="0"/>
        <v>6138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0.51897881626970699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23624</v>
      </c>
      <c r="K20" s="15">
        <f>L20+21192+22576+21736+23624</f>
        <v>112392</v>
      </c>
      <c r="L20" s="15">
        <f>5816*4</f>
        <v>23264</v>
      </c>
      <c r="M20" s="16">
        <f t="shared" si="0"/>
        <v>23264</v>
      </c>
      <c r="N20" s="16">
        <v>0</v>
      </c>
      <c r="O20" s="62">
        <f t="shared" si="1"/>
        <v>0</v>
      </c>
      <c r="P20" s="42">
        <f t="shared" si="2"/>
        <v>11</v>
      </c>
      <c r="Q20" s="43">
        <f t="shared" si="3"/>
        <v>13</v>
      </c>
      <c r="R20" s="7"/>
      <c r="S20" s="6"/>
      <c r="T20" s="17"/>
      <c r="U20" s="17"/>
      <c r="V20" s="18">
        <v>13</v>
      </c>
      <c r="W20" s="19"/>
      <c r="X20" s="17"/>
      <c r="Y20" s="20"/>
      <c r="Z20" s="20"/>
      <c r="AA20" s="21"/>
      <c r="AB20" s="8">
        <f t="shared" si="4"/>
        <v>0.98476125973586182</v>
      </c>
      <c r="AC20" s="9">
        <f t="shared" si="5"/>
        <v>0.45833333333333331</v>
      </c>
      <c r="AD20" s="10">
        <f t="shared" si="6"/>
        <v>0.45134891071226996</v>
      </c>
      <c r="AE20" s="39">
        <f t="shared" si="7"/>
        <v>0.51897881626970699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445400</v>
      </c>
      <c r="J21" s="22">
        <f t="shared" si="9"/>
        <v>72091</v>
      </c>
      <c r="K21" s="23">
        <f t="shared" si="9"/>
        <v>246196</v>
      </c>
      <c r="L21" s="24">
        <f t="shared" si="9"/>
        <v>67566</v>
      </c>
      <c r="M21" s="23">
        <f t="shared" si="9"/>
        <v>67566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187</v>
      </c>
      <c r="Q21" s="46">
        <f t="shared" si="10"/>
        <v>173</v>
      </c>
      <c r="R21" s="26">
        <f t="shared" si="10"/>
        <v>25</v>
      </c>
      <c r="S21" s="27">
        <f t="shared" si="10"/>
        <v>8</v>
      </c>
      <c r="T21" s="27">
        <f t="shared" si="10"/>
        <v>2</v>
      </c>
      <c r="U21" s="27">
        <f t="shared" si="10"/>
        <v>0</v>
      </c>
      <c r="V21" s="28">
        <f t="shared" si="10"/>
        <v>13</v>
      </c>
      <c r="W21" s="29">
        <f t="shared" si="10"/>
        <v>125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0.73231741731572408</v>
      </c>
      <c r="AC21" s="4">
        <f>SUM(AC6:AC20)/15</f>
        <v>0.51944444444444449</v>
      </c>
      <c r="AD21" s="4">
        <f>SUM(AD6:AD20)/15</f>
        <v>0.51897881626970699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185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190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138" t="s">
        <v>46</v>
      </c>
      <c r="D50" s="138" t="s">
        <v>47</v>
      </c>
      <c r="E50" s="138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138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140" t="s">
        <v>139</v>
      </c>
      <c r="D51" s="140" t="s">
        <v>121</v>
      </c>
      <c r="E51" s="140" t="s">
        <v>176</v>
      </c>
      <c r="F51" s="422" t="s">
        <v>119</v>
      </c>
      <c r="G51" s="422"/>
      <c r="H51" s="422"/>
      <c r="I51" s="422"/>
      <c r="J51" s="422"/>
      <c r="K51" s="422"/>
      <c r="L51" s="422"/>
      <c r="M51" s="432"/>
      <c r="N51" s="139" t="s">
        <v>118</v>
      </c>
      <c r="O51" s="124" t="s">
        <v>189</v>
      </c>
      <c r="P51" s="439" t="s">
        <v>152</v>
      </c>
      <c r="Q51" s="440"/>
      <c r="R51" s="441" t="s">
        <v>187</v>
      </c>
      <c r="S51" s="431"/>
      <c r="T51" s="431"/>
      <c r="U51" s="431"/>
      <c r="V51" s="422" t="s">
        <v>188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140" t="s">
        <v>123</v>
      </c>
      <c r="D52" s="140" t="s">
        <v>120</v>
      </c>
      <c r="E52" s="140" t="s">
        <v>177</v>
      </c>
      <c r="F52" s="422" t="s">
        <v>145</v>
      </c>
      <c r="G52" s="422"/>
      <c r="H52" s="422"/>
      <c r="I52" s="422"/>
      <c r="J52" s="422"/>
      <c r="K52" s="422"/>
      <c r="L52" s="422"/>
      <c r="M52" s="432"/>
      <c r="N52" s="139"/>
      <c r="O52" s="124"/>
      <c r="P52" s="439"/>
      <c r="Q52" s="440"/>
      <c r="R52" s="431"/>
      <c r="S52" s="431"/>
      <c r="T52" s="431"/>
      <c r="U52" s="431"/>
      <c r="V52" s="422"/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114</v>
      </c>
      <c r="B53" s="431"/>
      <c r="C53" s="140" t="s">
        <v>125</v>
      </c>
      <c r="D53" s="140" t="s">
        <v>148</v>
      </c>
      <c r="E53" s="140" t="s">
        <v>164</v>
      </c>
      <c r="F53" s="422" t="s">
        <v>186</v>
      </c>
      <c r="G53" s="422"/>
      <c r="H53" s="422"/>
      <c r="I53" s="422"/>
      <c r="J53" s="422"/>
      <c r="K53" s="422"/>
      <c r="L53" s="422"/>
      <c r="M53" s="432"/>
      <c r="N53" s="139"/>
      <c r="O53" s="124"/>
      <c r="P53" s="439"/>
      <c r="Q53" s="440"/>
      <c r="R53" s="431"/>
      <c r="S53" s="431"/>
      <c r="T53" s="431"/>
      <c r="U53" s="431"/>
      <c r="V53" s="422"/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114</v>
      </c>
      <c r="B54" s="431"/>
      <c r="C54" s="140" t="s">
        <v>179</v>
      </c>
      <c r="D54" s="140" t="s">
        <v>120</v>
      </c>
      <c r="E54" s="140" t="s">
        <v>183</v>
      </c>
      <c r="F54" s="422" t="s">
        <v>119</v>
      </c>
      <c r="G54" s="422"/>
      <c r="H54" s="422"/>
      <c r="I54" s="422"/>
      <c r="J54" s="422"/>
      <c r="K54" s="422"/>
      <c r="L54" s="422"/>
      <c r="M54" s="432"/>
      <c r="N54" s="139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140"/>
      <c r="D55" s="140"/>
      <c r="E55" s="140"/>
      <c r="F55" s="422"/>
      <c r="G55" s="422"/>
      <c r="H55" s="422"/>
      <c r="I55" s="422"/>
      <c r="J55" s="422"/>
      <c r="K55" s="422"/>
      <c r="L55" s="422"/>
      <c r="M55" s="432"/>
      <c r="N55" s="139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140"/>
      <c r="D56" s="140"/>
      <c r="E56" s="140"/>
      <c r="F56" s="422"/>
      <c r="G56" s="422"/>
      <c r="H56" s="422"/>
      <c r="I56" s="422"/>
      <c r="J56" s="422"/>
      <c r="K56" s="422"/>
      <c r="L56" s="422"/>
      <c r="M56" s="432"/>
      <c r="N56" s="139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140"/>
      <c r="D57" s="140"/>
      <c r="E57" s="140"/>
      <c r="F57" s="422"/>
      <c r="G57" s="422"/>
      <c r="H57" s="422"/>
      <c r="I57" s="422"/>
      <c r="J57" s="422"/>
      <c r="K57" s="422"/>
      <c r="L57" s="422"/>
      <c r="M57" s="432"/>
      <c r="N57" s="139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140"/>
      <c r="D58" s="140"/>
      <c r="E58" s="140"/>
      <c r="F58" s="422"/>
      <c r="G58" s="422"/>
      <c r="H58" s="422"/>
      <c r="I58" s="422"/>
      <c r="J58" s="422"/>
      <c r="K58" s="422"/>
      <c r="L58" s="422"/>
      <c r="M58" s="432"/>
      <c r="N58" s="139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140"/>
      <c r="D59" s="140"/>
      <c r="E59" s="140"/>
      <c r="F59" s="422"/>
      <c r="G59" s="422"/>
      <c r="H59" s="422"/>
      <c r="I59" s="422"/>
      <c r="J59" s="422"/>
      <c r="K59" s="422"/>
      <c r="L59" s="422"/>
      <c r="M59" s="432"/>
      <c r="N59" s="139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142"/>
      <c r="D60" s="142"/>
      <c r="E60" s="142"/>
      <c r="F60" s="435"/>
      <c r="G60" s="435"/>
      <c r="H60" s="435"/>
      <c r="I60" s="435"/>
      <c r="J60" s="435"/>
      <c r="K60" s="435"/>
      <c r="L60" s="435"/>
      <c r="M60" s="436"/>
      <c r="N60" s="141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191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143" t="s">
        <v>2</v>
      </c>
      <c r="D62" s="143" t="s">
        <v>37</v>
      </c>
      <c r="E62" s="143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143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118</v>
      </c>
      <c r="D63" s="146"/>
      <c r="E63" s="144" t="s">
        <v>152</v>
      </c>
      <c r="F63" s="420" t="s">
        <v>187</v>
      </c>
      <c r="G63" s="412"/>
      <c r="H63" s="412"/>
      <c r="I63" s="412"/>
      <c r="J63" s="412"/>
      <c r="K63" s="412" t="s">
        <v>155</v>
      </c>
      <c r="L63" s="412"/>
      <c r="M63" s="54" t="s">
        <v>192</v>
      </c>
      <c r="N63" s="412">
        <v>12</v>
      </c>
      <c r="O63" s="412"/>
      <c r="P63" s="421">
        <v>35</v>
      </c>
      <c r="Q63" s="421"/>
      <c r="R63" s="422" t="s">
        <v>193</v>
      </c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146"/>
      <c r="E64" s="144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146"/>
      <c r="E65" s="144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146"/>
      <c r="E66" s="144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146"/>
      <c r="E67" s="144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146"/>
      <c r="E68" s="144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146"/>
      <c r="E69" s="144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146"/>
      <c r="E70" s="144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194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145" t="s">
        <v>2</v>
      </c>
      <c r="D72" s="145" t="s">
        <v>37</v>
      </c>
      <c r="E72" s="145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147" t="s">
        <v>114</v>
      </c>
      <c r="D73" s="147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146"/>
      <c r="D74" s="146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146"/>
      <c r="D75" s="146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146"/>
      <c r="D76" s="146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146"/>
      <c r="D77" s="146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146"/>
      <c r="D78" s="146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146"/>
      <c r="D79" s="146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146"/>
      <c r="D80" s="146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146"/>
      <c r="D81" s="146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195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6963-B238-4A14-8D9C-64C0A2B3D5D2}">
  <sheetPr>
    <pageSetUpPr fitToPage="1"/>
  </sheetPr>
  <dimension ref="A1:AF86"/>
  <sheetViews>
    <sheetView zoomScale="72" zoomScaleNormal="72" zoomScaleSheetLayoutView="70" workbookViewId="0">
      <selection activeCell="L16" sqref="L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196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158" t="s">
        <v>17</v>
      </c>
      <c r="L5" s="158" t="s">
        <v>18</v>
      </c>
      <c r="M5" s="158" t="s">
        <v>19</v>
      </c>
      <c r="N5" s="15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0.40277777777777779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0.40277777777777779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118</v>
      </c>
      <c r="D8" s="55" t="s">
        <v>133</v>
      </c>
      <c r="E8" s="57" t="s">
        <v>136</v>
      </c>
      <c r="F8" s="33" t="s">
        <v>129</v>
      </c>
      <c r="G8" s="36">
        <v>1</v>
      </c>
      <c r="H8" s="38">
        <v>25</v>
      </c>
      <c r="I8" s="7">
        <v>18000</v>
      </c>
      <c r="J8" s="5">
        <v>1715</v>
      </c>
      <c r="K8" s="15">
        <f>L8+4451+2564+5334+5151+5403+1715</f>
        <v>24618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14</v>
      </c>
      <c r="R8" s="7"/>
      <c r="S8" s="6"/>
      <c r="T8" s="17"/>
      <c r="U8" s="17"/>
      <c r="V8" s="18"/>
      <c r="W8" s="19">
        <v>14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0.40277777777777779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121</v>
      </c>
      <c r="E9" s="57" t="s">
        <v>176</v>
      </c>
      <c r="F9" s="33" t="s">
        <v>181</v>
      </c>
      <c r="G9" s="36">
        <v>1</v>
      </c>
      <c r="H9" s="38">
        <v>25</v>
      </c>
      <c r="I9" s="7">
        <v>3000</v>
      </c>
      <c r="J9" s="5">
        <v>3458</v>
      </c>
      <c r="K9" s="15">
        <f>L9+4540</f>
        <v>7998</v>
      </c>
      <c r="L9" s="15">
        <f>1397+2061</f>
        <v>3458</v>
      </c>
      <c r="M9" s="16">
        <f t="shared" si="0"/>
        <v>3458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>
        <v>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9">
        <f t="shared" si="7"/>
        <v>0.40277777777777779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118</v>
      </c>
      <c r="D10" s="55" t="s">
        <v>120</v>
      </c>
      <c r="E10" s="57" t="s">
        <v>177</v>
      </c>
      <c r="F10" s="12" t="s">
        <v>182</v>
      </c>
      <c r="G10" s="12">
        <v>2</v>
      </c>
      <c r="H10" s="13">
        <v>25</v>
      </c>
      <c r="I10" s="7">
        <v>3000</v>
      </c>
      <c r="J10" s="14">
        <v>2186</v>
      </c>
      <c r="K10" s="15">
        <f>L10+9582</f>
        <v>11768</v>
      </c>
      <c r="L10" s="15">
        <f>1093*2</f>
        <v>2186</v>
      </c>
      <c r="M10" s="16">
        <f t="shared" si="0"/>
        <v>2186</v>
      </c>
      <c r="N10" s="16">
        <v>0</v>
      </c>
      <c r="O10" s="62">
        <f t="shared" si="1"/>
        <v>0</v>
      </c>
      <c r="P10" s="42">
        <f t="shared" si="2"/>
        <v>6</v>
      </c>
      <c r="Q10" s="43">
        <f t="shared" si="3"/>
        <v>18</v>
      </c>
      <c r="R10" s="7"/>
      <c r="S10" s="6">
        <v>18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0.25</v>
      </c>
      <c r="AD10" s="10">
        <f t="shared" si="6"/>
        <v>0.25</v>
      </c>
      <c r="AE10" s="39">
        <f t="shared" si="7"/>
        <v>0.40277777777777779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114</v>
      </c>
      <c r="D11" s="55" t="s">
        <v>197</v>
      </c>
      <c r="E11" s="57" t="s">
        <v>198</v>
      </c>
      <c r="F11" s="12">
        <v>8301</v>
      </c>
      <c r="G11" s="12">
        <v>1</v>
      </c>
      <c r="H11" s="13">
        <v>25</v>
      </c>
      <c r="I11" s="34">
        <v>500</v>
      </c>
      <c r="J11" s="5">
        <v>3037</v>
      </c>
      <c r="K11" s="15">
        <f>L11</f>
        <v>3037</v>
      </c>
      <c r="L11" s="15">
        <v>3037</v>
      </c>
      <c r="M11" s="16">
        <f t="shared" si="0"/>
        <v>3037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>
        <v>4</v>
      </c>
      <c r="T11" s="17">
        <v>4</v>
      </c>
      <c r="U11" s="17"/>
      <c r="V11" s="18"/>
      <c r="W11" s="19">
        <v>2</v>
      </c>
      <c r="X11" s="17"/>
      <c r="Y11" s="20"/>
      <c r="Z11" s="20"/>
      <c r="AA11" s="21"/>
      <c r="AB11" s="8">
        <f t="shared" si="4"/>
        <v>1</v>
      </c>
      <c r="AC11" s="9">
        <f t="shared" si="5"/>
        <v>0.58333333333333337</v>
      </c>
      <c r="AD11" s="10">
        <f t="shared" si="6"/>
        <v>0.58333333333333337</v>
      </c>
      <c r="AE11" s="39">
        <f t="shared" si="7"/>
        <v>0.40277777777777779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146</v>
      </c>
      <c r="E12" s="57" t="s">
        <v>160</v>
      </c>
      <c r="F12" s="12">
        <v>7301</v>
      </c>
      <c r="G12" s="12">
        <v>1</v>
      </c>
      <c r="H12" s="13">
        <v>25</v>
      </c>
      <c r="I12" s="7">
        <v>25000</v>
      </c>
      <c r="J12" s="14">
        <v>4433</v>
      </c>
      <c r="K12" s="15">
        <f>L12+4854+5287+5635</f>
        <v>20209</v>
      </c>
      <c r="L12" s="15">
        <f>2248+2185</f>
        <v>4433</v>
      </c>
      <c r="M12" s="16">
        <f t="shared" si="0"/>
        <v>4433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9">
        <f t="shared" si="7"/>
        <v>0.40277777777777779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148</v>
      </c>
      <c r="E13" s="57" t="s">
        <v>164</v>
      </c>
      <c r="F13" s="12" t="s">
        <v>122</v>
      </c>
      <c r="G13" s="12">
        <v>1</v>
      </c>
      <c r="H13" s="13">
        <v>25</v>
      </c>
      <c r="I13" s="7">
        <v>20000</v>
      </c>
      <c r="J13" s="14">
        <v>4492</v>
      </c>
      <c r="K13" s="15">
        <f>L13+3626</f>
        <v>8118</v>
      </c>
      <c r="L13" s="15">
        <f>2520+1972</f>
        <v>4492</v>
      </c>
      <c r="M13" s="16">
        <f t="shared" si="0"/>
        <v>4492</v>
      </c>
      <c r="N13" s="16">
        <v>0</v>
      </c>
      <c r="O13" s="62">
        <f t="shared" si="1"/>
        <v>0</v>
      </c>
      <c r="P13" s="42">
        <f t="shared" si="2"/>
        <v>22</v>
      </c>
      <c r="Q13" s="43">
        <f t="shared" si="3"/>
        <v>2</v>
      </c>
      <c r="R13" s="7"/>
      <c r="S13" s="6">
        <v>2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0.91666666666666663</v>
      </c>
      <c r="AD13" s="10">
        <f t="shared" si="6"/>
        <v>0.91666666666666663</v>
      </c>
      <c r="AE13" s="39">
        <f t="shared" si="7"/>
        <v>0.40277777777777779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118</v>
      </c>
      <c r="D14" s="55" t="s">
        <v>152</v>
      </c>
      <c r="E14" s="57" t="s">
        <v>158</v>
      </c>
      <c r="F14" s="33" t="s">
        <v>155</v>
      </c>
      <c r="G14" s="36">
        <v>1</v>
      </c>
      <c r="H14" s="38">
        <v>25</v>
      </c>
      <c r="I14" s="7">
        <f>20000</f>
        <v>20000</v>
      </c>
      <c r="J14" s="5">
        <v>908</v>
      </c>
      <c r="K14" s="15">
        <f>L14+4376+5256+5008+5115</f>
        <v>20663</v>
      </c>
      <c r="L14" s="15">
        <v>908</v>
      </c>
      <c r="M14" s="16">
        <f t="shared" si="0"/>
        <v>908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0.40277777777777779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0.40277777777777779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183</v>
      </c>
      <c r="F16" s="33" t="s">
        <v>184</v>
      </c>
      <c r="G16" s="36" t="s">
        <v>137</v>
      </c>
      <c r="H16" s="38">
        <v>24</v>
      </c>
      <c r="I16" s="7">
        <v>400</v>
      </c>
      <c r="J16" s="5">
        <v>933</v>
      </c>
      <c r="K16" s="15">
        <f>L16+933</f>
        <v>933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0.40277777777777779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150</v>
      </c>
      <c r="D17" s="55"/>
      <c r="E17" s="57" t="s">
        <v>157</v>
      </c>
      <c r="F17" s="12">
        <v>8301</v>
      </c>
      <c r="G17" s="12" t="s">
        <v>137</v>
      </c>
      <c r="H17" s="13">
        <v>24</v>
      </c>
      <c r="I17" s="34">
        <v>2000</v>
      </c>
      <c r="J17" s="14">
        <v>1660</v>
      </c>
      <c r="K17" s="15">
        <f>L17+1660</f>
        <v>1660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0.40277777777777779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120</v>
      </c>
      <c r="E18" s="57" t="s">
        <v>159</v>
      </c>
      <c r="F18" s="12">
        <v>7301</v>
      </c>
      <c r="G18" s="36">
        <v>1</v>
      </c>
      <c r="H18" s="38">
        <v>24</v>
      </c>
      <c r="I18" s="7">
        <v>25000</v>
      </c>
      <c r="J18" s="5">
        <v>5389</v>
      </c>
      <c r="K18" s="15">
        <f>L18+3536+5741+5705+6036</f>
        <v>26407</v>
      </c>
      <c r="L18" s="15">
        <f>3180+2209</f>
        <v>5389</v>
      </c>
      <c r="M18" s="16">
        <f t="shared" si="0"/>
        <v>5389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0.40277777777777779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146</v>
      </c>
      <c r="E19" s="57" t="s">
        <v>156</v>
      </c>
      <c r="F19" s="12">
        <v>7301</v>
      </c>
      <c r="G19" s="36">
        <v>1</v>
      </c>
      <c r="H19" s="13">
        <v>24</v>
      </c>
      <c r="I19" s="7">
        <v>12000</v>
      </c>
      <c r="J19" s="14">
        <v>5353</v>
      </c>
      <c r="K19" s="15">
        <f>L19+3018+6138</f>
        <v>14509</v>
      </c>
      <c r="L19" s="15">
        <f>2324+3029</f>
        <v>5353</v>
      </c>
      <c r="M19" s="16">
        <f t="shared" si="0"/>
        <v>5353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0.40277777777777779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21924</v>
      </c>
      <c r="K20" s="15">
        <f>L20+21192+22576+21736+23624+23264</f>
        <v>134316</v>
      </c>
      <c r="L20" s="15">
        <f>5481*4</f>
        <v>21924</v>
      </c>
      <c r="M20" s="16">
        <f t="shared" si="0"/>
        <v>21924</v>
      </c>
      <c r="N20" s="16">
        <v>0</v>
      </c>
      <c r="O20" s="62">
        <f t="shared" si="1"/>
        <v>0</v>
      </c>
      <c r="P20" s="42">
        <f t="shared" si="2"/>
        <v>11</v>
      </c>
      <c r="Q20" s="43">
        <f t="shared" si="3"/>
        <v>13</v>
      </c>
      <c r="R20" s="7"/>
      <c r="S20" s="6"/>
      <c r="T20" s="17"/>
      <c r="U20" s="17"/>
      <c r="V20" s="18">
        <v>13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0.45833333333333331</v>
      </c>
      <c r="AD20" s="10">
        <f t="shared" si="6"/>
        <v>0.45833333333333331</v>
      </c>
      <c r="AE20" s="39">
        <f t="shared" si="7"/>
        <v>0.40277777777777779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430900</v>
      </c>
      <c r="J21" s="22">
        <f t="shared" si="9"/>
        <v>57993</v>
      </c>
      <c r="K21" s="23">
        <f t="shared" si="9"/>
        <v>278891</v>
      </c>
      <c r="L21" s="24">
        <f t="shared" si="9"/>
        <v>51180</v>
      </c>
      <c r="M21" s="23">
        <f t="shared" si="9"/>
        <v>51180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145</v>
      </c>
      <c r="Q21" s="46">
        <f t="shared" si="10"/>
        <v>205</v>
      </c>
      <c r="R21" s="26">
        <f t="shared" si="10"/>
        <v>24</v>
      </c>
      <c r="S21" s="27">
        <f t="shared" si="10"/>
        <v>33</v>
      </c>
      <c r="T21" s="27">
        <f t="shared" si="10"/>
        <v>4</v>
      </c>
      <c r="U21" s="27">
        <f t="shared" si="10"/>
        <v>0</v>
      </c>
      <c r="V21" s="28">
        <f t="shared" si="10"/>
        <v>13</v>
      </c>
      <c r="W21" s="29">
        <f t="shared" si="10"/>
        <v>131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</v>
      </c>
      <c r="AC21" s="4">
        <f>SUM(AC6:AC20)/15</f>
        <v>0.40277777777777779</v>
      </c>
      <c r="AD21" s="4">
        <f>SUM(AD6:AD20)/15</f>
        <v>0.40277777777777779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199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204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157" t="s">
        <v>46</v>
      </c>
      <c r="D50" s="157" t="s">
        <v>47</v>
      </c>
      <c r="E50" s="157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157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154" t="s">
        <v>139</v>
      </c>
      <c r="D51" s="154" t="s">
        <v>121</v>
      </c>
      <c r="E51" s="154" t="s">
        <v>176</v>
      </c>
      <c r="F51" s="422" t="s">
        <v>200</v>
      </c>
      <c r="G51" s="422"/>
      <c r="H51" s="422"/>
      <c r="I51" s="422"/>
      <c r="J51" s="422"/>
      <c r="K51" s="422"/>
      <c r="L51" s="422"/>
      <c r="M51" s="432"/>
      <c r="N51" s="153" t="s">
        <v>118</v>
      </c>
      <c r="O51" s="124" t="s">
        <v>139</v>
      </c>
      <c r="P51" s="439" t="s">
        <v>205</v>
      </c>
      <c r="Q51" s="440"/>
      <c r="R51" s="441" t="s">
        <v>206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154" t="s">
        <v>123</v>
      </c>
      <c r="D52" s="154" t="s">
        <v>120</v>
      </c>
      <c r="E52" s="154" t="s">
        <v>177</v>
      </c>
      <c r="F52" s="422" t="s">
        <v>201</v>
      </c>
      <c r="G52" s="422"/>
      <c r="H52" s="422"/>
      <c r="I52" s="422"/>
      <c r="J52" s="422"/>
      <c r="K52" s="422"/>
      <c r="L52" s="422"/>
      <c r="M52" s="432"/>
      <c r="N52" s="153" t="s">
        <v>118</v>
      </c>
      <c r="O52" s="124" t="s">
        <v>208</v>
      </c>
      <c r="P52" s="439" t="s">
        <v>117</v>
      </c>
      <c r="Q52" s="440"/>
      <c r="R52" s="431" t="s">
        <v>207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114</v>
      </c>
      <c r="B53" s="431"/>
      <c r="C53" s="154" t="s">
        <v>202</v>
      </c>
      <c r="D53" s="154" t="s">
        <v>203</v>
      </c>
      <c r="E53" s="154" t="s">
        <v>198</v>
      </c>
      <c r="F53" s="422" t="s">
        <v>119</v>
      </c>
      <c r="G53" s="422"/>
      <c r="H53" s="422"/>
      <c r="I53" s="422"/>
      <c r="J53" s="422"/>
      <c r="K53" s="422"/>
      <c r="L53" s="422"/>
      <c r="M53" s="432"/>
      <c r="N53" s="153"/>
      <c r="O53" s="124"/>
      <c r="P53" s="439"/>
      <c r="Q53" s="440"/>
      <c r="R53" s="431"/>
      <c r="S53" s="431"/>
      <c r="T53" s="431"/>
      <c r="U53" s="431"/>
      <c r="V53" s="422"/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/>
      <c r="B54" s="431"/>
      <c r="C54" s="154"/>
      <c r="D54" s="154"/>
      <c r="E54" s="154"/>
      <c r="F54" s="422"/>
      <c r="G54" s="422"/>
      <c r="H54" s="422"/>
      <c r="I54" s="422"/>
      <c r="J54" s="422"/>
      <c r="K54" s="422"/>
      <c r="L54" s="422"/>
      <c r="M54" s="432"/>
      <c r="N54" s="153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154"/>
      <c r="D55" s="154"/>
      <c r="E55" s="154"/>
      <c r="F55" s="422"/>
      <c r="G55" s="422"/>
      <c r="H55" s="422"/>
      <c r="I55" s="422"/>
      <c r="J55" s="422"/>
      <c r="K55" s="422"/>
      <c r="L55" s="422"/>
      <c r="M55" s="432"/>
      <c r="N55" s="153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154"/>
      <c r="D56" s="154"/>
      <c r="E56" s="154"/>
      <c r="F56" s="422"/>
      <c r="G56" s="422"/>
      <c r="H56" s="422"/>
      <c r="I56" s="422"/>
      <c r="J56" s="422"/>
      <c r="K56" s="422"/>
      <c r="L56" s="422"/>
      <c r="M56" s="432"/>
      <c r="N56" s="153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154"/>
      <c r="D57" s="154"/>
      <c r="E57" s="154"/>
      <c r="F57" s="422"/>
      <c r="G57" s="422"/>
      <c r="H57" s="422"/>
      <c r="I57" s="422"/>
      <c r="J57" s="422"/>
      <c r="K57" s="422"/>
      <c r="L57" s="422"/>
      <c r="M57" s="432"/>
      <c r="N57" s="153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154"/>
      <c r="D58" s="154"/>
      <c r="E58" s="154"/>
      <c r="F58" s="422"/>
      <c r="G58" s="422"/>
      <c r="H58" s="422"/>
      <c r="I58" s="422"/>
      <c r="J58" s="422"/>
      <c r="K58" s="422"/>
      <c r="L58" s="422"/>
      <c r="M58" s="432"/>
      <c r="N58" s="153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154"/>
      <c r="D59" s="154"/>
      <c r="E59" s="154"/>
      <c r="F59" s="422"/>
      <c r="G59" s="422"/>
      <c r="H59" s="422"/>
      <c r="I59" s="422"/>
      <c r="J59" s="422"/>
      <c r="K59" s="422"/>
      <c r="L59" s="422"/>
      <c r="M59" s="432"/>
      <c r="N59" s="153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156"/>
      <c r="D60" s="156"/>
      <c r="E60" s="156"/>
      <c r="F60" s="435"/>
      <c r="G60" s="435"/>
      <c r="H60" s="435"/>
      <c r="I60" s="435"/>
      <c r="J60" s="435"/>
      <c r="K60" s="435"/>
      <c r="L60" s="435"/>
      <c r="M60" s="436"/>
      <c r="N60" s="155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211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152" t="s">
        <v>2</v>
      </c>
      <c r="D62" s="152" t="s">
        <v>37</v>
      </c>
      <c r="E62" s="152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152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118</v>
      </c>
      <c r="D63" s="148"/>
      <c r="E63" s="151" t="s">
        <v>152</v>
      </c>
      <c r="F63" s="420" t="s">
        <v>187</v>
      </c>
      <c r="G63" s="412"/>
      <c r="H63" s="412"/>
      <c r="I63" s="412"/>
      <c r="J63" s="412"/>
      <c r="K63" s="412" t="s">
        <v>155</v>
      </c>
      <c r="L63" s="412"/>
      <c r="M63" s="54" t="s">
        <v>209</v>
      </c>
      <c r="N63" s="412">
        <v>12</v>
      </c>
      <c r="O63" s="412"/>
      <c r="P63" s="421">
        <v>200</v>
      </c>
      <c r="Q63" s="421"/>
      <c r="R63" s="422" t="s">
        <v>210</v>
      </c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148"/>
      <c r="E64" s="151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148"/>
      <c r="E65" s="151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148"/>
      <c r="E66" s="151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148"/>
      <c r="E67" s="151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148"/>
      <c r="E68" s="151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148"/>
      <c r="E69" s="151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148"/>
      <c r="E70" s="151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212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150" t="s">
        <v>2</v>
      </c>
      <c r="D72" s="150" t="s">
        <v>37</v>
      </c>
      <c r="E72" s="150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149" t="s">
        <v>114</v>
      </c>
      <c r="D73" s="149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148"/>
      <c r="D74" s="148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148"/>
      <c r="D75" s="148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148"/>
      <c r="D76" s="148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148"/>
      <c r="D77" s="148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148"/>
      <c r="D78" s="148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148"/>
      <c r="D79" s="148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148"/>
      <c r="D80" s="148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148"/>
      <c r="D81" s="148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213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1ACE-D378-44CA-AC7C-F051FC63E150}">
  <sheetPr>
    <pageSetUpPr fitToPage="1"/>
  </sheetPr>
  <dimension ref="A1:AF86"/>
  <sheetViews>
    <sheetView topLeftCell="A46" zoomScale="72" zoomScaleNormal="72" zoomScaleSheetLayoutView="70" workbookViewId="0">
      <selection activeCell="C63" sqref="C63:Q6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214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0.29444444444444451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0.29444444444444451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215</v>
      </c>
      <c r="E8" s="57" t="s">
        <v>216</v>
      </c>
      <c r="F8" s="33" t="s">
        <v>184</v>
      </c>
      <c r="G8" s="36" t="s">
        <v>137</v>
      </c>
      <c r="H8" s="38">
        <v>25</v>
      </c>
      <c r="I8" s="7">
        <v>2000</v>
      </c>
      <c r="J8" s="5">
        <v>2144</v>
      </c>
      <c r="K8" s="15">
        <f>L8</f>
        <v>2144</v>
      </c>
      <c r="L8" s="15">
        <f>563+1581</f>
        <v>2144</v>
      </c>
      <c r="M8" s="16">
        <f t="shared" si="0"/>
        <v>2144</v>
      </c>
      <c r="N8" s="16">
        <v>0</v>
      </c>
      <c r="O8" s="62">
        <f t="shared" si="1"/>
        <v>0</v>
      </c>
      <c r="P8" s="42">
        <f t="shared" si="2"/>
        <v>14</v>
      </c>
      <c r="Q8" s="43">
        <f t="shared" si="3"/>
        <v>10</v>
      </c>
      <c r="R8" s="7"/>
      <c r="S8" s="6"/>
      <c r="T8" s="17"/>
      <c r="U8" s="17"/>
      <c r="V8" s="18"/>
      <c r="W8" s="19">
        <v>10</v>
      </c>
      <c r="X8" s="17"/>
      <c r="Y8" s="20"/>
      <c r="Z8" s="20"/>
      <c r="AA8" s="21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9">
        <f t="shared" si="7"/>
        <v>0.29444444444444451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205</v>
      </c>
      <c r="E9" s="57" t="s">
        <v>217</v>
      </c>
      <c r="F9" s="33" t="s">
        <v>129</v>
      </c>
      <c r="G9" s="36">
        <v>16</v>
      </c>
      <c r="H9" s="38">
        <v>25</v>
      </c>
      <c r="I9" s="7">
        <v>80000</v>
      </c>
      <c r="J9" s="5">
        <v>78304</v>
      </c>
      <c r="K9" s="15">
        <f>L9</f>
        <v>78304</v>
      </c>
      <c r="L9" s="15">
        <f>1914*16+2980*16</f>
        <v>78304</v>
      </c>
      <c r="M9" s="16">
        <f t="shared" si="0"/>
        <v>78304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9">
        <f t="shared" si="7"/>
        <v>0.29444444444444451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118</v>
      </c>
      <c r="D10" s="55" t="s">
        <v>120</v>
      </c>
      <c r="E10" s="57" t="s">
        <v>177</v>
      </c>
      <c r="F10" s="12" t="s">
        <v>182</v>
      </c>
      <c r="G10" s="12">
        <v>2</v>
      </c>
      <c r="H10" s="13">
        <v>25</v>
      </c>
      <c r="I10" s="7">
        <v>3000</v>
      </c>
      <c r="J10" s="14">
        <v>2186</v>
      </c>
      <c r="K10" s="15">
        <f>L10+9582+2186</f>
        <v>11768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0.29444444444444451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114</v>
      </c>
      <c r="D11" s="55" t="s">
        <v>197</v>
      </c>
      <c r="E11" s="57" t="s">
        <v>198</v>
      </c>
      <c r="F11" s="12">
        <v>8301</v>
      </c>
      <c r="G11" s="12">
        <v>1</v>
      </c>
      <c r="H11" s="13">
        <v>25</v>
      </c>
      <c r="I11" s="34">
        <v>500</v>
      </c>
      <c r="J11" s="5">
        <v>3037</v>
      </c>
      <c r="K11" s="15">
        <f>L11+3037</f>
        <v>3037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0.29444444444444451</v>
      </c>
      <c r="AF11" s="93">
        <f t="shared" si="8"/>
        <v>6</v>
      </c>
    </row>
    <row r="12" spans="1:32" ht="27" customHeight="1">
      <c r="A12" s="109">
        <v>7</v>
      </c>
      <c r="B12" s="11" t="s">
        <v>219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30000</v>
      </c>
      <c r="J12" s="14">
        <v>4433</v>
      </c>
      <c r="K12" s="15">
        <f>L12</f>
        <v>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0.29444444444444451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148</v>
      </c>
      <c r="E13" s="57" t="s">
        <v>164</v>
      </c>
      <c r="F13" s="12" t="s">
        <v>122</v>
      </c>
      <c r="G13" s="12">
        <v>1</v>
      </c>
      <c r="H13" s="13">
        <v>25</v>
      </c>
      <c r="I13" s="7">
        <v>20000</v>
      </c>
      <c r="J13" s="14">
        <v>4905</v>
      </c>
      <c r="K13" s="15">
        <f>L13+3626+4492</f>
        <v>13023</v>
      </c>
      <c r="L13" s="15">
        <f>2347+2558</f>
        <v>4905</v>
      </c>
      <c r="M13" s="16">
        <f t="shared" si="0"/>
        <v>4905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0.29444444444444451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118</v>
      </c>
      <c r="D14" s="55" t="s">
        <v>152</v>
      </c>
      <c r="E14" s="57" t="s">
        <v>158</v>
      </c>
      <c r="F14" s="33" t="s">
        <v>155</v>
      </c>
      <c r="G14" s="36">
        <v>1</v>
      </c>
      <c r="H14" s="38">
        <v>25</v>
      </c>
      <c r="I14" s="7">
        <f>20000</f>
        <v>20000</v>
      </c>
      <c r="J14" s="5">
        <v>908</v>
      </c>
      <c r="K14" s="15">
        <f>L14+4376+5256+5008+5115+908</f>
        <v>20663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0.29444444444444451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0.29444444444444451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220</v>
      </c>
      <c r="E16" s="57" t="s">
        <v>221</v>
      </c>
      <c r="F16" s="33" t="s">
        <v>184</v>
      </c>
      <c r="G16" s="36" t="s">
        <v>137</v>
      </c>
      <c r="H16" s="38">
        <v>24</v>
      </c>
      <c r="I16" s="7">
        <v>2000</v>
      </c>
      <c r="J16" s="5">
        <v>2052</v>
      </c>
      <c r="K16" s="15">
        <f>L16</f>
        <v>2052</v>
      </c>
      <c r="L16" s="15">
        <f>211+1841</f>
        <v>2052</v>
      </c>
      <c r="M16" s="16">
        <f t="shared" si="0"/>
        <v>2052</v>
      </c>
      <c r="N16" s="16">
        <v>0</v>
      </c>
      <c r="O16" s="62">
        <f t="shared" si="1"/>
        <v>0</v>
      </c>
      <c r="P16" s="42">
        <f t="shared" si="2"/>
        <v>14</v>
      </c>
      <c r="Q16" s="43">
        <f t="shared" si="3"/>
        <v>10</v>
      </c>
      <c r="R16" s="7"/>
      <c r="S16" s="6"/>
      <c r="T16" s="17"/>
      <c r="U16" s="17"/>
      <c r="V16" s="18"/>
      <c r="W16" s="19">
        <v>10</v>
      </c>
      <c r="X16" s="17"/>
      <c r="Y16" s="20"/>
      <c r="Z16" s="20"/>
      <c r="AA16" s="21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9">
        <f t="shared" si="7"/>
        <v>0.29444444444444451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150</v>
      </c>
      <c r="D17" s="55"/>
      <c r="E17" s="57" t="s">
        <v>157</v>
      </c>
      <c r="F17" s="12">
        <v>8301</v>
      </c>
      <c r="G17" s="12" t="s">
        <v>137</v>
      </c>
      <c r="H17" s="13">
        <v>24</v>
      </c>
      <c r="I17" s="34">
        <v>2000</v>
      </c>
      <c r="J17" s="14">
        <v>1660</v>
      </c>
      <c r="K17" s="15">
        <f>L17+1660</f>
        <v>1660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0.29444444444444451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118</v>
      </c>
      <c r="D18" s="55" t="s">
        <v>117</v>
      </c>
      <c r="E18" s="57" t="s">
        <v>207</v>
      </c>
      <c r="F18" s="12" t="s">
        <v>128</v>
      </c>
      <c r="G18" s="36">
        <v>1</v>
      </c>
      <c r="H18" s="38">
        <v>24</v>
      </c>
      <c r="I18" s="7">
        <v>3000</v>
      </c>
      <c r="J18" s="5">
        <v>4723</v>
      </c>
      <c r="K18" s="15">
        <f>L18</f>
        <v>4723</v>
      </c>
      <c r="L18" s="15">
        <f>1928+2795</f>
        <v>4723</v>
      </c>
      <c r="M18" s="16">
        <f t="shared" si="0"/>
        <v>4723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9">
        <f t="shared" si="7"/>
        <v>0.29444444444444451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146</v>
      </c>
      <c r="E19" s="57" t="s">
        <v>156</v>
      </c>
      <c r="F19" s="12">
        <v>7301</v>
      </c>
      <c r="G19" s="36">
        <v>1</v>
      </c>
      <c r="H19" s="13">
        <v>24</v>
      </c>
      <c r="I19" s="7">
        <v>12000</v>
      </c>
      <c r="J19" s="14">
        <v>520</v>
      </c>
      <c r="K19" s="15">
        <f>L19+3018+6138+5353</f>
        <v>15029</v>
      </c>
      <c r="L19" s="15">
        <v>520</v>
      </c>
      <c r="M19" s="16">
        <f t="shared" si="0"/>
        <v>520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/>
      <c r="T19" s="17"/>
      <c r="U19" s="17"/>
      <c r="V19" s="18"/>
      <c r="W19" s="19">
        <v>20</v>
      </c>
      <c r="X19" s="17"/>
      <c r="Y19" s="20"/>
      <c r="Z19" s="20"/>
      <c r="AA19" s="21"/>
      <c r="AB19" s="8">
        <f t="shared" si="4"/>
        <v>1</v>
      </c>
      <c r="AC19" s="9">
        <f t="shared" si="5"/>
        <v>0.16666666666666666</v>
      </c>
      <c r="AD19" s="10">
        <f t="shared" si="6"/>
        <v>0.16666666666666666</v>
      </c>
      <c r="AE19" s="39">
        <f t="shared" si="7"/>
        <v>0.29444444444444451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2476</v>
      </c>
      <c r="K20" s="15">
        <f>L20+21192+22576+21736+23624+23264+21924</f>
        <v>136792</v>
      </c>
      <c r="L20" s="15">
        <f>619*4</f>
        <v>2476</v>
      </c>
      <c r="M20" s="16">
        <f t="shared" si="0"/>
        <v>2476</v>
      </c>
      <c r="N20" s="16">
        <v>0</v>
      </c>
      <c r="O20" s="62">
        <f t="shared" si="1"/>
        <v>0</v>
      </c>
      <c r="P20" s="42">
        <f t="shared" si="2"/>
        <v>4</v>
      </c>
      <c r="Q20" s="43">
        <f t="shared" si="3"/>
        <v>20</v>
      </c>
      <c r="R20" s="7"/>
      <c r="S20" s="6"/>
      <c r="T20" s="17"/>
      <c r="U20" s="17"/>
      <c r="V20" s="18"/>
      <c r="W20" s="19">
        <v>20</v>
      </c>
      <c r="X20" s="17"/>
      <c r="Y20" s="20"/>
      <c r="Z20" s="20"/>
      <c r="AA20" s="21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9">
        <f t="shared" si="7"/>
        <v>0.29444444444444451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476500</v>
      </c>
      <c r="J21" s="22">
        <f t="shared" si="9"/>
        <v>109853</v>
      </c>
      <c r="K21" s="23">
        <f t="shared" si="9"/>
        <v>293850</v>
      </c>
      <c r="L21" s="24">
        <f t="shared" si="9"/>
        <v>95124</v>
      </c>
      <c r="M21" s="23">
        <f t="shared" si="9"/>
        <v>95124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106</v>
      </c>
      <c r="Q21" s="46">
        <f t="shared" si="10"/>
        <v>254</v>
      </c>
      <c r="R21" s="26">
        <f t="shared" si="10"/>
        <v>24</v>
      </c>
      <c r="S21" s="27">
        <f t="shared" si="10"/>
        <v>48</v>
      </c>
      <c r="T21" s="27">
        <f t="shared" si="10"/>
        <v>2</v>
      </c>
      <c r="U21" s="27">
        <f t="shared" si="10"/>
        <v>0</v>
      </c>
      <c r="V21" s="28">
        <f t="shared" si="10"/>
        <v>0</v>
      </c>
      <c r="W21" s="29">
        <f t="shared" si="10"/>
        <v>180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0.29444444444444451</v>
      </c>
      <c r="AD21" s="4">
        <f>SUM(AD6:AD20)/15</f>
        <v>0.29444444444444451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222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226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160" t="s">
        <v>46</v>
      </c>
      <c r="D50" s="160" t="s">
        <v>47</v>
      </c>
      <c r="E50" s="160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160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126</v>
      </c>
      <c r="B51" s="431"/>
      <c r="C51" s="162" t="s">
        <v>223</v>
      </c>
      <c r="D51" s="162" t="s">
        <v>224</v>
      </c>
      <c r="E51" s="162" t="s">
        <v>216</v>
      </c>
      <c r="F51" s="422" t="s">
        <v>119</v>
      </c>
      <c r="G51" s="422"/>
      <c r="H51" s="422"/>
      <c r="I51" s="422"/>
      <c r="J51" s="422"/>
      <c r="K51" s="422"/>
      <c r="L51" s="422"/>
      <c r="M51" s="432"/>
      <c r="N51" s="161" t="s">
        <v>118</v>
      </c>
      <c r="O51" s="124" t="s">
        <v>225</v>
      </c>
      <c r="P51" s="439" t="s">
        <v>120</v>
      </c>
      <c r="Q51" s="440"/>
      <c r="R51" s="441" t="s">
        <v>218</v>
      </c>
      <c r="S51" s="431"/>
      <c r="T51" s="431"/>
      <c r="U51" s="431"/>
      <c r="V51" s="422" t="s">
        <v>124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162" t="s">
        <v>225</v>
      </c>
      <c r="D52" s="162" t="s">
        <v>120</v>
      </c>
      <c r="E52" s="162" t="s">
        <v>218</v>
      </c>
      <c r="F52" s="422" t="s">
        <v>193</v>
      </c>
      <c r="G52" s="422"/>
      <c r="H52" s="422"/>
      <c r="I52" s="422"/>
      <c r="J52" s="422"/>
      <c r="K52" s="422"/>
      <c r="L52" s="422"/>
      <c r="M52" s="432"/>
      <c r="N52" s="161" t="s">
        <v>118</v>
      </c>
      <c r="O52" s="124" t="s">
        <v>174</v>
      </c>
      <c r="P52" s="439" t="s">
        <v>117</v>
      </c>
      <c r="Q52" s="440"/>
      <c r="R52" s="431" t="s">
        <v>227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118</v>
      </c>
      <c r="B53" s="431"/>
      <c r="C53" s="162" t="s">
        <v>139</v>
      </c>
      <c r="D53" s="162" t="s">
        <v>205</v>
      </c>
      <c r="E53" s="162" t="s">
        <v>217</v>
      </c>
      <c r="F53" s="422" t="s">
        <v>119</v>
      </c>
      <c r="G53" s="422"/>
      <c r="H53" s="422"/>
      <c r="I53" s="422"/>
      <c r="J53" s="422"/>
      <c r="K53" s="422"/>
      <c r="L53" s="422"/>
      <c r="M53" s="432"/>
      <c r="N53" s="161" t="s">
        <v>126</v>
      </c>
      <c r="O53" s="124" t="s">
        <v>179</v>
      </c>
      <c r="P53" s="439"/>
      <c r="Q53" s="440"/>
      <c r="R53" s="431" t="s">
        <v>228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162" t="s">
        <v>179</v>
      </c>
      <c r="D54" s="162" t="s">
        <v>220</v>
      </c>
      <c r="E54" s="162" t="s">
        <v>221</v>
      </c>
      <c r="F54" s="422" t="s">
        <v>119</v>
      </c>
      <c r="G54" s="422"/>
      <c r="H54" s="422"/>
      <c r="I54" s="422"/>
      <c r="J54" s="422"/>
      <c r="K54" s="422"/>
      <c r="L54" s="422"/>
      <c r="M54" s="432"/>
      <c r="N54" s="161" t="s">
        <v>126</v>
      </c>
      <c r="O54" s="124" t="s">
        <v>141</v>
      </c>
      <c r="P54" s="439"/>
      <c r="Q54" s="440"/>
      <c r="R54" s="431" t="s">
        <v>229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118</v>
      </c>
      <c r="B55" s="431"/>
      <c r="C55" s="162" t="s">
        <v>208</v>
      </c>
      <c r="D55" s="162" t="s">
        <v>117</v>
      </c>
      <c r="E55" s="162" t="s">
        <v>207</v>
      </c>
      <c r="F55" s="422" t="s">
        <v>119</v>
      </c>
      <c r="G55" s="422"/>
      <c r="H55" s="422"/>
      <c r="I55" s="422"/>
      <c r="J55" s="422"/>
      <c r="K55" s="422"/>
      <c r="L55" s="422"/>
      <c r="M55" s="432"/>
      <c r="N55" s="161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162"/>
      <c r="D56" s="162"/>
      <c r="E56" s="162"/>
      <c r="F56" s="422"/>
      <c r="G56" s="422"/>
      <c r="H56" s="422"/>
      <c r="I56" s="422"/>
      <c r="J56" s="422"/>
      <c r="K56" s="422"/>
      <c r="L56" s="422"/>
      <c r="M56" s="432"/>
      <c r="N56" s="161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162"/>
      <c r="D57" s="162"/>
      <c r="E57" s="162"/>
      <c r="F57" s="422"/>
      <c r="G57" s="422"/>
      <c r="H57" s="422"/>
      <c r="I57" s="422"/>
      <c r="J57" s="422"/>
      <c r="K57" s="422"/>
      <c r="L57" s="422"/>
      <c r="M57" s="432"/>
      <c r="N57" s="161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162"/>
      <c r="D58" s="162"/>
      <c r="E58" s="162"/>
      <c r="F58" s="422"/>
      <c r="G58" s="422"/>
      <c r="H58" s="422"/>
      <c r="I58" s="422"/>
      <c r="J58" s="422"/>
      <c r="K58" s="422"/>
      <c r="L58" s="422"/>
      <c r="M58" s="432"/>
      <c r="N58" s="161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162"/>
      <c r="D59" s="162"/>
      <c r="E59" s="162"/>
      <c r="F59" s="422"/>
      <c r="G59" s="422"/>
      <c r="H59" s="422"/>
      <c r="I59" s="422"/>
      <c r="J59" s="422"/>
      <c r="K59" s="422"/>
      <c r="L59" s="422"/>
      <c r="M59" s="432"/>
      <c r="N59" s="161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164"/>
      <c r="D60" s="164"/>
      <c r="E60" s="164"/>
      <c r="F60" s="435"/>
      <c r="G60" s="435"/>
      <c r="H60" s="435"/>
      <c r="I60" s="435"/>
      <c r="J60" s="435"/>
      <c r="K60" s="435"/>
      <c r="L60" s="435"/>
      <c r="M60" s="436"/>
      <c r="N60" s="163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232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165" t="s">
        <v>2</v>
      </c>
      <c r="D62" s="165" t="s">
        <v>37</v>
      </c>
      <c r="E62" s="165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165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118</v>
      </c>
      <c r="D63" s="168"/>
      <c r="E63" s="166" t="s">
        <v>152</v>
      </c>
      <c r="F63" s="420" t="s">
        <v>187</v>
      </c>
      <c r="G63" s="412"/>
      <c r="H63" s="412"/>
      <c r="I63" s="412"/>
      <c r="J63" s="412"/>
      <c r="K63" s="412" t="s">
        <v>155</v>
      </c>
      <c r="L63" s="412"/>
      <c r="M63" s="54" t="s">
        <v>192</v>
      </c>
      <c r="N63" s="412">
        <v>9</v>
      </c>
      <c r="O63" s="412"/>
      <c r="P63" s="421">
        <v>50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126</v>
      </c>
      <c r="D64" s="168"/>
      <c r="E64" s="166" t="s">
        <v>117</v>
      </c>
      <c r="F64" s="420" t="s">
        <v>230</v>
      </c>
      <c r="G64" s="412"/>
      <c r="H64" s="412"/>
      <c r="I64" s="412"/>
      <c r="J64" s="412"/>
      <c r="K64" s="412" t="s">
        <v>122</v>
      </c>
      <c r="L64" s="412"/>
      <c r="M64" s="54" t="s">
        <v>192</v>
      </c>
      <c r="N64" s="412">
        <v>14</v>
      </c>
      <c r="O64" s="412"/>
      <c r="P64" s="421">
        <v>100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 t="s">
        <v>126</v>
      </c>
      <c r="D65" s="168"/>
      <c r="E65" s="166" t="s">
        <v>117</v>
      </c>
      <c r="F65" s="420" t="s">
        <v>231</v>
      </c>
      <c r="G65" s="412"/>
      <c r="H65" s="412"/>
      <c r="I65" s="412"/>
      <c r="J65" s="412"/>
      <c r="K65" s="412" t="s">
        <v>122</v>
      </c>
      <c r="L65" s="412"/>
      <c r="M65" s="54" t="s">
        <v>192</v>
      </c>
      <c r="N65" s="412">
        <v>14</v>
      </c>
      <c r="O65" s="412"/>
      <c r="P65" s="421">
        <v>100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168"/>
      <c r="E66" s="166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168"/>
      <c r="E67" s="166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168"/>
      <c r="E68" s="166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168"/>
      <c r="E69" s="166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168"/>
      <c r="E70" s="166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233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167" t="s">
        <v>2</v>
      </c>
      <c r="D72" s="167" t="s">
        <v>37</v>
      </c>
      <c r="E72" s="167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169" t="s">
        <v>114</v>
      </c>
      <c r="D73" s="169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168"/>
      <c r="D74" s="168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168"/>
      <c r="D75" s="168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168"/>
      <c r="D76" s="168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168"/>
      <c r="D77" s="168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168"/>
      <c r="D78" s="168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168"/>
      <c r="D79" s="168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168"/>
      <c r="D80" s="168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168"/>
      <c r="D81" s="168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234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0AA3-C74C-465A-850A-79707D84008F}">
  <sheetPr>
    <pageSetUpPr fitToPage="1"/>
  </sheetPr>
  <dimension ref="A1:AF86"/>
  <sheetViews>
    <sheetView topLeftCell="A52" zoomScale="72" zoomScaleNormal="72" zoomScaleSheetLayoutView="70" workbookViewId="0">
      <selection activeCell="C66" sqref="C66:Q6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235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180" t="s">
        <v>17</v>
      </c>
      <c r="L5" s="180" t="s">
        <v>18</v>
      </c>
      <c r="M5" s="180" t="s">
        <v>19</v>
      </c>
      <c r="N5" s="18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0.21940476190476191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0.21940476190476191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215</v>
      </c>
      <c r="E8" s="57" t="s">
        <v>216</v>
      </c>
      <c r="F8" s="33" t="s">
        <v>184</v>
      </c>
      <c r="G8" s="36" t="s">
        <v>137</v>
      </c>
      <c r="H8" s="38">
        <v>25</v>
      </c>
      <c r="I8" s="7">
        <v>2000</v>
      </c>
      <c r="J8" s="5">
        <v>2144</v>
      </c>
      <c r="K8" s="15">
        <f>L8+2144</f>
        <v>2144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0.21940476190476191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205</v>
      </c>
      <c r="E9" s="57" t="s">
        <v>217</v>
      </c>
      <c r="F9" s="33" t="s">
        <v>129</v>
      </c>
      <c r="G9" s="36">
        <v>16</v>
      </c>
      <c r="H9" s="38">
        <v>25</v>
      </c>
      <c r="I9" s="7">
        <v>80000</v>
      </c>
      <c r="J9" s="5">
        <v>49760</v>
      </c>
      <c r="K9" s="15">
        <f>L9+78304</f>
        <v>128064</v>
      </c>
      <c r="L9" s="15">
        <f>3110*16</f>
        <v>49760</v>
      </c>
      <c r="M9" s="16">
        <f t="shared" si="0"/>
        <v>49760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/>
      <c r="T9" s="17"/>
      <c r="U9" s="17"/>
      <c r="V9" s="18"/>
      <c r="W9" s="19">
        <v>12</v>
      </c>
      <c r="X9" s="17"/>
      <c r="Y9" s="20"/>
      <c r="Z9" s="20"/>
      <c r="AA9" s="21"/>
      <c r="AB9" s="8">
        <f t="shared" si="4"/>
        <v>1</v>
      </c>
      <c r="AC9" s="9">
        <f t="shared" si="5"/>
        <v>0.5</v>
      </c>
      <c r="AD9" s="10">
        <f t="shared" si="6"/>
        <v>0.5</v>
      </c>
      <c r="AE9" s="39">
        <f t="shared" si="7"/>
        <v>0.21940476190476191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118</v>
      </c>
      <c r="D10" s="55" t="s">
        <v>120</v>
      </c>
      <c r="E10" s="57" t="s">
        <v>177</v>
      </c>
      <c r="F10" s="12" t="s">
        <v>182</v>
      </c>
      <c r="G10" s="12">
        <v>2</v>
      </c>
      <c r="H10" s="13">
        <v>25</v>
      </c>
      <c r="I10" s="7">
        <v>3000</v>
      </c>
      <c r="J10" s="14">
        <v>2186</v>
      </c>
      <c r="K10" s="15">
        <f>L10+9582+2186</f>
        <v>11768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0.21940476190476191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114</v>
      </c>
      <c r="D11" s="55" t="s">
        <v>197</v>
      </c>
      <c r="E11" s="57" t="s">
        <v>198</v>
      </c>
      <c r="F11" s="12">
        <v>8301</v>
      </c>
      <c r="G11" s="12">
        <v>1</v>
      </c>
      <c r="H11" s="13">
        <v>25</v>
      </c>
      <c r="I11" s="34">
        <v>500</v>
      </c>
      <c r="J11" s="5">
        <v>3037</v>
      </c>
      <c r="K11" s="15">
        <f>L11+3037</f>
        <v>3037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0.21940476190476191</v>
      </c>
      <c r="AF11" s="93">
        <f t="shared" si="8"/>
        <v>6</v>
      </c>
    </row>
    <row r="12" spans="1:32" ht="27" customHeight="1">
      <c r="A12" s="109">
        <v>7</v>
      </c>
      <c r="B12" s="11" t="s">
        <v>219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30000</v>
      </c>
      <c r="J12" s="14">
        <v>1627</v>
      </c>
      <c r="K12" s="15">
        <f>L12</f>
        <v>1627</v>
      </c>
      <c r="L12" s="15">
        <v>1627</v>
      </c>
      <c r="M12" s="16">
        <f t="shared" si="0"/>
        <v>1627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>
        <v>2</v>
      </c>
      <c r="T12" s="17"/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9">
        <f t="shared" si="7"/>
        <v>0.21940476190476191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148</v>
      </c>
      <c r="E13" s="57" t="s">
        <v>164</v>
      </c>
      <c r="F13" s="12" t="s">
        <v>122</v>
      </c>
      <c r="G13" s="12">
        <v>1</v>
      </c>
      <c r="H13" s="13">
        <v>25</v>
      </c>
      <c r="I13" s="7">
        <v>20000</v>
      </c>
      <c r="J13" s="14">
        <v>2310</v>
      </c>
      <c r="K13" s="15">
        <f>L13+3626+4492+4905</f>
        <v>15333</v>
      </c>
      <c r="L13" s="15">
        <v>2310</v>
      </c>
      <c r="M13" s="16">
        <f t="shared" si="0"/>
        <v>2310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/>
      <c r="W13" s="19">
        <v>12</v>
      </c>
      <c r="X13" s="17"/>
      <c r="Y13" s="20"/>
      <c r="Z13" s="20"/>
      <c r="AA13" s="21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9">
        <f t="shared" si="7"/>
        <v>0.21940476190476191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118</v>
      </c>
      <c r="D14" s="55" t="s">
        <v>152</v>
      </c>
      <c r="E14" s="57" t="s">
        <v>158</v>
      </c>
      <c r="F14" s="33" t="s">
        <v>155</v>
      </c>
      <c r="G14" s="36">
        <v>1</v>
      </c>
      <c r="H14" s="38">
        <v>25</v>
      </c>
      <c r="I14" s="7">
        <f>20000</f>
        <v>20000</v>
      </c>
      <c r="J14" s="5">
        <v>908</v>
      </c>
      <c r="K14" s="15">
        <f>L14+4376+5256+5008+5115+908</f>
        <v>20663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0.21940476190476191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0.21940476190476191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236</v>
      </c>
      <c r="E16" s="57" t="s">
        <v>228</v>
      </c>
      <c r="F16" s="33" t="s">
        <v>184</v>
      </c>
      <c r="G16" s="36" t="s">
        <v>137</v>
      </c>
      <c r="H16" s="38">
        <v>24</v>
      </c>
      <c r="I16" s="7">
        <v>2000</v>
      </c>
      <c r="J16" s="5">
        <v>1120</v>
      </c>
      <c r="K16" s="15">
        <f>L16</f>
        <v>1120</v>
      </c>
      <c r="L16" s="15">
        <v>1120</v>
      </c>
      <c r="M16" s="16">
        <f t="shared" si="0"/>
        <v>1120</v>
      </c>
      <c r="N16" s="16">
        <v>0</v>
      </c>
      <c r="O16" s="62">
        <f t="shared" si="1"/>
        <v>0</v>
      </c>
      <c r="P16" s="42">
        <f t="shared" si="2"/>
        <v>9</v>
      </c>
      <c r="Q16" s="43">
        <f t="shared" si="3"/>
        <v>15</v>
      </c>
      <c r="R16" s="7"/>
      <c r="S16" s="6">
        <v>3</v>
      </c>
      <c r="T16" s="17"/>
      <c r="U16" s="17"/>
      <c r="V16" s="18">
        <v>12</v>
      </c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0.375</v>
      </c>
      <c r="AD16" s="10">
        <f t="shared" si="6"/>
        <v>0.375</v>
      </c>
      <c r="AE16" s="39">
        <f t="shared" si="7"/>
        <v>0.21940476190476191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237</v>
      </c>
      <c r="E17" s="57" t="s">
        <v>229</v>
      </c>
      <c r="F17" s="12">
        <v>8301</v>
      </c>
      <c r="G17" s="12">
        <v>1</v>
      </c>
      <c r="H17" s="13">
        <v>24</v>
      </c>
      <c r="I17" s="34">
        <v>2000</v>
      </c>
      <c r="J17" s="14">
        <v>1680</v>
      </c>
      <c r="K17" s="15">
        <f>L17</f>
        <v>1678</v>
      </c>
      <c r="L17" s="15">
        <v>1678</v>
      </c>
      <c r="M17" s="16">
        <f t="shared" si="0"/>
        <v>1678</v>
      </c>
      <c r="N17" s="16">
        <v>0</v>
      </c>
      <c r="O17" s="62">
        <f t="shared" si="1"/>
        <v>0</v>
      </c>
      <c r="P17" s="42">
        <f t="shared" si="2"/>
        <v>12</v>
      </c>
      <c r="Q17" s="43">
        <f t="shared" si="3"/>
        <v>12</v>
      </c>
      <c r="R17" s="7"/>
      <c r="S17" s="6"/>
      <c r="T17" s="17"/>
      <c r="U17" s="17"/>
      <c r="V17" s="18">
        <v>12</v>
      </c>
      <c r="W17" s="19"/>
      <c r="X17" s="17"/>
      <c r="Y17" s="20"/>
      <c r="Z17" s="20"/>
      <c r="AA17" s="21"/>
      <c r="AB17" s="8">
        <f t="shared" si="4"/>
        <v>0.99880952380952381</v>
      </c>
      <c r="AC17" s="9">
        <f t="shared" si="5"/>
        <v>0.5</v>
      </c>
      <c r="AD17" s="10">
        <f t="shared" si="6"/>
        <v>0.49940476190476191</v>
      </c>
      <c r="AE17" s="39">
        <f t="shared" si="7"/>
        <v>0.21940476190476191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118</v>
      </c>
      <c r="D18" s="55" t="s">
        <v>117</v>
      </c>
      <c r="E18" s="57" t="s">
        <v>207</v>
      </c>
      <c r="F18" s="12" t="s">
        <v>128</v>
      </c>
      <c r="G18" s="36">
        <v>1</v>
      </c>
      <c r="H18" s="38">
        <v>24</v>
      </c>
      <c r="I18" s="7">
        <v>3000</v>
      </c>
      <c r="J18" s="5">
        <v>2702</v>
      </c>
      <c r="K18" s="15">
        <f>L18+4723</f>
        <v>7425</v>
      </c>
      <c r="L18" s="15">
        <v>2702</v>
      </c>
      <c r="M18" s="16">
        <f t="shared" si="0"/>
        <v>2702</v>
      </c>
      <c r="N18" s="16">
        <v>0</v>
      </c>
      <c r="O18" s="62">
        <f t="shared" si="1"/>
        <v>0</v>
      </c>
      <c r="P18" s="42">
        <f t="shared" si="2"/>
        <v>12</v>
      </c>
      <c r="Q18" s="43">
        <f t="shared" si="3"/>
        <v>12</v>
      </c>
      <c r="R18" s="7"/>
      <c r="S18" s="6"/>
      <c r="T18" s="17"/>
      <c r="U18" s="17"/>
      <c r="V18" s="18"/>
      <c r="W18" s="19">
        <v>12</v>
      </c>
      <c r="X18" s="17"/>
      <c r="Y18" s="20"/>
      <c r="Z18" s="20"/>
      <c r="AA18" s="21"/>
      <c r="AB18" s="8">
        <f t="shared" si="4"/>
        <v>1</v>
      </c>
      <c r="AC18" s="9">
        <f t="shared" si="5"/>
        <v>0.5</v>
      </c>
      <c r="AD18" s="10">
        <f t="shared" si="6"/>
        <v>0.5</v>
      </c>
      <c r="AE18" s="39">
        <f t="shared" si="7"/>
        <v>0.21940476190476191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238</v>
      </c>
      <c r="E19" s="57" t="s">
        <v>239</v>
      </c>
      <c r="F19" s="12" t="s">
        <v>182</v>
      </c>
      <c r="G19" s="36">
        <v>1</v>
      </c>
      <c r="H19" s="13">
        <v>24</v>
      </c>
      <c r="I19" s="7">
        <v>2000</v>
      </c>
      <c r="J19" s="14">
        <v>1978</v>
      </c>
      <c r="K19" s="15">
        <f>L19</f>
        <v>1978</v>
      </c>
      <c r="L19" s="15">
        <f>1978</f>
        <v>1978</v>
      </c>
      <c r="M19" s="16">
        <f t="shared" si="0"/>
        <v>1978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/>
      <c r="T19" s="17"/>
      <c r="U19" s="17"/>
      <c r="V19" s="18">
        <v>12</v>
      </c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9">
        <f t="shared" si="7"/>
        <v>0.21940476190476191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2476</v>
      </c>
      <c r="K20" s="15">
        <f>L20+21192+22576+21736+23624+23264+21924+2476</f>
        <v>136792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0.21940476190476191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466500</v>
      </c>
      <c r="J21" s="22">
        <f t="shared" si="9"/>
        <v>74433</v>
      </c>
      <c r="K21" s="23">
        <f t="shared" si="9"/>
        <v>336284</v>
      </c>
      <c r="L21" s="24">
        <f t="shared" si="9"/>
        <v>61175</v>
      </c>
      <c r="M21" s="23">
        <f t="shared" si="9"/>
        <v>61175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79</v>
      </c>
      <c r="Q21" s="46">
        <f t="shared" si="10"/>
        <v>281</v>
      </c>
      <c r="R21" s="26">
        <f t="shared" si="10"/>
        <v>24</v>
      </c>
      <c r="S21" s="27">
        <f t="shared" si="10"/>
        <v>29</v>
      </c>
      <c r="T21" s="27">
        <f t="shared" si="10"/>
        <v>0</v>
      </c>
      <c r="U21" s="27">
        <f t="shared" si="10"/>
        <v>0</v>
      </c>
      <c r="V21" s="28">
        <f t="shared" si="10"/>
        <v>48</v>
      </c>
      <c r="W21" s="29">
        <f t="shared" si="10"/>
        <v>180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0.46658730158730155</v>
      </c>
      <c r="AC21" s="4">
        <f>SUM(AC6:AC20)/15</f>
        <v>0.21944444444444447</v>
      </c>
      <c r="AD21" s="4">
        <f>SUM(AD6:AD20)/15</f>
        <v>0.21940476190476191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240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243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179" t="s">
        <v>46</v>
      </c>
      <c r="D50" s="179" t="s">
        <v>47</v>
      </c>
      <c r="E50" s="179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179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176" t="s">
        <v>225</v>
      </c>
      <c r="D51" s="176" t="s">
        <v>120</v>
      </c>
      <c r="E51" s="176" t="s">
        <v>218</v>
      </c>
      <c r="F51" s="422" t="s">
        <v>241</v>
      </c>
      <c r="G51" s="422"/>
      <c r="H51" s="422"/>
      <c r="I51" s="422"/>
      <c r="J51" s="422"/>
      <c r="K51" s="422"/>
      <c r="L51" s="422"/>
      <c r="M51" s="432"/>
      <c r="N51" s="175" t="s">
        <v>118</v>
      </c>
      <c r="O51" s="124" t="s">
        <v>139</v>
      </c>
      <c r="P51" s="439" t="s">
        <v>131</v>
      </c>
      <c r="Q51" s="440"/>
      <c r="R51" s="441" t="s">
        <v>244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126</v>
      </c>
      <c r="B52" s="431"/>
      <c r="C52" s="176" t="s">
        <v>179</v>
      </c>
      <c r="D52" s="176" t="s">
        <v>242</v>
      </c>
      <c r="E52" s="176" t="s">
        <v>228</v>
      </c>
      <c r="F52" s="422" t="s">
        <v>119</v>
      </c>
      <c r="G52" s="422"/>
      <c r="H52" s="422"/>
      <c r="I52" s="422"/>
      <c r="J52" s="422"/>
      <c r="K52" s="422"/>
      <c r="L52" s="422"/>
      <c r="M52" s="432"/>
      <c r="N52" s="175" t="s">
        <v>118</v>
      </c>
      <c r="O52" s="124" t="s">
        <v>125</v>
      </c>
      <c r="P52" s="439" t="s">
        <v>117</v>
      </c>
      <c r="Q52" s="440"/>
      <c r="R52" s="431" t="s">
        <v>227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126</v>
      </c>
      <c r="B53" s="431"/>
      <c r="C53" s="176" t="s">
        <v>189</v>
      </c>
      <c r="D53" s="176" t="s">
        <v>237</v>
      </c>
      <c r="E53" s="176" t="s">
        <v>229</v>
      </c>
      <c r="F53" s="422" t="s">
        <v>119</v>
      </c>
      <c r="G53" s="422"/>
      <c r="H53" s="422"/>
      <c r="I53" s="422"/>
      <c r="J53" s="422"/>
      <c r="K53" s="422"/>
      <c r="L53" s="422"/>
      <c r="M53" s="432"/>
      <c r="N53" s="175" t="s">
        <v>114</v>
      </c>
      <c r="O53" s="124" t="s">
        <v>208</v>
      </c>
      <c r="P53" s="439" t="s">
        <v>146</v>
      </c>
      <c r="Q53" s="440"/>
      <c r="R53" s="431" t="s">
        <v>245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114</v>
      </c>
      <c r="B54" s="431"/>
      <c r="C54" s="176" t="s">
        <v>174</v>
      </c>
      <c r="D54" s="176" t="s">
        <v>238</v>
      </c>
      <c r="E54" s="176" t="s">
        <v>239</v>
      </c>
      <c r="F54" s="422" t="s">
        <v>119</v>
      </c>
      <c r="G54" s="422"/>
      <c r="H54" s="422"/>
      <c r="I54" s="422"/>
      <c r="J54" s="422"/>
      <c r="K54" s="422"/>
      <c r="L54" s="422"/>
      <c r="M54" s="432"/>
      <c r="N54" s="175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176"/>
      <c r="D55" s="176"/>
      <c r="E55" s="176"/>
      <c r="F55" s="422"/>
      <c r="G55" s="422"/>
      <c r="H55" s="422"/>
      <c r="I55" s="422"/>
      <c r="J55" s="422"/>
      <c r="K55" s="422"/>
      <c r="L55" s="422"/>
      <c r="M55" s="432"/>
      <c r="N55" s="175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176"/>
      <c r="D56" s="176"/>
      <c r="E56" s="176"/>
      <c r="F56" s="422"/>
      <c r="G56" s="422"/>
      <c r="H56" s="422"/>
      <c r="I56" s="422"/>
      <c r="J56" s="422"/>
      <c r="K56" s="422"/>
      <c r="L56" s="422"/>
      <c r="M56" s="432"/>
      <c r="N56" s="175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176"/>
      <c r="D57" s="176"/>
      <c r="E57" s="176"/>
      <c r="F57" s="422"/>
      <c r="G57" s="422"/>
      <c r="H57" s="422"/>
      <c r="I57" s="422"/>
      <c r="J57" s="422"/>
      <c r="K57" s="422"/>
      <c r="L57" s="422"/>
      <c r="M57" s="432"/>
      <c r="N57" s="175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176"/>
      <c r="D58" s="176"/>
      <c r="E58" s="176"/>
      <c r="F58" s="422"/>
      <c r="G58" s="422"/>
      <c r="H58" s="422"/>
      <c r="I58" s="422"/>
      <c r="J58" s="422"/>
      <c r="K58" s="422"/>
      <c r="L58" s="422"/>
      <c r="M58" s="432"/>
      <c r="N58" s="175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176"/>
      <c r="D59" s="176"/>
      <c r="E59" s="176"/>
      <c r="F59" s="422"/>
      <c r="G59" s="422"/>
      <c r="H59" s="422"/>
      <c r="I59" s="422"/>
      <c r="J59" s="422"/>
      <c r="K59" s="422"/>
      <c r="L59" s="422"/>
      <c r="M59" s="432"/>
      <c r="N59" s="175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178"/>
      <c r="D60" s="178"/>
      <c r="E60" s="178"/>
      <c r="F60" s="435"/>
      <c r="G60" s="435"/>
      <c r="H60" s="435"/>
      <c r="I60" s="435"/>
      <c r="J60" s="435"/>
      <c r="K60" s="435"/>
      <c r="L60" s="435"/>
      <c r="M60" s="436"/>
      <c r="N60" s="177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246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174" t="s">
        <v>2</v>
      </c>
      <c r="D62" s="174" t="s">
        <v>37</v>
      </c>
      <c r="E62" s="174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174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247</v>
      </c>
      <c r="D63" s="170"/>
      <c r="E63" s="173"/>
      <c r="F63" s="420" t="s">
        <v>250</v>
      </c>
      <c r="G63" s="412"/>
      <c r="H63" s="412"/>
      <c r="I63" s="412"/>
      <c r="J63" s="412"/>
      <c r="K63" s="412" t="s">
        <v>251</v>
      </c>
      <c r="L63" s="412"/>
      <c r="M63" s="54" t="s">
        <v>252</v>
      </c>
      <c r="N63" s="412">
        <v>5</v>
      </c>
      <c r="O63" s="412"/>
      <c r="P63" s="421"/>
      <c r="Q63" s="421"/>
      <c r="R63" s="422" t="s">
        <v>253</v>
      </c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247</v>
      </c>
      <c r="D64" s="170"/>
      <c r="E64" s="173"/>
      <c r="F64" s="420" t="s">
        <v>254</v>
      </c>
      <c r="G64" s="412"/>
      <c r="H64" s="412"/>
      <c r="I64" s="412"/>
      <c r="J64" s="412"/>
      <c r="K64" s="412" t="s">
        <v>255</v>
      </c>
      <c r="L64" s="412"/>
      <c r="M64" s="54" t="s">
        <v>252</v>
      </c>
      <c r="N64" s="412">
        <v>5</v>
      </c>
      <c r="O64" s="412"/>
      <c r="P64" s="421">
        <v>20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 t="s">
        <v>118</v>
      </c>
      <c r="D65" s="170"/>
      <c r="E65" s="173" t="s">
        <v>152</v>
      </c>
      <c r="F65" s="420" t="s">
        <v>256</v>
      </c>
      <c r="G65" s="412"/>
      <c r="H65" s="412"/>
      <c r="I65" s="412"/>
      <c r="J65" s="412"/>
      <c r="K65" s="412" t="s">
        <v>122</v>
      </c>
      <c r="L65" s="412"/>
      <c r="M65" s="54" t="s">
        <v>192</v>
      </c>
      <c r="N65" s="412">
        <v>3</v>
      </c>
      <c r="O65" s="412"/>
      <c r="P65" s="421">
        <v>50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 t="s">
        <v>247</v>
      </c>
      <c r="D66" s="170"/>
      <c r="E66" s="173" t="s">
        <v>117</v>
      </c>
      <c r="F66" s="420" t="s">
        <v>257</v>
      </c>
      <c r="G66" s="412"/>
      <c r="H66" s="412"/>
      <c r="I66" s="412"/>
      <c r="J66" s="412"/>
      <c r="K66" s="412" t="s">
        <v>258</v>
      </c>
      <c r="L66" s="412"/>
      <c r="M66" s="54" t="s">
        <v>192</v>
      </c>
      <c r="N66" s="412">
        <v>14</v>
      </c>
      <c r="O66" s="412"/>
      <c r="P66" s="421">
        <v>50</v>
      </c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170"/>
      <c r="E67" s="173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170"/>
      <c r="E68" s="173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170"/>
      <c r="E69" s="173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170"/>
      <c r="E70" s="173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248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172" t="s">
        <v>2</v>
      </c>
      <c r="D72" s="172" t="s">
        <v>37</v>
      </c>
      <c r="E72" s="172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171" t="s">
        <v>114</v>
      </c>
      <c r="D73" s="171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170"/>
      <c r="D74" s="170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170"/>
      <c r="D75" s="170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170"/>
      <c r="D76" s="170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170"/>
      <c r="D77" s="170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170"/>
      <c r="D78" s="170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170"/>
      <c r="D79" s="170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170"/>
      <c r="D80" s="170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170"/>
      <c r="D81" s="170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249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1707-EB0E-4D40-9B9C-74AAC2758257}">
  <sheetPr>
    <pageSetUpPr fitToPage="1"/>
  </sheetPr>
  <dimension ref="A1:AF87"/>
  <sheetViews>
    <sheetView topLeftCell="A40" zoomScale="72" zoomScaleNormal="72" zoomScaleSheetLayoutView="70" workbookViewId="0">
      <selection activeCell="A64" sqref="A64:XFD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259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181" t="s">
        <v>17</v>
      </c>
      <c r="L5" s="181" t="s">
        <v>18</v>
      </c>
      <c r="M5" s="181" t="s">
        <v>19</v>
      </c>
      <c r="N5" s="18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0.25833333333333336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0.25833333333333336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260</v>
      </c>
      <c r="D8" s="55" t="s">
        <v>261</v>
      </c>
      <c r="E8" s="57" t="s">
        <v>262</v>
      </c>
      <c r="F8" s="33" t="s">
        <v>263</v>
      </c>
      <c r="G8" s="36">
        <v>3</v>
      </c>
      <c r="H8" s="38">
        <v>25</v>
      </c>
      <c r="I8" s="7">
        <v>20000</v>
      </c>
      <c r="J8" s="5">
        <v>5871</v>
      </c>
      <c r="K8" s="15">
        <f>L8</f>
        <v>5871</v>
      </c>
      <c r="L8" s="15">
        <f>1957*3</f>
        <v>5871</v>
      </c>
      <c r="M8" s="16">
        <f t="shared" si="0"/>
        <v>5871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>
        <v>1</v>
      </c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9">
        <f t="shared" si="7"/>
        <v>0.25833333333333336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131</v>
      </c>
      <c r="E9" s="57" t="s">
        <v>244</v>
      </c>
      <c r="F9" s="33" t="s">
        <v>122</v>
      </c>
      <c r="G9" s="36">
        <v>2</v>
      </c>
      <c r="H9" s="38">
        <v>25</v>
      </c>
      <c r="I9" s="7">
        <v>300</v>
      </c>
      <c r="J9" s="5">
        <v>848</v>
      </c>
      <c r="K9" s="15">
        <f>L9</f>
        <v>848</v>
      </c>
      <c r="L9" s="15">
        <f>424*2</f>
        <v>848</v>
      </c>
      <c r="M9" s="16">
        <f t="shared" si="0"/>
        <v>848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0.25833333333333336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118</v>
      </c>
      <c r="D10" s="55" t="s">
        <v>120</v>
      </c>
      <c r="E10" s="57" t="s">
        <v>177</v>
      </c>
      <c r="F10" s="12" t="s">
        <v>182</v>
      </c>
      <c r="G10" s="12">
        <v>2</v>
      </c>
      <c r="H10" s="13">
        <v>25</v>
      </c>
      <c r="I10" s="7">
        <v>3000</v>
      </c>
      <c r="J10" s="14">
        <v>2186</v>
      </c>
      <c r="K10" s="15">
        <f>L10+9582+2186</f>
        <v>11768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0.25833333333333336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114</v>
      </c>
      <c r="D11" s="55" t="s">
        <v>197</v>
      </c>
      <c r="E11" s="57" t="s">
        <v>198</v>
      </c>
      <c r="F11" s="12">
        <v>8301</v>
      </c>
      <c r="G11" s="12">
        <v>1</v>
      </c>
      <c r="H11" s="13">
        <v>25</v>
      </c>
      <c r="I11" s="34">
        <v>500</v>
      </c>
      <c r="J11" s="5">
        <v>3037</v>
      </c>
      <c r="K11" s="15">
        <f>L11+3037</f>
        <v>3037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0.25833333333333336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9000</v>
      </c>
      <c r="J12" s="14">
        <v>2645</v>
      </c>
      <c r="K12" s="15">
        <f>L12+1627</f>
        <v>4272</v>
      </c>
      <c r="L12" s="15">
        <f>2645</f>
        <v>2645</v>
      </c>
      <c r="M12" s="16">
        <f t="shared" si="0"/>
        <v>2645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0.25833333333333336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227</v>
      </c>
      <c r="F13" s="12" t="s">
        <v>128</v>
      </c>
      <c r="G13" s="12">
        <v>1</v>
      </c>
      <c r="H13" s="13">
        <v>25</v>
      </c>
      <c r="I13" s="7">
        <v>9000</v>
      </c>
      <c r="J13" s="14">
        <v>2314</v>
      </c>
      <c r="K13" s="15">
        <f>L13</f>
        <v>2314</v>
      </c>
      <c r="L13" s="15">
        <v>2314</v>
      </c>
      <c r="M13" s="16">
        <f t="shared" si="0"/>
        <v>2314</v>
      </c>
      <c r="N13" s="16">
        <v>0</v>
      </c>
      <c r="O13" s="62">
        <f t="shared" si="1"/>
        <v>0</v>
      </c>
      <c r="P13" s="42">
        <f t="shared" si="2"/>
        <v>11</v>
      </c>
      <c r="Q13" s="43">
        <f t="shared" si="3"/>
        <v>13</v>
      </c>
      <c r="R13" s="7"/>
      <c r="S13" s="6"/>
      <c r="T13" s="17">
        <v>1</v>
      </c>
      <c r="U13" s="17"/>
      <c r="V13" s="18"/>
      <c r="W13" s="19">
        <v>12</v>
      </c>
      <c r="X13" s="17"/>
      <c r="Y13" s="20"/>
      <c r="Z13" s="20"/>
      <c r="AA13" s="21"/>
      <c r="AB13" s="8">
        <f t="shared" si="4"/>
        <v>1</v>
      </c>
      <c r="AC13" s="9">
        <f t="shared" si="5"/>
        <v>0.45833333333333331</v>
      </c>
      <c r="AD13" s="10">
        <f t="shared" si="6"/>
        <v>0.45833333333333331</v>
      </c>
      <c r="AE13" s="39">
        <f t="shared" si="7"/>
        <v>0.25833333333333336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118</v>
      </c>
      <c r="D14" s="55" t="s">
        <v>152</v>
      </c>
      <c r="E14" s="57" t="s">
        <v>158</v>
      </c>
      <c r="F14" s="33" t="s">
        <v>155</v>
      </c>
      <c r="G14" s="36">
        <v>1</v>
      </c>
      <c r="H14" s="38">
        <v>25</v>
      </c>
      <c r="I14" s="7">
        <f>20000</f>
        <v>20000</v>
      </c>
      <c r="J14" s="5">
        <v>908</v>
      </c>
      <c r="K14" s="15">
        <f>L14+4376+5256+5008+5115+908</f>
        <v>20663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0.25833333333333336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0.25833333333333336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236</v>
      </c>
      <c r="E16" s="57" t="s">
        <v>228</v>
      </c>
      <c r="F16" s="33" t="s">
        <v>184</v>
      </c>
      <c r="G16" s="36" t="s">
        <v>137</v>
      </c>
      <c r="H16" s="38">
        <v>24</v>
      </c>
      <c r="I16" s="7">
        <v>2000</v>
      </c>
      <c r="J16" s="5">
        <v>920</v>
      </c>
      <c r="K16" s="15">
        <f>L16+1120</f>
        <v>2040</v>
      </c>
      <c r="L16" s="15">
        <f>920</f>
        <v>920</v>
      </c>
      <c r="M16" s="16">
        <f t="shared" si="0"/>
        <v>920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/>
      <c r="T16" s="17"/>
      <c r="U16" s="17"/>
      <c r="V16" s="18"/>
      <c r="W16" s="19">
        <v>14</v>
      </c>
      <c r="X16" s="17"/>
      <c r="Y16" s="20"/>
      <c r="Z16" s="20"/>
      <c r="AA16" s="21"/>
      <c r="AB16" s="8">
        <f t="shared" si="4"/>
        <v>1</v>
      </c>
      <c r="AC16" s="9">
        <f t="shared" si="5"/>
        <v>0.41666666666666669</v>
      </c>
      <c r="AD16" s="10">
        <f t="shared" si="6"/>
        <v>0.41666666666666669</v>
      </c>
      <c r="AE16" s="39">
        <f t="shared" si="7"/>
        <v>0.25833333333333336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237</v>
      </c>
      <c r="E17" s="57" t="s">
        <v>229</v>
      </c>
      <c r="F17" s="12">
        <v>8301</v>
      </c>
      <c r="G17" s="12">
        <v>1</v>
      </c>
      <c r="H17" s="13">
        <v>24</v>
      </c>
      <c r="I17" s="34">
        <v>2000</v>
      </c>
      <c r="J17" s="14">
        <v>591</v>
      </c>
      <c r="K17" s="15">
        <f>L17+1678</f>
        <v>2269</v>
      </c>
      <c r="L17" s="15">
        <v>591</v>
      </c>
      <c r="M17" s="16">
        <f t="shared" si="0"/>
        <v>591</v>
      </c>
      <c r="N17" s="16">
        <v>0</v>
      </c>
      <c r="O17" s="62">
        <f t="shared" si="1"/>
        <v>0</v>
      </c>
      <c r="P17" s="42">
        <f t="shared" si="2"/>
        <v>6</v>
      </c>
      <c r="Q17" s="43">
        <f t="shared" si="3"/>
        <v>18</v>
      </c>
      <c r="R17" s="7"/>
      <c r="S17" s="6"/>
      <c r="T17" s="17"/>
      <c r="U17" s="17"/>
      <c r="V17" s="18"/>
      <c r="W17" s="19">
        <v>18</v>
      </c>
      <c r="X17" s="17"/>
      <c r="Y17" s="20"/>
      <c r="Z17" s="20"/>
      <c r="AA17" s="21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9">
        <f t="shared" si="7"/>
        <v>0.25833333333333336</v>
      </c>
      <c r="AF17" s="93">
        <f t="shared" si="8"/>
        <v>12</v>
      </c>
    </row>
    <row r="18" spans="1:32" ht="27" customHeight="1">
      <c r="A18" s="108">
        <v>12</v>
      </c>
      <c r="B18" s="11" t="s">
        <v>57</v>
      </c>
      <c r="C18" s="37" t="s">
        <v>118</v>
      </c>
      <c r="D18" s="55" t="s">
        <v>152</v>
      </c>
      <c r="E18" s="57" t="s">
        <v>264</v>
      </c>
      <c r="F18" s="12">
        <v>8301</v>
      </c>
      <c r="G18" s="12">
        <v>1</v>
      </c>
      <c r="H18" s="13">
        <v>24</v>
      </c>
      <c r="I18" s="34">
        <v>250</v>
      </c>
      <c r="J18" s="14">
        <v>386</v>
      </c>
      <c r="K18" s="15">
        <f>L18</f>
        <v>386</v>
      </c>
      <c r="L18" s="15">
        <v>386</v>
      </c>
      <c r="M18" s="16">
        <f>L18-N18</f>
        <v>386</v>
      </c>
      <c r="N18" s="16">
        <v>0</v>
      </c>
      <c r="O18" s="62">
        <f>IF(L18=0,"0",N18/L18)</f>
        <v>0</v>
      </c>
      <c r="P18" s="42">
        <f>IF(L18=0,"0",(24-Q18))</f>
        <v>3</v>
      </c>
      <c r="Q18" s="43">
        <f>SUM(R18:AA18)</f>
        <v>21</v>
      </c>
      <c r="R18" s="7"/>
      <c r="S18" s="6"/>
      <c r="T18" s="17"/>
      <c r="U18" s="17"/>
      <c r="V18" s="18"/>
      <c r="W18" s="19">
        <v>21</v>
      </c>
      <c r="X18" s="17"/>
      <c r="Y18" s="20"/>
      <c r="Z18" s="20"/>
      <c r="AA18" s="21"/>
      <c r="AB18" s="8">
        <f>IF(J18=0,"0",(L18/J18))</f>
        <v>1</v>
      </c>
      <c r="AC18" s="9">
        <f>IF(P18=0,"0",(P18/24))</f>
        <v>0.125</v>
      </c>
      <c r="AD18" s="10">
        <f>AC18*AB18*(1-O18)</f>
        <v>0.125</v>
      </c>
      <c r="AE18" s="39">
        <f t="shared" si="7"/>
        <v>0.25833333333333336</v>
      </c>
      <c r="AF18" s="93">
        <f>A18</f>
        <v>12</v>
      </c>
    </row>
    <row r="19" spans="1:32" ht="27" customHeight="1">
      <c r="A19" s="109">
        <v>13</v>
      </c>
      <c r="B19" s="11" t="s">
        <v>57</v>
      </c>
      <c r="C19" s="37" t="s">
        <v>114</v>
      </c>
      <c r="D19" s="55" t="s">
        <v>146</v>
      </c>
      <c r="E19" s="57" t="s">
        <v>245</v>
      </c>
      <c r="F19" s="12" t="s">
        <v>182</v>
      </c>
      <c r="G19" s="36">
        <v>1</v>
      </c>
      <c r="H19" s="38">
        <v>24</v>
      </c>
      <c r="I19" s="7">
        <v>1500</v>
      </c>
      <c r="J19" s="5">
        <v>1709</v>
      </c>
      <c r="K19" s="15">
        <f>L19</f>
        <v>1709</v>
      </c>
      <c r="L19" s="15">
        <v>1709</v>
      </c>
      <c r="M19" s="16">
        <f t="shared" si="0"/>
        <v>1709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/>
      <c r="T19" s="17"/>
      <c r="U19" s="17"/>
      <c r="V19" s="18"/>
      <c r="W19" s="19">
        <v>12</v>
      </c>
      <c r="X19" s="17"/>
      <c r="Y19" s="20"/>
      <c r="Z19" s="20"/>
      <c r="AA19" s="21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9">
        <f t="shared" si="7"/>
        <v>0.25833333333333336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114</v>
      </c>
      <c r="D20" s="55" t="s">
        <v>238</v>
      </c>
      <c r="E20" s="57" t="s">
        <v>239</v>
      </c>
      <c r="F20" s="12" t="s">
        <v>182</v>
      </c>
      <c r="G20" s="36">
        <v>1</v>
      </c>
      <c r="H20" s="13">
        <v>24</v>
      </c>
      <c r="I20" s="7">
        <v>2000</v>
      </c>
      <c r="J20" s="14">
        <v>1656</v>
      </c>
      <c r="K20" s="15">
        <f>L20+1978</f>
        <v>3634</v>
      </c>
      <c r="L20" s="15">
        <v>1656</v>
      </c>
      <c r="M20" s="16">
        <f t="shared" si="0"/>
        <v>1656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/>
      <c r="W20" s="19">
        <v>12</v>
      </c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0.25833333333333336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132</v>
      </c>
      <c r="F21" s="12" t="s">
        <v>116</v>
      </c>
      <c r="G21" s="12">
        <v>4</v>
      </c>
      <c r="H21" s="38">
        <v>20</v>
      </c>
      <c r="I21" s="7">
        <v>300000</v>
      </c>
      <c r="J21" s="14">
        <v>2476</v>
      </c>
      <c r="K21" s="15">
        <f>L21+21192+22576+21736+23624+23264+21924+2476</f>
        <v>136792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0.25833333333333336</v>
      </c>
      <c r="AF21" s="93">
        <f t="shared" si="8"/>
        <v>15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5">
        <f t="shared" ref="I22:N22" si="9">SUM(I6:I21)</f>
        <v>371550</v>
      </c>
      <c r="J22" s="22">
        <f t="shared" si="9"/>
        <v>28052</v>
      </c>
      <c r="K22" s="23">
        <f t="shared" si="9"/>
        <v>200258</v>
      </c>
      <c r="L22" s="24">
        <f t="shared" si="9"/>
        <v>16940</v>
      </c>
      <c r="M22" s="23">
        <f t="shared" si="9"/>
        <v>16940</v>
      </c>
      <c r="N22" s="24">
        <f t="shared" si="9"/>
        <v>0</v>
      </c>
      <c r="O22" s="44">
        <f t="shared" si="1"/>
        <v>0</v>
      </c>
      <c r="P22" s="45">
        <f t="shared" ref="P22:AA22" si="10">SUM(P6:P21)</f>
        <v>93</v>
      </c>
      <c r="Q22" s="46">
        <f t="shared" si="10"/>
        <v>291</v>
      </c>
      <c r="R22" s="26">
        <f t="shared" si="10"/>
        <v>24</v>
      </c>
      <c r="S22" s="27">
        <f t="shared" si="10"/>
        <v>24</v>
      </c>
      <c r="T22" s="27">
        <f t="shared" si="10"/>
        <v>2</v>
      </c>
      <c r="U22" s="27">
        <f t="shared" si="10"/>
        <v>0</v>
      </c>
      <c r="V22" s="28">
        <f t="shared" si="10"/>
        <v>12</v>
      </c>
      <c r="W22" s="29">
        <f t="shared" si="10"/>
        <v>229</v>
      </c>
      <c r="X22" s="30">
        <f t="shared" si="10"/>
        <v>0</v>
      </c>
      <c r="Y22" s="30">
        <f t="shared" si="10"/>
        <v>0</v>
      </c>
      <c r="Z22" s="30">
        <f t="shared" si="10"/>
        <v>0</v>
      </c>
      <c r="AA22" s="30">
        <f t="shared" si="10"/>
        <v>0</v>
      </c>
      <c r="AB22" s="31">
        <f>SUM(AB6:AB21)/15</f>
        <v>0.6</v>
      </c>
      <c r="AC22" s="4">
        <f>SUM(AC6:AC21)/15</f>
        <v>0.25833333333333336</v>
      </c>
      <c r="AD22" s="4">
        <f>SUM(AD6:AD21)/15</f>
        <v>0.25833333333333336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47" t="s">
        <v>45</v>
      </c>
      <c r="B49" s="447"/>
      <c r="C49" s="447"/>
      <c r="D49" s="447"/>
      <c r="E49" s="447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48" t="s">
        <v>265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267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182" t="s">
        <v>46</v>
      </c>
      <c r="D51" s="182" t="s">
        <v>47</v>
      </c>
      <c r="E51" s="182" t="s">
        <v>108</v>
      </c>
      <c r="F51" s="455" t="s">
        <v>107</v>
      </c>
      <c r="G51" s="455"/>
      <c r="H51" s="455"/>
      <c r="I51" s="455"/>
      <c r="J51" s="455"/>
      <c r="K51" s="455"/>
      <c r="L51" s="455"/>
      <c r="M51" s="456"/>
      <c r="N51" s="73" t="s">
        <v>112</v>
      </c>
      <c r="O51" s="182" t="s">
        <v>46</v>
      </c>
      <c r="P51" s="457" t="s">
        <v>47</v>
      </c>
      <c r="Q51" s="458"/>
      <c r="R51" s="457" t="s">
        <v>38</v>
      </c>
      <c r="S51" s="459"/>
      <c r="T51" s="459"/>
      <c r="U51" s="458"/>
      <c r="V51" s="457" t="s">
        <v>48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30" t="s">
        <v>118</v>
      </c>
      <c r="B52" s="431"/>
      <c r="C52" s="184" t="s">
        <v>225</v>
      </c>
      <c r="D52" s="184" t="s">
        <v>120</v>
      </c>
      <c r="E52" s="184" t="s">
        <v>218</v>
      </c>
      <c r="F52" s="422" t="s">
        <v>266</v>
      </c>
      <c r="G52" s="422"/>
      <c r="H52" s="422"/>
      <c r="I52" s="422"/>
      <c r="J52" s="422"/>
      <c r="K52" s="422"/>
      <c r="L52" s="422"/>
      <c r="M52" s="432"/>
      <c r="N52" s="183" t="s">
        <v>118</v>
      </c>
      <c r="O52" s="124" t="s">
        <v>208</v>
      </c>
      <c r="P52" s="439" t="s">
        <v>117</v>
      </c>
      <c r="Q52" s="440"/>
      <c r="R52" s="441" t="s">
        <v>268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260</v>
      </c>
      <c r="B53" s="431"/>
      <c r="C53" s="184" t="s">
        <v>223</v>
      </c>
      <c r="D53" s="184" t="s">
        <v>261</v>
      </c>
      <c r="E53" s="184" t="s">
        <v>262</v>
      </c>
      <c r="F53" s="422" t="s">
        <v>119</v>
      </c>
      <c r="G53" s="422"/>
      <c r="H53" s="422"/>
      <c r="I53" s="422"/>
      <c r="J53" s="422"/>
      <c r="K53" s="422"/>
      <c r="L53" s="422"/>
      <c r="M53" s="432"/>
      <c r="N53" s="183"/>
      <c r="O53" s="124"/>
      <c r="P53" s="439"/>
      <c r="Q53" s="440"/>
      <c r="R53" s="431"/>
      <c r="S53" s="431"/>
      <c r="T53" s="431"/>
      <c r="U53" s="431"/>
      <c r="V53" s="422"/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118</v>
      </c>
      <c r="B54" s="431"/>
      <c r="C54" s="184" t="s">
        <v>125</v>
      </c>
      <c r="D54" s="184" t="s">
        <v>117</v>
      </c>
      <c r="E54" s="184" t="s">
        <v>227</v>
      </c>
      <c r="F54" s="422" t="s">
        <v>119</v>
      </c>
      <c r="G54" s="422"/>
      <c r="H54" s="422"/>
      <c r="I54" s="422"/>
      <c r="J54" s="422"/>
      <c r="K54" s="422"/>
      <c r="L54" s="422"/>
      <c r="M54" s="432"/>
      <c r="N54" s="183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114</v>
      </c>
      <c r="B55" s="431"/>
      <c r="C55" s="184" t="s">
        <v>208</v>
      </c>
      <c r="D55" s="184" t="s">
        <v>146</v>
      </c>
      <c r="E55" s="184" t="s">
        <v>245</v>
      </c>
      <c r="F55" s="422" t="s">
        <v>119</v>
      </c>
      <c r="G55" s="422"/>
      <c r="H55" s="422"/>
      <c r="I55" s="422"/>
      <c r="J55" s="422"/>
      <c r="K55" s="422"/>
      <c r="L55" s="422"/>
      <c r="M55" s="432"/>
      <c r="N55" s="183"/>
      <c r="O55" s="124"/>
      <c r="P55" s="439"/>
      <c r="Q55" s="440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184"/>
      <c r="D56" s="184"/>
      <c r="E56" s="184"/>
      <c r="F56" s="422"/>
      <c r="G56" s="422"/>
      <c r="H56" s="422"/>
      <c r="I56" s="422"/>
      <c r="J56" s="422"/>
      <c r="K56" s="422"/>
      <c r="L56" s="422"/>
      <c r="M56" s="432"/>
      <c r="N56" s="183"/>
      <c r="O56" s="124"/>
      <c r="P56" s="431"/>
      <c r="Q56" s="431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184"/>
      <c r="D57" s="184"/>
      <c r="E57" s="184"/>
      <c r="F57" s="422"/>
      <c r="G57" s="422"/>
      <c r="H57" s="422"/>
      <c r="I57" s="422"/>
      <c r="J57" s="422"/>
      <c r="K57" s="422"/>
      <c r="L57" s="422"/>
      <c r="M57" s="432"/>
      <c r="N57" s="183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184"/>
      <c r="D58" s="184"/>
      <c r="E58" s="184"/>
      <c r="F58" s="422"/>
      <c r="G58" s="422"/>
      <c r="H58" s="422"/>
      <c r="I58" s="422"/>
      <c r="J58" s="422"/>
      <c r="K58" s="422"/>
      <c r="L58" s="422"/>
      <c r="M58" s="432"/>
      <c r="N58" s="183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184"/>
      <c r="D59" s="184"/>
      <c r="E59" s="184"/>
      <c r="F59" s="422"/>
      <c r="G59" s="422"/>
      <c r="H59" s="422"/>
      <c r="I59" s="422"/>
      <c r="J59" s="422"/>
      <c r="K59" s="422"/>
      <c r="L59" s="422"/>
      <c r="M59" s="432"/>
      <c r="N59" s="183"/>
      <c r="O59" s="124"/>
      <c r="P59" s="439"/>
      <c r="Q59" s="440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</row>
    <row r="60" spans="1:32" ht="27" customHeight="1">
      <c r="A60" s="430"/>
      <c r="B60" s="431"/>
      <c r="C60" s="184"/>
      <c r="D60" s="184"/>
      <c r="E60" s="184"/>
      <c r="F60" s="422"/>
      <c r="G60" s="422"/>
      <c r="H60" s="422"/>
      <c r="I60" s="422"/>
      <c r="J60" s="422"/>
      <c r="K60" s="422"/>
      <c r="L60" s="422"/>
      <c r="M60" s="432"/>
      <c r="N60" s="183"/>
      <c r="O60" s="124"/>
      <c r="P60" s="431"/>
      <c r="Q60" s="431"/>
      <c r="R60" s="431"/>
      <c r="S60" s="431"/>
      <c r="T60" s="431"/>
      <c r="U60" s="431"/>
      <c r="V60" s="422"/>
      <c r="W60" s="422"/>
      <c r="X60" s="422"/>
      <c r="Y60" s="422"/>
      <c r="Z60" s="422"/>
      <c r="AA60" s="422"/>
      <c r="AB60" s="422"/>
      <c r="AC60" s="422"/>
      <c r="AD60" s="432"/>
      <c r="AF60" s="93">
        <f>8*3000</f>
        <v>24000</v>
      </c>
    </row>
    <row r="61" spans="1:32" ht="27" customHeight="1" thickBot="1">
      <c r="A61" s="433"/>
      <c r="B61" s="434"/>
      <c r="C61" s="186"/>
      <c r="D61" s="186"/>
      <c r="E61" s="186"/>
      <c r="F61" s="435"/>
      <c r="G61" s="435"/>
      <c r="H61" s="435"/>
      <c r="I61" s="435"/>
      <c r="J61" s="435"/>
      <c r="K61" s="435"/>
      <c r="L61" s="435"/>
      <c r="M61" s="436"/>
      <c r="N61" s="185"/>
      <c r="O61" s="120"/>
      <c r="P61" s="434"/>
      <c r="Q61" s="434"/>
      <c r="R61" s="434"/>
      <c r="S61" s="434"/>
      <c r="T61" s="434"/>
      <c r="U61" s="434"/>
      <c r="V61" s="437"/>
      <c r="W61" s="437"/>
      <c r="X61" s="437"/>
      <c r="Y61" s="437"/>
      <c r="Z61" s="437"/>
      <c r="AA61" s="437"/>
      <c r="AB61" s="437"/>
      <c r="AC61" s="437"/>
      <c r="AD61" s="438"/>
      <c r="AF61" s="93">
        <f>16*3000</f>
        <v>48000</v>
      </c>
    </row>
    <row r="62" spans="1:32" ht="27.75" thickBot="1">
      <c r="A62" s="428" t="s">
        <v>269</v>
      </c>
      <c r="B62" s="428"/>
      <c r="C62" s="428"/>
      <c r="D62" s="428"/>
      <c r="E62" s="428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29" t="s">
        <v>113</v>
      </c>
      <c r="B63" s="426"/>
      <c r="C63" s="187" t="s">
        <v>2</v>
      </c>
      <c r="D63" s="187" t="s">
        <v>37</v>
      </c>
      <c r="E63" s="187" t="s">
        <v>3</v>
      </c>
      <c r="F63" s="426" t="s">
        <v>110</v>
      </c>
      <c r="G63" s="426"/>
      <c r="H63" s="426"/>
      <c r="I63" s="426"/>
      <c r="J63" s="426"/>
      <c r="K63" s="426" t="s">
        <v>39</v>
      </c>
      <c r="L63" s="426"/>
      <c r="M63" s="187" t="s">
        <v>40</v>
      </c>
      <c r="N63" s="426" t="s">
        <v>41</v>
      </c>
      <c r="O63" s="426"/>
      <c r="P63" s="423" t="s">
        <v>42</v>
      </c>
      <c r="Q63" s="425"/>
      <c r="R63" s="423" t="s">
        <v>43</v>
      </c>
      <c r="S63" s="424"/>
      <c r="T63" s="424"/>
      <c r="U63" s="424"/>
      <c r="V63" s="424"/>
      <c r="W63" s="424"/>
      <c r="X63" s="424"/>
      <c r="Y63" s="424"/>
      <c r="Z63" s="424"/>
      <c r="AA63" s="425"/>
      <c r="AB63" s="426" t="s">
        <v>44</v>
      </c>
      <c r="AC63" s="426"/>
      <c r="AD63" s="427"/>
      <c r="AF63" s="93">
        <f>SUM(AF60:AF62)</f>
        <v>96000</v>
      </c>
    </row>
    <row r="64" spans="1:32" ht="25.5" customHeight="1">
      <c r="A64" s="418">
        <v>1</v>
      </c>
      <c r="B64" s="419"/>
      <c r="C64" s="123" t="s">
        <v>118</v>
      </c>
      <c r="D64" s="190"/>
      <c r="E64" s="188" t="s">
        <v>152</v>
      </c>
      <c r="F64" s="420" t="s">
        <v>187</v>
      </c>
      <c r="G64" s="412"/>
      <c r="H64" s="412"/>
      <c r="I64" s="412"/>
      <c r="J64" s="412"/>
      <c r="K64" s="412" t="s">
        <v>155</v>
      </c>
      <c r="L64" s="412"/>
      <c r="M64" s="54" t="s">
        <v>192</v>
      </c>
      <c r="N64" s="412">
        <v>9</v>
      </c>
      <c r="O64" s="412"/>
      <c r="P64" s="421">
        <v>50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2</v>
      </c>
      <c r="B65" s="419"/>
      <c r="C65" s="123"/>
      <c r="D65" s="190"/>
      <c r="E65" s="188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3</v>
      </c>
      <c r="B66" s="419"/>
      <c r="C66" s="123"/>
      <c r="D66" s="190"/>
      <c r="E66" s="188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4</v>
      </c>
      <c r="B67" s="419"/>
      <c r="C67" s="123"/>
      <c r="D67" s="190"/>
      <c r="E67" s="188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5</v>
      </c>
      <c r="B68" s="419"/>
      <c r="C68" s="123"/>
      <c r="D68" s="190"/>
      <c r="E68" s="188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6</v>
      </c>
      <c r="B69" s="419"/>
      <c r="C69" s="123"/>
      <c r="D69" s="190"/>
      <c r="E69" s="188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7</v>
      </c>
      <c r="B70" s="419"/>
      <c r="C70" s="123"/>
      <c r="D70" s="190"/>
      <c r="E70" s="188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5.5" customHeight="1">
      <c r="A71" s="418">
        <v>8</v>
      </c>
      <c r="B71" s="419"/>
      <c r="C71" s="123"/>
      <c r="D71" s="190"/>
      <c r="E71" s="188"/>
      <c r="F71" s="420"/>
      <c r="G71" s="412"/>
      <c r="H71" s="412"/>
      <c r="I71" s="412"/>
      <c r="J71" s="412"/>
      <c r="K71" s="412"/>
      <c r="L71" s="412"/>
      <c r="M71" s="54"/>
      <c r="N71" s="412"/>
      <c r="O71" s="412"/>
      <c r="P71" s="421"/>
      <c r="Q71" s="421"/>
      <c r="R71" s="422"/>
      <c r="S71" s="422"/>
      <c r="T71" s="422"/>
      <c r="U71" s="422"/>
      <c r="V71" s="422"/>
      <c r="W71" s="422"/>
      <c r="X71" s="422"/>
      <c r="Y71" s="422"/>
      <c r="Z71" s="422"/>
      <c r="AA71" s="422"/>
      <c r="AB71" s="412"/>
      <c r="AC71" s="412"/>
      <c r="AD71" s="413"/>
      <c r="AF71" s="53"/>
    </row>
    <row r="72" spans="1:32" ht="26.25" customHeight="1" thickBot="1">
      <c r="A72" s="392" t="s">
        <v>270</v>
      </c>
      <c r="B72" s="392"/>
      <c r="C72" s="392"/>
      <c r="D72" s="392"/>
      <c r="E72" s="39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3" t="s">
        <v>113</v>
      </c>
      <c r="B73" s="394"/>
      <c r="C73" s="189" t="s">
        <v>2</v>
      </c>
      <c r="D73" s="189" t="s">
        <v>37</v>
      </c>
      <c r="E73" s="189" t="s">
        <v>3</v>
      </c>
      <c r="F73" s="394" t="s">
        <v>38</v>
      </c>
      <c r="G73" s="394"/>
      <c r="H73" s="394"/>
      <c r="I73" s="394"/>
      <c r="J73" s="394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394" t="s">
        <v>49</v>
      </c>
      <c r="U73" s="394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3"/>
    </row>
    <row r="74" spans="1:32" ht="33.75" customHeight="1">
      <c r="A74" s="386">
        <v>1</v>
      </c>
      <c r="B74" s="387"/>
      <c r="C74" s="191" t="s">
        <v>114</v>
      </c>
      <c r="D74" s="191"/>
      <c r="E74" s="71" t="s">
        <v>149</v>
      </c>
      <c r="F74" s="401" t="s">
        <v>147</v>
      </c>
      <c r="G74" s="402"/>
      <c r="H74" s="402"/>
      <c r="I74" s="402"/>
      <c r="J74" s="403"/>
      <c r="K74" s="404" t="s">
        <v>153</v>
      </c>
      <c r="L74" s="405"/>
      <c r="M74" s="405"/>
      <c r="N74" s="405"/>
      <c r="O74" s="405"/>
      <c r="P74" s="405"/>
      <c r="Q74" s="405"/>
      <c r="R74" s="405"/>
      <c r="S74" s="406"/>
      <c r="T74" s="407">
        <v>43384</v>
      </c>
      <c r="U74" s="408"/>
      <c r="V74" s="409"/>
      <c r="W74" s="409"/>
      <c r="X74" s="410"/>
      <c r="Y74" s="410"/>
      <c r="Z74" s="410"/>
      <c r="AA74" s="410"/>
      <c r="AB74" s="410"/>
      <c r="AC74" s="410"/>
      <c r="AD74" s="411"/>
      <c r="AF74" s="53"/>
    </row>
    <row r="75" spans="1:32" ht="30" customHeight="1">
      <c r="A75" s="379">
        <f>A74+1</f>
        <v>2</v>
      </c>
      <c r="B75" s="380"/>
      <c r="C75" s="190"/>
      <c r="D75" s="190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ref="A76:A82" si="11">A75+1</f>
        <v>3</v>
      </c>
      <c r="B76" s="380"/>
      <c r="C76" s="190"/>
      <c r="D76" s="190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4</v>
      </c>
      <c r="B77" s="380"/>
      <c r="C77" s="190"/>
      <c r="D77" s="190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5</v>
      </c>
      <c r="B78" s="380"/>
      <c r="C78" s="190"/>
      <c r="D78" s="190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6</v>
      </c>
      <c r="B79" s="380"/>
      <c r="C79" s="190"/>
      <c r="D79" s="190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7</v>
      </c>
      <c r="B80" s="380"/>
      <c r="C80" s="190"/>
      <c r="D80" s="190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8</v>
      </c>
      <c r="B81" s="380"/>
      <c r="C81" s="190"/>
      <c r="D81" s="190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0" customHeight="1">
      <c r="A82" s="379">
        <f t="shared" si="11"/>
        <v>9</v>
      </c>
      <c r="B82" s="380"/>
      <c r="C82" s="190"/>
      <c r="D82" s="190"/>
      <c r="E82" s="35"/>
      <c r="F82" s="380"/>
      <c r="G82" s="380"/>
      <c r="H82" s="380"/>
      <c r="I82" s="380"/>
      <c r="J82" s="380"/>
      <c r="K82" s="395"/>
      <c r="L82" s="396"/>
      <c r="M82" s="396"/>
      <c r="N82" s="396"/>
      <c r="O82" s="396"/>
      <c r="P82" s="396"/>
      <c r="Q82" s="396"/>
      <c r="R82" s="396"/>
      <c r="S82" s="397"/>
      <c r="T82" s="398"/>
      <c r="U82" s="398"/>
      <c r="V82" s="398"/>
      <c r="W82" s="398"/>
      <c r="X82" s="399"/>
      <c r="Y82" s="399"/>
      <c r="Z82" s="399"/>
      <c r="AA82" s="399"/>
      <c r="AB82" s="399"/>
      <c r="AC82" s="399"/>
      <c r="AD82" s="400"/>
      <c r="AF82" s="53"/>
    </row>
    <row r="83" spans="1:32" ht="36" thickBot="1">
      <c r="A83" s="392" t="s">
        <v>271</v>
      </c>
      <c r="B83" s="392"/>
      <c r="C83" s="392"/>
      <c r="D83" s="392"/>
      <c r="E83" s="39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3" t="s">
        <v>113</v>
      </c>
      <c r="B84" s="394"/>
      <c r="C84" s="384" t="s">
        <v>52</v>
      </c>
      <c r="D84" s="384"/>
      <c r="E84" s="384" t="s">
        <v>53</v>
      </c>
      <c r="F84" s="384"/>
      <c r="G84" s="384"/>
      <c r="H84" s="384"/>
      <c r="I84" s="384"/>
      <c r="J84" s="384"/>
      <c r="K84" s="384" t="s">
        <v>54</v>
      </c>
      <c r="L84" s="384"/>
      <c r="M84" s="384"/>
      <c r="N84" s="384"/>
      <c r="O84" s="384"/>
      <c r="P84" s="384"/>
      <c r="Q84" s="384"/>
      <c r="R84" s="384"/>
      <c r="S84" s="384"/>
      <c r="T84" s="384" t="s">
        <v>55</v>
      </c>
      <c r="U84" s="384"/>
      <c r="V84" s="384" t="s">
        <v>56</v>
      </c>
      <c r="W84" s="384"/>
      <c r="X84" s="384"/>
      <c r="Y84" s="384" t="s">
        <v>51</v>
      </c>
      <c r="Z84" s="384"/>
      <c r="AA84" s="384"/>
      <c r="AB84" s="384"/>
      <c r="AC84" s="384"/>
      <c r="AD84" s="385"/>
      <c r="AF84" s="53"/>
    </row>
    <row r="85" spans="1:32" ht="30.75" customHeight="1">
      <c r="A85" s="386">
        <v>1</v>
      </c>
      <c r="B85" s="387"/>
      <c r="C85" s="388"/>
      <c r="D85" s="388"/>
      <c r="E85" s="388"/>
      <c r="F85" s="388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88"/>
      <c r="V85" s="389"/>
      <c r="W85" s="389"/>
      <c r="X85" s="389"/>
      <c r="Y85" s="390"/>
      <c r="Z85" s="390"/>
      <c r="AA85" s="390"/>
      <c r="AB85" s="390"/>
      <c r="AC85" s="390"/>
      <c r="AD85" s="391"/>
      <c r="AF85" s="53"/>
    </row>
    <row r="86" spans="1:32" ht="30.75" customHeight="1">
      <c r="A86" s="379">
        <v>2</v>
      </c>
      <c r="B86" s="380"/>
      <c r="C86" s="381"/>
      <c r="D86" s="381"/>
      <c r="E86" s="381"/>
      <c r="F86" s="381"/>
      <c r="G86" s="381"/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  <c r="T86" s="382"/>
      <c r="U86" s="382"/>
      <c r="V86" s="383"/>
      <c r="W86" s="383"/>
      <c r="X86" s="383"/>
      <c r="Y86" s="372"/>
      <c r="Z86" s="372"/>
      <c r="AA86" s="372"/>
      <c r="AB86" s="372"/>
      <c r="AC86" s="372"/>
      <c r="AD86" s="373"/>
      <c r="AF86" s="53"/>
    </row>
    <row r="87" spans="1:32" ht="30.75" customHeight="1" thickBot="1">
      <c r="A87" s="374">
        <v>3</v>
      </c>
      <c r="B87" s="375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7"/>
      <c r="Z87" s="377"/>
      <c r="AA87" s="377"/>
      <c r="AB87" s="377"/>
      <c r="AC87" s="377"/>
      <c r="AD87" s="378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E3C7-5A7C-4B9F-BE5F-27DE51B0F9BB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272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02" t="s">
        <v>17</v>
      </c>
      <c r="L5" s="202" t="s">
        <v>18</v>
      </c>
      <c r="M5" s="202" t="s">
        <v>19</v>
      </c>
      <c r="N5" s="20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0.10277777777777779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0.10277777777777779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260</v>
      </c>
      <c r="D8" s="55" t="s">
        <v>261</v>
      </c>
      <c r="E8" s="57" t="s">
        <v>262</v>
      </c>
      <c r="F8" s="33" t="s">
        <v>263</v>
      </c>
      <c r="G8" s="36">
        <v>3</v>
      </c>
      <c r="H8" s="38">
        <v>25</v>
      </c>
      <c r="I8" s="7">
        <v>20000</v>
      </c>
      <c r="J8" s="5">
        <v>5814</v>
      </c>
      <c r="K8" s="15">
        <f>L8+5871</f>
        <v>11685</v>
      </c>
      <c r="L8" s="15">
        <f>1938*3</f>
        <v>5814</v>
      </c>
      <c r="M8" s="16">
        <f t="shared" si="0"/>
        <v>5814</v>
      </c>
      <c r="N8" s="16">
        <v>0</v>
      </c>
      <c r="O8" s="62">
        <f t="shared" si="1"/>
        <v>0</v>
      </c>
      <c r="P8" s="42">
        <f t="shared" si="2"/>
        <v>11</v>
      </c>
      <c r="Q8" s="43">
        <f t="shared" si="3"/>
        <v>13</v>
      </c>
      <c r="R8" s="7"/>
      <c r="S8" s="6"/>
      <c r="T8" s="17"/>
      <c r="U8" s="17"/>
      <c r="V8" s="18">
        <v>13</v>
      </c>
      <c r="W8" s="19"/>
      <c r="X8" s="17"/>
      <c r="Y8" s="20"/>
      <c r="Z8" s="20"/>
      <c r="AA8" s="21"/>
      <c r="AB8" s="8">
        <f t="shared" si="4"/>
        <v>1</v>
      </c>
      <c r="AC8" s="9">
        <f t="shared" si="5"/>
        <v>0.45833333333333331</v>
      </c>
      <c r="AD8" s="10">
        <f t="shared" si="6"/>
        <v>0.45833333333333331</v>
      </c>
      <c r="AE8" s="39">
        <f t="shared" si="7"/>
        <v>0.10277777777777779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131</v>
      </c>
      <c r="E9" s="57" t="s">
        <v>244</v>
      </c>
      <c r="F9" s="33" t="s">
        <v>122</v>
      </c>
      <c r="G9" s="36">
        <v>2</v>
      </c>
      <c r="H9" s="38">
        <v>25</v>
      </c>
      <c r="I9" s="7">
        <v>300</v>
      </c>
      <c r="J9" s="5">
        <v>848</v>
      </c>
      <c r="K9" s="15">
        <f>L9+848</f>
        <v>848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0.10277777777777779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118</v>
      </c>
      <c r="D10" s="55" t="s">
        <v>120</v>
      </c>
      <c r="E10" s="57" t="s">
        <v>177</v>
      </c>
      <c r="F10" s="12" t="s">
        <v>182</v>
      </c>
      <c r="G10" s="12">
        <v>2</v>
      </c>
      <c r="H10" s="13">
        <v>25</v>
      </c>
      <c r="I10" s="7">
        <v>3000</v>
      </c>
      <c r="J10" s="14">
        <v>2186</v>
      </c>
      <c r="K10" s="15">
        <f>L10+9582+2186</f>
        <v>11768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0.10277777777777779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114</v>
      </c>
      <c r="D11" s="55" t="s">
        <v>197</v>
      </c>
      <c r="E11" s="57" t="s">
        <v>198</v>
      </c>
      <c r="F11" s="12">
        <v>8301</v>
      </c>
      <c r="G11" s="12">
        <v>1</v>
      </c>
      <c r="H11" s="13">
        <v>25</v>
      </c>
      <c r="I11" s="34">
        <v>500</v>
      </c>
      <c r="J11" s="5">
        <v>3037</v>
      </c>
      <c r="K11" s="15">
        <f>L11+3037</f>
        <v>3037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0.10277777777777779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9000</v>
      </c>
      <c r="J12" s="14">
        <v>2807</v>
      </c>
      <c r="K12" s="15">
        <f>L12+1627+2645</f>
        <v>7079</v>
      </c>
      <c r="L12" s="15">
        <v>2807</v>
      </c>
      <c r="M12" s="16">
        <f t="shared" si="0"/>
        <v>2807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/>
      <c r="T12" s="17"/>
      <c r="U12" s="17"/>
      <c r="V12" s="18">
        <v>13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9">
        <f t="shared" si="7"/>
        <v>0.10277777777777779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227</v>
      </c>
      <c r="F13" s="12" t="s">
        <v>128</v>
      </c>
      <c r="G13" s="12">
        <v>1</v>
      </c>
      <c r="H13" s="13">
        <v>25</v>
      </c>
      <c r="I13" s="7">
        <v>9000</v>
      </c>
      <c r="J13" s="14">
        <v>2138</v>
      </c>
      <c r="K13" s="15">
        <f>L13+2314</f>
        <v>4452</v>
      </c>
      <c r="L13" s="15">
        <v>2138</v>
      </c>
      <c r="M13" s="16">
        <f t="shared" si="0"/>
        <v>2138</v>
      </c>
      <c r="N13" s="16">
        <v>0</v>
      </c>
      <c r="O13" s="62">
        <f t="shared" si="1"/>
        <v>0</v>
      </c>
      <c r="P13" s="42">
        <f t="shared" si="2"/>
        <v>11</v>
      </c>
      <c r="Q13" s="43">
        <f t="shared" si="3"/>
        <v>13</v>
      </c>
      <c r="R13" s="7"/>
      <c r="S13" s="6"/>
      <c r="T13" s="17"/>
      <c r="U13" s="17"/>
      <c r="V13" s="18">
        <v>13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0.45833333333333331</v>
      </c>
      <c r="AD13" s="10">
        <f t="shared" si="6"/>
        <v>0.45833333333333331</v>
      </c>
      <c r="AE13" s="39">
        <f t="shared" si="7"/>
        <v>0.10277777777777779</v>
      </c>
      <c r="AF13" s="93">
        <f t="shared" si="8"/>
        <v>8</v>
      </c>
    </row>
    <row r="14" spans="1:32" ht="27" customHeight="1">
      <c r="A14" s="108">
        <v>9</v>
      </c>
      <c r="B14" s="11" t="s">
        <v>57</v>
      </c>
      <c r="C14" s="37" t="s">
        <v>118</v>
      </c>
      <c r="D14" s="55" t="s">
        <v>152</v>
      </c>
      <c r="E14" s="57" t="s">
        <v>158</v>
      </c>
      <c r="F14" s="33" t="s">
        <v>155</v>
      </c>
      <c r="G14" s="36">
        <v>1</v>
      </c>
      <c r="H14" s="38">
        <v>25</v>
      </c>
      <c r="I14" s="7">
        <f>20000</f>
        <v>20000</v>
      </c>
      <c r="J14" s="5">
        <v>908</v>
      </c>
      <c r="K14" s="15">
        <f>L14+4376+5256+5008+5115+908</f>
        <v>20663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0.10277777777777779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0.10277777777777779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236</v>
      </c>
      <c r="E16" s="57" t="s">
        <v>228</v>
      </c>
      <c r="F16" s="33" t="s">
        <v>184</v>
      </c>
      <c r="G16" s="36" t="s">
        <v>137</v>
      </c>
      <c r="H16" s="38">
        <v>24</v>
      </c>
      <c r="I16" s="7">
        <v>2000</v>
      </c>
      <c r="J16" s="5">
        <v>920</v>
      </c>
      <c r="K16" s="15">
        <f>L16+1120+920</f>
        <v>2040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0.10277777777777779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118</v>
      </c>
      <c r="D17" s="55" t="s">
        <v>152</v>
      </c>
      <c r="E17" s="57" t="s">
        <v>264</v>
      </c>
      <c r="F17" s="12">
        <v>8301</v>
      </c>
      <c r="G17" s="12">
        <v>1</v>
      </c>
      <c r="H17" s="13">
        <v>24</v>
      </c>
      <c r="I17" s="34">
        <v>250</v>
      </c>
      <c r="J17" s="14">
        <v>386</v>
      </c>
      <c r="K17" s="15">
        <f>L17+386</f>
        <v>386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0.10277777777777779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118</v>
      </c>
      <c r="D18" s="55" t="s">
        <v>117</v>
      </c>
      <c r="E18" s="57">
        <v>3151001</v>
      </c>
      <c r="F18" s="12" t="s">
        <v>273</v>
      </c>
      <c r="G18" s="36">
        <v>1</v>
      </c>
      <c r="H18" s="38">
        <v>24</v>
      </c>
      <c r="I18" s="7">
        <v>300</v>
      </c>
      <c r="J18" s="5">
        <v>302</v>
      </c>
      <c r="K18" s="15">
        <f>L18</f>
        <v>302</v>
      </c>
      <c r="L18" s="15">
        <v>302</v>
      </c>
      <c r="M18" s="16">
        <f t="shared" si="0"/>
        <v>302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>
        <v>7</v>
      </c>
      <c r="T18" s="17"/>
      <c r="U18" s="17"/>
      <c r="V18" s="18"/>
      <c r="W18" s="19">
        <v>13</v>
      </c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7"/>
        <v>0.10277777777777779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238</v>
      </c>
      <c r="E19" s="57" t="s">
        <v>239</v>
      </c>
      <c r="F19" s="12" t="s">
        <v>182</v>
      </c>
      <c r="G19" s="36">
        <v>1</v>
      </c>
      <c r="H19" s="13">
        <v>24</v>
      </c>
      <c r="I19" s="7">
        <v>2000</v>
      </c>
      <c r="J19" s="14">
        <v>1656</v>
      </c>
      <c r="K19" s="15">
        <f>L19+1978+1656</f>
        <v>3634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0.10277777777777779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2476</v>
      </c>
      <c r="K20" s="15">
        <f>L20+21192+22576+21736+23624+23264+21924+2476</f>
        <v>136792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0.10277777777777779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368350</v>
      </c>
      <c r="J21" s="22">
        <f t="shared" si="9"/>
        <v>25983</v>
      </c>
      <c r="K21" s="23">
        <f t="shared" si="9"/>
        <v>207341</v>
      </c>
      <c r="L21" s="24">
        <f t="shared" si="9"/>
        <v>11061</v>
      </c>
      <c r="M21" s="23">
        <f t="shared" si="9"/>
        <v>11061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37</v>
      </c>
      <c r="Q21" s="46">
        <f t="shared" si="10"/>
        <v>323</v>
      </c>
      <c r="R21" s="26">
        <f t="shared" si="10"/>
        <v>24</v>
      </c>
      <c r="S21" s="27">
        <f t="shared" si="10"/>
        <v>31</v>
      </c>
      <c r="T21" s="27">
        <f t="shared" si="10"/>
        <v>0</v>
      </c>
      <c r="U21" s="27">
        <f t="shared" si="10"/>
        <v>0</v>
      </c>
      <c r="V21" s="28">
        <f t="shared" si="10"/>
        <v>39</v>
      </c>
      <c r="W21" s="29">
        <f t="shared" si="10"/>
        <v>229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0.26666666666666666</v>
      </c>
      <c r="AC21" s="4">
        <f>SUM(AC6:AC20)/15</f>
        <v>0.10277777777777779</v>
      </c>
      <c r="AD21" s="4">
        <f>SUM(AD6:AD20)/15</f>
        <v>0.10277777777777779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274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275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201" t="s">
        <v>46</v>
      </c>
      <c r="D50" s="201" t="s">
        <v>47</v>
      </c>
      <c r="E50" s="201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201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198" t="s">
        <v>208</v>
      </c>
      <c r="D51" s="198" t="s">
        <v>117</v>
      </c>
      <c r="E51" s="198" t="s">
        <v>268</v>
      </c>
      <c r="F51" s="483" t="s">
        <v>119</v>
      </c>
      <c r="G51" s="484"/>
      <c r="H51" s="484"/>
      <c r="I51" s="484"/>
      <c r="J51" s="484"/>
      <c r="K51" s="484"/>
      <c r="L51" s="484"/>
      <c r="M51" s="485"/>
      <c r="N51" s="197" t="s">
        <v>126</v>
      </c>
      <c r="O51" s="124" t="s">
        <v>139</v>
      </c>
      <c r="P51" s="439" t="s">
        <v>117</v>
      </c>
      <c r="Q51" s="440"/>
      <c r="R51" s="441" t="s">
        <v>231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/>
      <c r="B52" s="431"/>
      <c r="C52" s="198"/>
      <c r="D52" s="198"/>
      <c r="E52" s="198"/>
      <c r="F52" s="422"/>
      <c r="G52" s="422"/>
      <c r="H52" s="422"/>
      <c r="I52" s="422"/>
      <c r="J52" s="422"/>
      <c r="K52" s="422"/>
      <c r="L52" s="422"/>
      <c r="M52" s="432"/>
      <c r="N52" s="197" t="s">
        <v>126</v>
      </c>
      <c r="O52" s="124" t="s">
        <v>123</v>
      </c>
      <c r="P52" s="439" t="s">
        <v>120</v>
      </c>
      <c r="Q52" s="440"/>
      <c r="R52" s="431" t="s">
        <v>276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/>
      <c r="B53" s="431"/>
      <c r="C53" s="198"/>
      <c r="D53" s="198"/>
      <c r="E53" s="198"/>
      <c r="F53" s="422"/>
      <c r="G53" s="422"/>
      <c r="H53" s="422"/>
      <c r="I53" s="422"/>
      <c r="J53" s="422"/>
      <c r="K53" s="422"/>
      <c r="L53" s="422"/>
      <c r="M53" s="432"/>
      <c r="N53" s="197" t="s">
        <v>126</v>
      </c>
      <c r="O53" s="124" t="s">
        <v>174</v>
      </c>
      <c r="P53" s="439" t="s">
        <v>117</v>
      </c>
      <c r="Q53" s="440"/>
      <c r="R53" s="431" t="s">
        <v>277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/>
      <c r="B54" s="431"/>
      <c r="C54" s="198"/>
      <c r="D54" s="198"/>
      <c r="E54" s="198"/>
      <c r="F54" s="422"/>
      <c r="G54" s="422"/>
      <c r="H54" s="422"/>
      <c r="I54" s="422"/>
      <c r="J54" s="422"/>
      <c r="K54" s="422"/>
      <c r="L54" s="422"/>
      <c r="M54" s="432"/>
      <c r="N54" s="197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198"/>
      <c r="D55" s="198"/>
      <c r="E55" s="198"/>
      <c r="F55" s="422"/>
      <c r="G55" s="422"/>
      <c r="H55" s="422"/>
      <c r="I55" s="422"/>
      <c r="J55" s="422"/>
      <c r="K55" s="422"/>
      <c r="L55" s="422"/>
      <c r="M55" s="432"/>
      <c r="N55" s="197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198"/>
      <c r="D56" s="198"/>
      <c r="E56" s="198"/>
      <c r="F56" s="422"/>
      <c r="G56" s="422"/>
      <c r="H56" s="422"/>
      <c r="I56" s="422"/>
      <c r="J56" s="422"/>
      <c r="K56" s="422"/>
      <c r="L56" s="422"/>
      <c r="M56" s="432"/>
      <c r="N56" s="197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198"/>
      <c r="D57" s="198"/>
      <c r="E57" s="198"/>
      <c r="F57" s="422"/>
      <c r="G57" s="422"/>
      <c r="H57" s="422"/>
      <c r="I57" s="422"/>
      <c r="J57" s="422"/>
      <c r="K57" s="422"/>
      <c r="L57" s="422"/>
      <c r="M57" s="432"/>
      <c r="N57" s="197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198"/>
      <c r="D58" s="198"/>
      <c r="E58" s="198"/>
      <c r="F58" s="422"/>
      <c r="G58" s="422"/>
      <c r="H58" s="422"/>
      <c r="I58" s="422"/>
      <c r="J58" s="422"/>
      <c r="K58" s="422"/>
      <c r="L58" s="422"/>
      <c r="M58" s="432"/>
      <c r="N58" s="197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198"/>
      <c r="D59" s="198"/>
      <c r="E59" s="198"/>
      <c r="F59" s="422"/>
      <c r="G59" s="422"/>
      <c r="H59" s="422"/>
      <c r="I59" s="422"/>
      <c r="J59" s="422"/>
      <c r="K59" s="422"/>
      <c r="L59" s="422"/>
      <c r="M59" s="432"/>
      <c r="N59" s="197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200"/>
      <c r="D60" s="200"/>
      <c r="E60" s="200"/>
      <c r="F60" s="435"/>
      <c r="G60" s="435"/>
      <c r="H60" s="435"/>
      <c r="I60" s="435"/>
      <c r="J60" s="435"/>
      <c r="K60" s="435"/>
      <c r="L60" s="435"/>
      <c r="M60" s="436"/>
      <c r="N60" s="199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278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196" t="s">
        <v>2</v>
      </c>
      <c r="D62" s="196" t="s">
        <v>37</v>
      </c>
      <c r="E62" s="196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196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247</v>
      </c>
      <c r="D63" s="192"/>
      <c r="E63" s="195" t="s">
        <v>117</v>
      </c>
      <c r="F63" s="420" t="s">
        <v>257</v>
      </c>
      <c r="G63" s="412"/>
      <c r="H63" s="412"/>
      <c r="I63" s="412"/>
      <c r="J63" s="412"/>
      <c r="K63" s="412" t="s">
        <v>258</v>
      </c>
      <c r="L63" s="412"/>
      <c r="M63" s="54" t="s">
        <v>192</v>
      </c>
      <c r="N63" s="412">
        <v>14</v>
      </c>
      <c r="O63" s="412"/>
      <c r="P63" s="421">
        <v>50</v>
      </c>
      <c r="Q63" s="421"/>
      <c r="R63" s="422" t="s">
        <v>279</v>
      </c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192"/>
      <c r="E64" s="195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192"/>
      <c r="E65" s="195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192"/>
      <c r="E66" s="195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192"/>
      <c r="E67" s="195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192"/>
      <c r="E68" s="195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192"/>
      <c r="E69" s="195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192"/>
      <c r="E70" s="195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280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194" t="s">
        <v>2</v>
      </c>
      <c r="D72" s="194" t="s">
        <v>37</v>
      </c>
      <c r="E72" s="194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193" t="s">
        <v>114</v>
      </c>
      <c r="D73" s="193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192"/>
      <c r="D74" s="192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192"/>
      <c r="D75" s="192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192"/>
      <c r="D76" s="192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192"/>
      <c r="D77" s="192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192"/>
      <c r="D78" s="192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192"/>
      <c r="D79" s="192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192"/>
      <c r="D80" s="192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192"/>
      <c r="D81" s="192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281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EF10-8241-42D4-87CE-FD1CFE32D809}">
  <sheetPr>
    <pageSetUpPr fitToPage="1"/>
  </sheetPr>
  <dimension ref="A1:AF87"/>
  <sheetViews>
    <sheetView zoomScale="72" zoomScaleNormal="72" zoomScaleSheetLayoutView="70" workbookViewId="0">
      <selection activeCell="L28" sqref="L2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282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03" t="s">
        <v>17</v>
      </c>
      <c r="L5" s="203" t="s">
        <v>18</v>
      </c>
      <c r="M5" s="203" t="s">
        <v>19</v>
      </c>
      <c r="N5" s="20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0.21109523809523809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0.21109523809523809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260</v>
      </c>
      <c r="D8" s="55" t="s">
        <v>261</v>
      </c>
      <c r="E8" s="57" t="s">
        <v>262</v>
      </c>
      <c r="F8" s="33" t="s">
        <v>263</v>
      </c>
      <c r="G8" s="36">
        <v>3</v>
      </c>
      <c r="H8" s="38">
        <v>25</v>
      </c>
      <c r="I8" s="7">
        <v>20000</v>
      </c>
      <c r="J8" s="5">
        <v>6177</v>
      </c>
      <c r="K8" s="15">
        <f>L8+5871+5814</f>
        <v>17862</v>
      </c>
      <c r="L8" s="15">
        <f>2059*3</f>
        <v>6177</v>
      </c>
      <c r="M8" s="16">
        <f t="shared" si="0"/>
        <v>6177</v>
      </c>
      <c r="N8" s="16">
        <v>0</v>
      </c>
      <c r="O8" s="62">
        <f t="shared" si="1"/>
        <v>0</v>
      </c>
      <c r="P8" s="42">
        <f t="shared" si="2"/>
        <v>12</v>
      </c>
      <c r="Q8" s="43">
        <f t="shared" si="3"/>
        <v>12</v>
      </c>
      <c r="R8" s="7"/>
      <c r="S8" s="6"/>
      <c r="T8" s="17"/>
      <c r="U8" s="17"/>
      <c r="V8" s="18">
        <v>12</v>
      </c>
      <c r="W8" s="19"/>
      <c r="X8" s="17"/>
      <c r="Y8" s="20"/>
      <c r="Z8" s="20"/>
      <c r="AA8" s="21"/>
      <c r="AB8" s="8">
        <f t="shared" si="4"/>
        <v>1</v>
      </c>
      <c r="AC8" s="9">
        <f t="shared" si="5"/>
        <v>0.5</v>
      </c>
      <c r="AD8" s="10">
        <f t="shared" si="6"/>
        <v>0.5</v>
      </c>
      <c r="AE8" s="39">
        <f t="shared" si="7"/>
        <v>0.21109523809523809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126</v>
      </c>
      <c r="D9" s="55" t="s">
        <v>117</v>
      </c>
      <c r="E9" s="57" t="s">
        <v>283</v>
      </c>
      <c r="F9" s="33" t="s">
        <v>122</v>
      </c>
      <c r="G9" s="36">
        <v>1</v>
      </c>
      <c r="H9" s="38">
        <v>25</v>
      </c>
      <c r="I9" s="7">
        <v>1000</v>
      </c>
      <c r="J9" s="5">
        <v>1121</v>
      </c>
      <c r="K9" s="15">
        <f>L9</f>
        <v>1121</v>
      </c>
      <c r="L9" s="15">
        <v>1121</v>
      </c>
      <c r="M9" s="16">
        <f t="shared" si="0"/>
        <v>1121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9">
        <f t="shared" si="7"/>
        <v>0.21109523809523809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37" t="s">
        <v>118</v>
      </c>
      <c r="D10" s="55" t="s">
        <v>121</v>
      </c>
      <c r="E10" s="57" t="s">
        <v>285</v>
      </c>
      <c r="F10" s="33" t="s">
        <v>181</v>
      </c>
      <c r="G10" s="36">
        <v>1</v>
      </c>
      <c r="H10" s="38">
        <v>25</v>
      </c>
      <c r="I10" s="7">
        <v>500</v>
      </c>
      <c r="J10" s="5">
        <v>860</v>
      </c>
      <c r="K10" s="15">
        <f>L10</f>
        <v>860</v>
      </c>
      <c r="L10" s="15">
        <v>860</v>
      </c>
      <c r="M10" s="16">
        <f t="shared" ref="M10" si="9">L10-N10</f>
        <v>860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4</v>
      </c>
      <c r="Q10" s="43">
        <f t="shared" ref="Q10" si="12">SUM(R10:AA10)</f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0.16666666666666666</v>
      </c>
      <c r="AD10" s="10">
        <f t="shared" ref="AD10" si="15">AC10*AB10*(1-O10)</f>
        <v>0.16666666666666666</v>
      </c>
      <c r="AE10" s="39">
        <f t="shared" si="7"/>
        <v>0.21109523809523809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126</v>
      </c>
      <c r="D11" s="55" t="s">
        <v>120</v>
      </c>
      <c r="E11" s="57" t="s">
        <v>276</v>
      </c>
      <c r="F11" s="12" t="s">
        <v>284</v>
      </c>
      <c r="G11" s="12">
        <v>2</v>
      </c>
      <c r="H11" s="13">
        <v>25</v>
      </c>
      <c r="I11" s="7">
        <v>10000</v>
      </c>
      <c r="J11" s="14">
        <v>5214</v>
      </c>
      <c r="K11" s="15">
        <f>L11</f>
        <v>5214</v>
      </c>
      <c r="L11" s="15">
        <f>2607*2</f>
        <v>5214</v>
      </c>
      <c r="M11" s="16">
        <f t="shared" si="0"/>
        <v>5214</v>
      </c>
      <c r="N11" s="16">
        <v>0</v>
      </c>
      <c r="O11" s="62">
        <f t="shared" si="1"/>
        <v>0</v>
      </c>
      <c r="P11" s="42">
        <f t="shared" si="2"/>
        <v>12</v>
      </c>
      <c r="Q11" s="43">
        <f t="shared" si="3"/>
        <v>12</v>
      </c>
      <c r="R11" s="7"/>
      <c r="S11" s="6"/>
      <c r="T11" s="17"/>
      <c r="U11" s="17"/>
      <c r="V11" s="18">
        <v>12</v>
      </c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9">
        <f t="shared" si="7"/>
        <v>0.21109523809523809</v>
      </c>
      <c r="AF11" s="93">
        <f t="shared" si="8"/>
        <v>5</v>
      </c>
    </row>
    <row r="12" spans="1:32" ht="27" customHeight="1">
      <c r="A12" s="109">
        <v>6</v>
      </c>
      <c r="B12" s="11" t="s">
        <v>57</v>
      </c>
      <c r="C12" s="37" t="s">
        <v>114</v>
      </c>
      <c r="D12" s="55" t="s">
        <v>197</v>
      </c>
      <c r="E12" s="57" t="s">
        <v>198</v>
      </c>
      <c r="F12" s="12">
        <v>8301</v>
      </c>
      <c r="G12" s="12">
        <v>1</v>
      </c>
      <c r="H12" s="13">
        <v>25</v>
      </c>
      <c r="I12" s="34">
        <v>500</v>
      </c>
      <c r="J12" s="5">
        <v>3037</v>
      </c>
      <c r="K12" s="15">
        <f>L12+3037</f>
        <v>3037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0.21109523809523809</v>
      </c>
      <c r="AF12" s="93">
        <f t="shared" si="8"/>
        <v>6</v>
      </c>
    </row>
    <row r="13" spans="1:32" ht="27" customHeight="1">
      <c r="A13" s="109">
        <v>7</v>
      </c>
      <c r="B13" s="11" t="s">
        <v>57</v>
      </c>
      <c r="C13" s="11" t="s">
        <v>118</v>
      </c>
      <c r="D13" s="55" t="s">
        <v>120</v>
      </c>
      <c r="E13" s="57" t="s">
        <v>218</v>
      </c>
      <c r="F13" s="12" t="s">
        <v>182</v>
      </c>
      <c r="G13" s="12">
        <v>1</v>
      </c>
      <c r="H13" s="13">
        <v>25</v>
      </c>
      <c r="I13" s="7">
        <v>9000</v>
      </c>
      <c r="J13" s="14">
        <v>3094</v>
      </c>
      <c r="K13" s="15">
        <f>L13+1627+2645+2807</f>
        <v>10173</v>
      </c>
      <c r="L13" s="15">
        <f>3094</f>
        <v>3094</v>
      </c>
      <c r="M13" s="16">
        <f t="shared" si="0"/>
        <v>3094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>
        <v>12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9">
        <f t="shared" si="7"/>
        <v>0.21109523809523809</v>
      </c>
      <c r="AF13" s="93">
        <f t="shared" si="8"/>
        <v>7</v>
      </c>
    </row>
    <row r="14" spans="1:32" ht="27" customHeight="1">
      <c r="A14" s="109">
        <v>8</v>
      </c>
      <c r="B14" s="11" t="s">
        <v>57</v>
      </c>
      <c r="C14" s="11" t="s">
        <v>118</v>
      </c>
      <c r="D14" s="55" t="s">
        <v>117</v>
      </c>
      <c r="E14" s="57" t="s">
        <v>227</v>
      </c>
      <c r="F14" s="12" t="s">
        <v>128</v>
      </c>
      <c r="G14" s="12">
        <v>1</v>
      </c>
      <c r="H14" s="13">
        <v>25</v>
      </c>
      <c r="I14" s="7">
        <v>9000</v>
      </c>
      <c r="J14" s="14">
        <v>2532</v>
      </c>
      <c r="K14" s="15">
        <f>L14+2314+2138</f>
        <v>6984</v>
      </c>
      <c r="L14" s="15">
        <v>2532</v>
      </c>
      <c r="M14" s="16">
        <f t="shared" si="0"/>
        <v>2532</v>
      </c>
      <c r="N14" s="16">
        <v>0</v>
      </c>
      <c r="O14" s="62">
        <f t="shared" si="1"/>
        <v>0</v>
      </c>
      <c r="P14" s="42">
        <f t="shared" si="2"/>
        <v>12</v>
      </c>
      <c r="Q14" s="43">
        <f t="shared" si="3"/>
        <v>12</v>
      </c>
      <c r="R14" s="7"/>
      <c r="S14" s="6"/>
      <c r="T14" s="17"/>
      <c r="U14" s="17"/>
      <c r="V14" s="18">
        <v>12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9">
        <f t="shared" si="7"/>
        <v>0.21109523809523809</v>
      </c>
      <c r="AF14" s="93">
        <f t="shared" si="8"/>
        <v>8</v>
      </c>
    </row>
    <row r="15" spans="1:32" ht="27" customHeight="1">
      <c r="A15" s="227">
        <v>9</v>
      </c>
      <c r="B15" s="11" t="s">
        <v>57</v>
      </c>
      <c r="C15" s="37" t="s">
        <v>118</v>
      </c>
      <c r="D15" s="55" t="s">
        <v>152</v>
      </c>
      <c r="E15" s="57" t="s">
        <v>187</v>
      </c>
      <c r="F15" s="33" t="s">
        <v>155</v>
      </c>
      <c r="G15" s="36">
        <v>1</v>
      </c>
      <c r="H15" s="38">
        <v>25</v>
      </c>
      <c r="I15" s="7">
        <v>1200</v>
      </c>
      <c r="J15" s="5">
        <v>908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0.21109523809523809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150</v>
      </c>
      <c r="D16" s="55" t="s">
        <v>121</v>
      </c>
      <c r="E16" s="57" t="s">
        <v>163</v>
      </c>
      <c r="F16" s="12">
        <v>8301</v>
      </c>
      <c r="G16" s="12" t="s">
        <v>137</v>
      </c>
      <c r="H16" s="13">
        <v>24</v>
      </c>
      <c r="I16" s="34">
        <v>2000</v>
      </c>
      <c r="J16" s="14">
        <v>2505</v>
      </c>
      <c r="K16" s="15">
        <f>L16+2150+2505</f>
        <v>4655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0.21109523809523809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126</v>
      </c>
      <c r="D17" s="55" t="s">
        <v>236</v>
      </c>
      <c r="E17" s="57" t="s">
        <v>228</v>
      </c>
      <c r="F17" s="33" t="s">
        <v>184</v>
      </c>
      <c r="G17" s="36" t="s">
        <v>137</v>
      </c>
      <c r="H17" s="38">
        <v>24</v>
      </c>
      <c r="I17" s="7">
        <v>2000</v>
      </c>
      <c r="J17" s="5">
        <v>920</v>
      </c>
      <c r="K17" s="15">
        <f>L17+1120+920</f>
        <v>2040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0.21109523809523809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118</v>
      </c>
      <c r="D18" s="55" t="s">
        <v>152</v>
      </c>
      <c r="E18" s="57" t="s">
        <v>264</v>
      </c>
      <c r="F18" s="12">
        <v>8301</v>
      </c>
      <c r="G18" s="12">
        <v>1</v>
      </c>
      <c r="H18" s="13">
        <v>24</v>
      </c>
      <c r="I18" s="34">
        <v>250</v>
      </c>
      <c r="J18" s="14">
        <v>386</v>
      </c>
      <c r="K18" s="15">
        <f>L18+386</f>
        <v>386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0.21109523809523809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118</v>
      </c>
      <c r="D19" s="55" t="s">
        <v>133</v>
      </c>
      <c r="E19" s="57" t="s">
        <v>286</v>
      </c>
      <c r="F19" s="12" t="s">
        <v>129</v>
      </c>
      <c r="G19" s="36">
        <v>1</v>
      </c>
      <c r="H19" s="38">
        <v>24</v>
      </c>
      <c r="I19" s="7">
        <v>500</v>
      </c>
      <c r="J19" s="5">
        <v>700</v>
      </c>
      <c r="K19" s="15">
        <f>L19</f>
        <v>699</v>
      </c>
      <c r="L19" s="15">
        <v>699</v>
      </c>
      <c r="M19" s="16">
        <f t="shared" si="0"/>
        <v>699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/>
      <c r="T19" s="17"/>
      <c r="U19" s="17"/>
      <c r="V19" s="18"/>
      <c r="W19" s="19">
        <v>20</v>
      </c>
      <c r="X19" s="17"/>
      <c r="Y19" s="20"/>
      <c r="Z19" s="20"/>
      <c r="AA19" s="21"/>
      <c r="AB19" s="8">
        <f t="shared" si="4"/>
        <v>0.99857142857142855</v>
      </c>
      <c r="AC19" s="9">
        <f t="shared" si="5"/>
        <v>0.16666666666666666</v>
      </c>
      <c r="AD19" s="10">
        <f t="shared" si="6"/>
        <v>0.16642857142857143</v>
      </c>
      <c r="AE19" s="39">
        <f t="shared" si="7"/>
        <v>0.21109523809523809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126</v>
      </c>
      <c r="D20" s="55" t="s">
        <v>117</v>
      </c>
      <c r="E20" s="57" t="s">
        <v>277</v>
      </c>
      <c r="F20" s="12" t="s">
        <v>284</v>
      </c>
      <c r="G20" s="36">
        <v>2</v>
      </c>
      <c r="H20" s="13">
        <v>24</v>
      </c>
      <c r="I20" s="7">
        <v>10000</v>
      </c>
      <c r="J20" s="14">
        <v>4596</v>
      </c>
      <c r="K20" s="15">
        <f>L20</f>
        <v>4596</v>
      </c>
      <c r="L20" s="15">
        <f>2298*2</f>
        <v>4596</v>
      </c>
      <c r="M20" s="16">
        <f t="shared" si="0"/>
        <v>4596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>
        <v>12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0.21109523809523809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132</v>
      </c>
      <c r="F21" s="12" t="s">
        <v>116</v>
      </c>
      <c r="G21" s="12">
        <v>4</v>
      </c>
      <c r="H21" s="38">
        <v>20</v>
      </c>
      <c r="I21" s="7">
        <v>300000</v>
      </c>
      <c r="J21" s="14">
        <v>2476</v>
      </c>
      <c r="K21" s="15">
        <f>L21+21192+22576+21736+23624+23264+21924+2476</f>
        <v>136792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0.21109523809523809</v>
      </c>
      <c r="AF21" s="93">
        <f t="shared" si="8"/>
        <v>15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5">
        <f t="shared" ref="I22:N22" si="17">SUM(I6:I21)</f>
        <v>365950</v>
      </c>
      <c r="J22" s="22">
        <f t="shared" si="17"/>
        <v>34526</v>
      </c>
      <c r="K22" s="23">
        <f t="shared" si="17"/>
        <v>194419</v>
      </c>
      <c r="L22" s="24">
        <f t="shared" si="17"/>
        <v>24293</v>
      </c>
      <c r="M22" s="23">
        <f t="shared" si="17"/>
        <v>24293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76</v>
      </c>
      <c r="Q22" s="46">
        <f t="shared" si="18"/>
        <v>308</v>
      </c>
      <c r="R22" s="26">
        <f t="shared" si="18"/>
        <v>24</v>
      </c>
      <c r="S22" s="27">
        <f t="shared" si="18"/>
        <v>24</v>
      </c>
      <c r="T22" s="27">
        <f t="shared" si="18"/>
        <v>0</v>
      </c>
      <c r="U22" s="27">
        <f t="shared" si="18"/>
        <v>0</v>
      </c>
      <c r="V22" s="28">
        <f t="shared" si="18"/>
        <v>60</v>
      </c>
      <c r="W22" s="29">
        <f t="shared" si="18"/>
        <v>200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0.53323809523809518</v>
      </c>
      <c r="AC22" s="4">
        <f>SUM(AC6:AC21)/15</f>
        <v>0.21111111111111111</v>
      </c>
      <c r="AD22" s="4">
        <f>SUM(AD6:AD21)/15</f>
        <v>0.21109523809523809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47" t="s">
        <v>45</v>
      </c>
      <c r="B49" s="447"/>
      <c r="C49" s="447"/>
      <c r="D49" s="447"/>
      <c r="E49" s="447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48" t="s">
        <v>287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299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204" t="s">
        <v>46</v>
      </c>
      <c r="D51" s="204" t="s">
        <v>47</v>
      </c>
      <c r="E51" s="204" t="s">
        <v>108</v>
      </c>
      <c r="F51" s="455" t="s">
        <v>107</v>
      </c>
      <c r="G51" s="455"/>
      <c r="H51" s="455"/>
      <c r="I51" s="455"/>
      <c r="J51" s="455"/>
      <c r="K51" s="455"/>
      <c r="L51" s="455"/>
      <c r="M51" s="456"/>
      <c r="N51" s="73" t="s">
        <v>112</v>
      </c>
      <c r="O51" s="204" t="s">
        <v>46</v>
      </c>
      <c r="P51" s="457" t="s">
        <v>47</v>
      </c>
      <c r="Q51" s="458"/>
      <c r="R51" s="457" t="s">
        <v>38</v>
      </c>
      <c r="S51" s="459"/>
      <c r="T51" s="459"/>
      <c r="U51" s="458"/>
      <c r="V51" s="457" t="s">
        <v>48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30" t="s">
        <v>126</v>
      </c>
      <c r="B52" s="431"/>
      <c r="C52" s="206" t="s">
        <v>139</v>
      </c>
      <c r="D52" s="206" t="s">
        <v>117</v>
      </c>
      <c r="E52" s="206" t="s">
        <v>283</v>
      </c>
      <c r="F52" s="483" t="s">
        <v>119</v>
      </c>
      <c r="G52" s="484"/>
      <c r="H52" s="484"/>
      <c r="I52" s="484"/>
      <c r="J52" s="484"/>
      <c r="K52" s="484"/>
      <c r="L52" s="484"/>
      <c r="M52" s="485"/>
      <c r="N52" s="205" t="s">
        <v>118</v>
      </c>
      <c r="O52" s="124" t="s">
        <v>139</v>
      </c>
      <c r="P52" s="439" t="s">
        <v>117</v>
      </c>
      <c r="Q52" s="440"/>
      <c r="R52" s="441" t="s">
        <v>300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288</v>
      </c>
      <c r="B53" s="431"/>
      <c r="C53" s="206" t="s">
        <v>289</v>
      </c>
      <c r="D53" s="206" t="s">
        <v>290</v>
      </c>
      <c r="E53" s="206" t="s">
        <v>291</v>
      </c>
      <c r="F53" s="483" t="s">
        <v>119</v>
      </c>
      <c r="G53" s="484"/>
      <c r="H53" s="484"/>
      <c r="I53" s="484"/>
      <c r="J53" s="484"/>
      <c r="K53" s="484"/>
      <c r="L53" s="484"/>
      <c r="M53" s="485"/>
      <c r="N53" s="205" t="s">
        <v>118</v>
      </c>
      <c r="O53" s="124" t="s">
        <v>301</v>
      </c>
      <c r="P53" s="439" t="s">
        <v>152</v>
      </c>
      <c r="Q53" s="440"/>
      <c r="R53" s="431" t="s">
        <v>187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206" t="s">
        <v>292</v>
      </c>
      <c r="D54" s="206" t="s">
        <v>293</v>
      </c>
      <c r="E54" s="206" t="s">
        <v>294</v>
      </c>
      <c r="F54" s="483" t="s">
        <v>119</v>
      </c>
      <c r="G54" s="484"/>
      <c r="H54" s="484"/>
      <c r="I54" s="484"/>
      <c r="J54" s="484"/>
      <c r="K54" s="484"/>
      <c r="L54" s="484"/>
      <c r="M54" s="485"/>
      <c r="N54" s="205" t="s">
        <v>114</v>
      </c>
      <c r="O54" s="124" t="s">
        <v>174</v>
      </c>
      <c r="P54" s="439" t="s">
        <v>117</v>
      </c>
      <c r="Q54" s="440"/>
      <c r="R54" s="431" t="s">
        <v>302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288</v>
      </c>
      <c r="B55" s="431"/>
      <c r="C55" s="206" t="s">
        <v>295</v>
      </c>
      <c r="D55" s="206" t="s">
        <v>296</v>
      </c>
      <c r="E55" s="206" t="s">
        <v>286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205"/>
      <c r="O55" s="124"/>
      <c r="P55" s="439"/>
      <c r="Q55" s="440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 t="s">
        <v>126</v>
      </c>
      <c r="B56" s="431"/>
      <c r="C56" s="206" t="s">
        <v>297</v>
      </c>
      <c r="D56" s="206" t="s">
        <v>117</v>
      </c>
      <c r="E56" s="206" t="s">
        <v>298</v>
      </c>
      <c r="F56" s="483" t="s">
        <v>119</v>
      </c>
      <c r="G56" s="484"/>
      <c r="H56" s="484"/>
      <c r="I56" s="484"/>
      <c r="J56" s="484"/>
      <c r="K56" s="484"/>
      <c r="L56" s="484"/>
      <c r="M56" s="485"/>
      <c r="N56" s="205"/>
      <c r="O56" s="124"/>
      <c r="P56" s="431"/>
      <c r="Q56" s="431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06"/>
      <c r="D57" s="206"/>
      <c r="E57" s="206"/>
      <c r="F57" s="422"/>
      <c r="G57" s="422"/>
      <c r="H57" s="422"/>
      <c r="I57" s="422"/>
      <c r="J57" s="422"/>
      <c r="K57" s="422"/>
      <c r="L57" s="422"/>
      <c r="M57" s="432"/>
      <c r="N57" s="205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06"/>
      <c r="D58" s="206"/>
      <c r="E58" s="206"/>
      <c r="F58" s="422"/>
      <c r="G58" s="422"/>
      <c r="H58" s="422"/>
      <c r="I58" s="422"/>
      <c r="J58" s="422"/>
      <c r="K58" s="422"/>
      <c r="L58" s="422"/>
      <c r="M58" s="432"/>
      <c r="N58" s="205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06"/>
      <c r="D59" s="206"/>
      <c r="E59" s="206"/>
      <c r="F59" s="422"/>
      <c r="G59" s="422"/>
      <c r="H59" s="422"/>
      <c r="I59" s="422"/>
      <c r="J59" s="422"/>
      <c r="K59" s="422"/>
      <c r="L59" s="422"/>
      <c r="M59" s="432"/>
      <c r="N59" s="205"/>
      <c r="O59" s="124"/>
      <c r="P59" s="439"/>
      <c r="Q59" s="440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</row>
    <row r="60" spans="1:32" ht="27" customHeight="1">
      <c r="A60" s="430"/>
      <c r="B60" s="431"/>
      <c r="C60" s="206"/>
      <c r="D60" s="206"/>
      <c r="E60" s="206"/>
      <c r="F60" s="422"/>
      <c r="G60" s="422"/>
      <c r="H60" s="422"/>
      <c r="I60" s="422"/>
      <c r="J60" s="422"/>
      <c r="K60" s="422"/>
      <c r="L60" s="422"/>
      <c r="M60" s="432"/>
      <c r="N60" s="205"/>
      <c r="O60" s="124"/>
      <c r="P60" s="431"/>
      <c r="Q60" s="431"/>
      <c r="R60" s="431"/>
      <c r="S60" s="431"/>
      <c r="T60" s="431"/>
      <c r="U60" s="431"/>
      <c r="V60" s="422"/>
      <c r="W60" s="422"/>
      <c r="X60" s="422"/>
      <c r="Y60" s="422"/>
      <c r="Z60" s="422"/>
      <c r="AA60" s="422"/>
      <c r="AB60" s="422"/>
      <c r="AC60" s="422"/>
      <c r="AD60" s="432"/>
      <c r="AF60" s="93">
        <f>8*3000</f>
        <v>24000</v>
      </c>
    </row>
    <row r="61" spans="1:32" ht="27" customHeight="1" thickBot="1">
      <c r="A61" s="433"/>
      <c r="B61" s="434"/>
      <c r="C61" s="208"/>
      <c r="D61" s="208"/>
      <c r="E61" s="208"/>
      <c r="F61" s="435"/>
      <c r="G61" s="435"/>
      <c r="H61" s="435"/>
      <c r="I61" s="435"/>
      <c r="J61" s="435"/>
      <c r="K61" s="435"/>
      <c r="L61" s="435"/>
      <c r="M61" s="436"/>
      <c r="N61" s="207"/>
      <c r="O61" s="120"/>
      <c r="P61" s="434"/>
      <c r="Q61" s="434"/>
      <c r="R61" s="434"/>
      <c r="S61" s="434"/>
      <c r="T61" s="434"/>
      <c r="U61" s="434"/>
      <c r="V61" s="437"/>
      <c r="W61" s="437"/>
      <c r="X61" s="437"/>
      <c r="Y61" s="437"/>
      <c r="Z61" s="437"/>
      <c r="AA61" s="437"/>
      <c r="AB61" s="437"/>
      <c r="AC61" s="437"/>
      <c r="AD61" s="438"/>
      <c r="AF61" s="93">
        <f>16*3000</f>
        <v>48000</v>
      </c>
    </row>
    <row r="62" spans="1:32" ht="27.75" thickBot="1">
      <c r="A62" s="428" t="s">
        <v>303</v>
      </c>
      <c r="B62" s="428"/>
      <c r="C62" s="428"/>
      <c r="D62" s="428"/>
      <c r="E62" s="428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29" t="s">
        <v>113</v>
      </c>
      <c r="B63" s="426"/>
      <c r="C63" s="209" t="s">
        <v>2</v>
      </c>
      <c r="D63" s="209" t="s">
        <v>37</v>
      </c>
      <c r="E63" s="209" t="s">
        <v>3</v>
      </c>
      <c r="F63" s="426" t="s">
        <v>110</v>
      </c>
      <c r="G63" s="426"/>
      <c r="H63" s="426"/>
      <c r="I63" s="426"/>
      <c r="J63" s="426"/>
      <c r="K63" s="426" t="s">
        <v>39</v>
      </c>
      <c r="L63" s="426"/>
      <c r="M63" s="209" t="s">
        <v>40</v>
      </c>
      <c r="N63" s="426" t="s">
        <v>41</v>
      </c>
      <c r="O63" s="426"/>
      <c r="P63" s="423" t="s">
        <v>42</v>
      </c>
      <c r="Q63" s="425"/>
      <c r="R63" s="423" t="s">
        <v>43</v>
      </c>
      <c r="S63" s="424"/>
      <c r="T63" s="424"/>
      <c r="U63" s="424"/>
      <c r="V63" s="424"/>
      <c r="W63" s="424"/>
      <c r="X63" s="424"/>
      <c r="Y63" s="424"/>
      <c r="Z63" s="424"/>
      <c r="AA63" s="425"/>
      <c r="AB63" s="426" t="s">
        <v>44</v>
      </c>
      <c r="AC63" s="426"/>
      <c r="AD63" s="427"/>
      <c r="AF63" s="93">
        <f>SUM(AF60:AF62)</f>
        <v>96000</v>
      </c>
    </row>
    <row r="64" spans="1:32" ht="25.5" customHeight="1">
      <c r="A64" s="418">
        <v>1</v>
      </c>
      <c r="B64" s="419"/>
      <c r="C64" s="123" t="s">
        <v>118</v>
      </c>
      <c r="D64" s="214"/>
      <c r="E64" s="215" t="s">
        <v>152</v>
      </c>
      <c r="F64" s="420" t="s">
        <v>187</v>
      </c>
      <c r="G64" s="412"/>
      <c r="H64" s="412"/>
      <c r="I64" s="412"/>
      <c r="J64" s="412"/>
      <c r="K64" s="412" t="s">
        <v>155</v>
      </c>
      <c r="L64" s="412"/>
      <c r="M64" s="54" t="s">
        <v>192</v>
      </c>
      <c r="N64" s="412">
        <v>9</v>
      </c>
      <c r="O64" s="412"/>
      <c r="P64" s="421">
        <v>50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2</v>
      </c>
      <c r="B65" s="419"/>
      <c r="C65" s="123" t="s">
        <v>304</v>
      </c>
      <c r="D65" s="212"/>
      <c r="E65" s="210" t="s">
        <v>305</v>
      </c>
      <c r="F65" s="420" t="s">
        <v>306</v>
      </c>
      <c r="G65" s="412"/>
      <c r="H65" s="412"/>
      <c r="I65" s="412"/>
      <c r="J65" s="412"/>
      <c r="K65" s="412" t="s">
        <v>307</v>
      </c>
      <c r="L65" s="412"/>
      <c r="M65" s="54" t="s">
        <v>192</v>
      </c>
      <c r="N65" s="412">
        <v>6</v>
      </c>
      <c r="O65" s="412"/>
      <c r="P65" s="421">
        <v>50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3</v>
      </c>
      <c r="B66" s="419"/>
      <c r="C66" s="123" t="s">
        <v>308</v>
      </c>
      <c r="D66" s="212"/>
      <c r="E66" s="210"/>
      <c r="F66" s="420" t="s">
        <v>309</v>
      </c>
      <c r="G66" s="412"/>
      <c r="H66" s="412"/>
      <c r="I66" s="412"/>
      <c r="J66" s="412"/>
      <c r="K66" s="412" t="s">
        <v>310</v>
      </c>
      <c r="L66" s="412"/>
      <c r="M66" s="54" t="s">
        <v>311</v>
      </c>
      <c r="N66" s="412">
        <v>13</v>
      </c>
      <c r="O66" s="412"/>
      <c r="P66" s="421">
        <v>20</v>
      </c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4</v>
      </c>
      <c r="B67" s="419"/>
      <c r="C67" s="123"/>
      <c r="D67" s="212"/>
      <c r="E67" s="210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5</v>
      </c>
      <c r="B68" s="419"/>
      <c r="C68" s="123"/>
      <c r="D68" s="212"/>
      <c r="E68" s="210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6</v>
      </c>
      <c r="B69" s="419"/>
      <c r="C69" s="123"/>
      <c r="D69" s="212"/>
      <c r="E69" s="210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7</v>
      </c>
      <c r="B70" s="419"/>
      <c r="C70" s="123"/>
      <c r="D70" s="212"/>
      <c r="E70" s="210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5.5" customHeight="1">
      <c r="A71" s="418">
        <v>8</v>
      </c>
      <c r="B71" s="419"/>
      <c r="C71" s="123"/>
      <c r="D71" s="212"/>
      <c r="E71" s="210"/>
      <c r="F71" s="420"/>
      <c r="G71" s="412"/>
      <c r="H71" s="412"/>
      <c r="I71" s="412"/>
      <c r="J71" s="412"/>
      <c r="K71" s="412"/>
      <c r="L71" s="412"/>
      <c r="M71" s="54"/>
      <c r="N71" s="412"/>
      <c r="O71" s="412"/>
      <c r="P71" s="421"/>
      <c r="Q71" s="421"/>
      <c r="R71" s="422"/>
      <c r="S71" s="422"/>
      <c r="T71" s="422"/>
      <c r="U71" s="422"/>
      <c r="V71" s="422"/>
      <c r="W71" s="422"/>
      <c r="X71" s="422"/>
      <c r="Y71" s="422"/>
      <c r="Z71" s="422"/>
      <c r="AA71" s="422"/>
      <c r="AB71" s="412"/>
      <c r="AC71" s="412"/>
      <c r="AD71" s="413"/>
      <c r="AF71" s="53"/>
    </row>
    <row r="72" spans="1:32" ht="26.25" customHeight="1" thickBot="1">
      <c r="A72" s="392" t="s">
        <v>312</v>
      </c>
      <c r="B72" s="392"/>
      <c r="C72" s="392"/>
      <c r="D72" s="392"/>
      <c r="E72" s="39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3" t="s">
        <v>113</v>
      </c>
      <c r="B73" s="394"/>
      <c r="C73" s="211" t="s">
        <v>2</v>
      </c>
      <c r="D73" s="211" t="s">
        <v>37</v>
      </c>
      <c r="E73" s="211" t="s">
        <v>3</v>
      </c>
      <c r="F73" s="394" t="s">
        <v>38</v>
      </c>
      <c r="G73" s="394"/>
      <c r="H73" s="394"/>
      <c r="I73" s="394"/>
      <c r="J73" s="394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394" t="s">
        <v>49</v>
      </c>
      <c r="U73" s="394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3"/>
    </row>
    <row r="74" spans="1:32" ht="33.75" customHeight="1">
      <c r="A74" s="386">
        <v>1</v>
      </c>
      <c r="B74" s="387"/>
      <c r="C74" s="213" t="s">
        <v>114</v>
      </c>
      <c r="D74" s="213"/>
      <c r="E74" s="71" t="s">
        <v>149</v>
      </c>
      <c r="F74" s="401" t="s">
        <v>147</v>
      </c>
      <c r="G74" s="402"/>
      <c r="H74" s="402"/>
      <c r="I74" s="402"/>
      <c r="J74" s="403"/>
      <c r="K74" s="404" t="s">
        <v>153</v>
      </c>
      <c r="L74" s="405"/>
      <c r="M74" s="405"/>
      <c r="N74" s="405"/>
      <c r="O74" s="405"/>
      <c r="P74" s="405"/>
      <c r="Q74" s="405"/>
      <c r="R74" s="405"/>
      <c r="S74" s="406"/>
      <c r="T74" s="407">
        <v>43384</v>
      </c>
      <c r="U74" s="408"/>
      <c r="V74" s="409"/>
      <c r="W74" s="409"/>
      <c r="X74" s="410"/>
      <c r="Y74" s="410"/>
      <c r="Z74" s="410"/>
      <c r="AA74" s="410"/>
      <c r="AB74" s="410"/>
      <c r="AC74" s="410"/>
      <c r="AD74" s="411"/>
      <c r="AF74" s="53"/>
    </row>
    <row r="75" spans="1:32" ht="30" customHeight="1">
      <c r="A75" s="379">
        <f>A74+1</f>
        <v>2</v>
      </c>
      <c r="B75" s="380"/>
      <c r="C75" s="212"/>
      <c r="D75" s="212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ref="A76:A82" si="19">A75+1</f>
        <v>3</v>
      </c>
      <c r="B76" s="380"/>
      <c r="C76" s="212"/>
      <c r="D76" s="212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9"/>
        <v>4</v>
      </c>
      <c r="B77" s="380"/>
      <c r="C77" s="212"/>
      <c r="D77" s="212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9"/>
        <v>5</v>
      </c>
      <c r="B78" s="380"/>
      <c r="C78" s="212"/>
      <c r="D78" s="212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9"/>
        <v>6</v>
      </c>
      <c r="B79" s="380"/>
      <c r="C79" s="212"/>
      <c r="D79" s="212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9"/>
        <v>7</v>
      </c>
      <c r="B80" s="380"/>
      <c r="C80" s="212"/>
      <c r="D80" s="212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9"/>
        <v>8</v>
      </c>
      <c r="B81" s="380"/>
      <c r="C81" s="212"/>
      <c r="D81" s="212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0" customHeight="1">
      <c r="A82" s="379">
        <f t="shared" si="19"/>
        <v>9</v>
      </c>
      <c r="B82" s="380"/>
      <c r="C82" s="212"/>
      <c r="D82" s="212"/>
      <c r="E82" s="35"/>
      <c r="F82" s="380"/>
      <c r="G82" s="380"/>
      <c r="H82" s="380"/>
      <c r="I82" s="380"/>
      <c r="J82" s="380"/>
      <c r="K82" s="395"/>
      <c r="L82" s="396"/>
      <c r="M82" s="396"/>
      <c r="N82" s="396"/>
      <c r="O82" s="396"/>
      <c r="P82" s="396"/>
      <c r="Q82" s="396"/>
      <c r="R82" s="396"/>
      <c r="S82" s="397"/>
      <c r="T82" s="398"/>
      <c r="U82" s="398"/>
      <c r="V82" s="398"/>
      <c r="W82" s="398"/>
      <c r="X82" s="399"/>
      <c r="Y82" s="399"/>
      <c r="Z82" s="399"/>
      <c r="AA82" s="399"/>
      <c r="AB82" s="399"/>
      <c r="AC82" s="399"/>
      <c r="AD82" s="400"/>
      <c r="AF82" s="53"/>
    </row>
    <row r="83" spans="1:32" ht="36" thickBot="1">
      <c r="A83" s="392" t="s">
        <v>313</v>
      </c>
      <c r="B83" s="392"/>
      <c r="C83" s="392"/>
      <c r="D83" s="392"/>
      <c r="E83" s="39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3" t="s">
        <v>113</v>
      </c>
      <c r="B84" s="394"/>
      <c r="C84" s="384" t="s">
        <v>52</v>
      </c>
      <c r="D84" s="384"/>
      <c r="E84" s="384" t="s">
        <v>53</v>
      </c>
      <c r="F84" s="384"/>
      <c r="G84" s="384"/>
      <c r="H84" s="384"/>
      <c r="I84" s="384"/>
      <c r="J84" s="384"/>
      <c r="K84" s="384" t="s">
        <v>54</v>
      </c>
      <c r="L84" s="384"/>
      <c r="M84" s="384"/>
      <c r="N84" s="384"/>
      <c r="O84" s="384"/>
      <c r="P84" s="384"/>
      <c r="Q84" s="384"/>
      <c r="R84" s="384"/>
      <c r="S84" s="384"/>
      <c r="T84" s="384" t="s">
        <v>55</v>
      </c>
      <c r="U84" s="384"/>
      <c r="V84" s="384" t="s">
        <v>56</v>
      </c>
      <c r="W84" s="384"/>
      <c r="X84" s="384"/>
      <c r="Y84" s="384" t="s">
        <v>51</v>
      </c>
      <c r="Z84" s="384"/>
      <c r="AA84" s="384"/>
      <c r="AB84" s="384"/>
      <c r="AC84" s="384"/>
      <c r="AD84" s="385"/>
      <c r="AF84" s="53"/>
    </row>
    <row r="85" spans="1:32" ht="30.75" customHeight="1">
      <c r="A85" s="386">
        <v>1</v>
      </c>
      <c r="B85" s="387"/>
      <c r="C85" s="388"/>
      <c r="D85" s="388"/>
      <c r="E85" s="388"/>
      <c r="F85" s="388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88"/>
      <c r="V85" s="389"/>
      <c r="W85" s="389"/>
      <c r="X85" s="389"/>
      <c r="Y85" s="390"/>
      <c r="Z85" s="390"/>
      <c r="AA85" s="390"/>
      <c r="AB85" s="390"/>
      <c r="AC85" s="390"/>
      <c r="AD85" s="391"/>
      <c r="AF85" s="53"/>
    </row>
    <row r="86" spans="1:32" ht="30.75" customHeight="1">
      <c r="A86" s="379">
        <v>2</v>
      </c>
      <c r="B86" s="380"/>
      <c r="C86" s="381"/>
      <c r="D86" s="381"/>
      <c r="E86" s="381"/>
      <c r="F86" s="381"/>
      <c r="G86" s="381"/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  <c r="T86" s="382"/>
      <c r="U86" s="382"/>
      <c r="V86" s="383"/>
      <c r="W86" s="383"/>
      <c r="X86" s="383"/>
      <c r="Y86" s="372"/>
      <c r="Z86" s="372"/>
      <c r="AA86" s="372"/>
      <c r="AB86" s="372"/>
      <c r="AC86" s="372"/>
      <c r="AD86" s="373"/>
      <c r="AF86" s="53"/>
    </row>
    <row r="87" spans="1:32" ht="30.75" customHeight="1" thickBot="1">
      <c r="A87" s="374">
        <v>3</v>
      </c>
      <c r="B87" s="375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7"/>
      <c r="Z87" s="377"/>
      <c r="AA87" s="377"/>
      <c r="AB87" s="377"/>
      <c r="AC87" s="377"/>
      <c r="AD87" s="378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407D-A903-46B3-AD9E-6EC5DA7B22B9}">
  <sheetPr>
    <pageSetUpPr fitToPage="1"/>
  </sheetPr>
  <dimension ref="A1:AF86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314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16" t="s">
        <v>17</v>
      </c>
      <c r="L5" s="216" t="s">
        <v>18</v>
      </c>
      <c r="M5" s="216" t="s">
        <v>19</v>
      </c>
      <c r="N5" s="21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0.22222222222222224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0.22222222222222224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260</v>
      </c>
      <c r="D8" s="55" t="s">
        <v>261</v>
      </c>
      <c r="E8" s="57" t="s">
        <v>262</v>
      </c>
      <c r="F8" s="33" t="s">
        <v>263</v>
      </c>
      <c r="G8" s="36">
        <v>3</v>
      </c>
      <c r="H8" s="38">
        <v>25</v>
      </c>
      <c r="I8" s="7">
        <v>20000</v>
      </c>
      <c r="J8" s="5">
        <v>6231</v>
      </c>
      <c r="K8" s="15">
        <f>L8+5871+5814+6177</f>
        <v>24093</v>
      </c>
      <c r="L8" s="15">
        <f>2077*3</f>
        <v>6231</v>
      </c>
      <c r="M8" s="16">
        <f t="shared" si="0"/>
        <v>6231</v>
      </c>
      <c r="N8" s="16">
        <v>0</v>
      </c>
      <c r="O8" s="62">
        <f t="shared" si="1"/>
        <v>0</v>
      </c>
      <c r="P8" s="42">
        <f t="shared" si="2"/>
        <v>12</v>
      </c>
      <c r="Q8" s="43">
        <f t="shared" si="3"/>
        <v>12</v>
      </c>
      <c r="R8" s="7"/>
      <c r="S8" s="6"/>
      <c r="T8" s="17"/>
      <c r="U8" s="17"/>
      <c r="V8" s="18">
        <v>12</v>
      </c>
      <c r="W8" s="19"/>
      <c r="X8" s="17"/>
      <c r="Y8" s="20"/>
      <c r="Z8" s="20"/>
      <c r="AA8" s="21"/>
      <c r="AB8" s="8">
        <f t="shared" si="4"/>
        <v>1</v>
      </c>
      <c r="AC8" s="9">
        <f t="shared" si="5"/>
        <v>0.5</v>
      </c>
      <c r="AD8" s="10">
        <f t="shared" si="6"/>
        <v>0.5</v>
      </c>
      <c r="AE8" s="39">
        <f t="shared" si="7"/>
        <v>0.22222222222222224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300</v>
      </c>
      <c r="F9" s="33" t="s">
        <v>128</v>
      </c>
      <c r="G9" s="36">
        <v>1</v>
      </c>
      <c r="H9" s="38">
        <v>25</v>
      </c>
      <c r="I9" s="7">
        <v>1000</v>
      </c>
      <c r="J9" s="5">
        <v>1633</v>
      </c>
      <c r="K9" s="15">
        <f>L9</f>
        <v>1633</v>
      </c>
      <c r="L9" s="15">
        <v>1633</v>
      </c>
      <c r="M9" s="16">
        <f t="shared" si="0"/>
        <v>1633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>
        <v>2</v>
      </c>
      <c r="U9" s="17"/>
      <c r="V9" s="18"/>
      <c r="W9" s="19">
        <v>12</v>
      </c>
      <c r="X9" s="17"/>
      <c r="Y9" s="20"/>
      <c r="Z9" s="20"/>
      <c r="AA9" s="21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9">
        <f t="shared" si="7"/>
        <v>0.22222222222222224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276</v>
      </c>
      <c r="F10" s="12" t="s">
        <v>284</v>
      </c>
      <c r="G10" s="12">
        <v>2</v>
      </c>
      <c r="H10" s="13">
        <v>25</v>
      </c>
      <c r="I10" s="7">
        <v>10000</v>
      </c>
      <c r="J10" s="14">
        <v>6198</v>
      </c>
      <c r="K10" s="15">
        <f>L10+5214</f>
        <v>11412</v>
      </c>
      <c r="L10" s="15">
        <f>3099*2</f>
        <v>6198</v>
      </c>
      <c r="M10" s="16">
        <f t="shared" si="0"/>
        <v>6198</v>
      </c>
      <c r="N10" s="16">
        <v>0</v>
      </c>
      <c r="O10" s="62">
        <f t="shared" si="1"/>
        <v>0</v>
      </c>
      <c r="P10" s="42">
        <f t="shared" si="2"/>
        <v>12</v>
      </c>
      <c r="Q10" s="43">
        <f t="shared" si="3"/>
        <v>12</v>
      </c>
      <c r="R10" s="7"/>
      <c r="S10" s="6"/>
      <c r="T10" s="17"/>
      <c r="U10" s="17"/>
      <c r="V10" s="18">
        <v>12</v>
      </c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0.5</v>
      </c>
      <c r="AD10" s="10">
        <f t="shared" si="6"/>
        <v>0.5</v>
      </c>
      <c r="AE10" s="39">
        <f t="shared" si="7"/>
        <v>0.22222222222222224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114</v>
      </c>
      <c r="D11" s="55" t="s">
        <v>197</v>
      </c>
      <c r="E11" s="57" t="s">
        <v>198</v>
      </c>
      <c r="F11" s="12">
        <v>8301</v>
      </c>
      <c r="G11" s="12">
        <v>1</v>
      </c>
      <c r="H11" s="13">
        <v>25</v>
      </c>
      <c r="I11" s="34">
        <v>500</v>
      </c>
      <c r="J11" s="5">
        <v>3037</v>
      </c>
      <c r="K11" s="15">
        <f>L11+3037</f>
        <v>3037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0.22222222222222224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9000</v>
      </c>
      <c r="J12" s="14">
        <v>2994</v>
      </c>
      <c r="K12" s="15">
        <f>L12+1627+2645+2807+3094</f>
        <v>13167</v>
      </c>
      <c r="L12" s="15">
        <f>2994</f>
        <v>2994</v>
      </c>
      <c r="M12" s="16">
        <f t="shared" si="0"/>
        <v>2994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0.22222222222222224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227</v>
      </c>
      <c r="F13" s="12" t="s">
        <v>128</v>
      </c>
      <c r="G13" s="12">
        <v>1</v>
      </c>
      <c r="H13" s="13">
        <v>25</v>
      </c>
      <c r="I13" s="7">
        <v>9000</v>
      </c>
      <c r="J13" s="14">
        <v>2712</v>
      </c>
      <c r="K13" s="15">
        <f>L13+2314+2138+2532</f>
        <v>9696</v>
      </c>
      <c r="L13" s="15">
        <v>2712</v>
      </c>
      <c r="M13" s="16">
        <f t="shared" si="0"/>
        <v>2712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>
        <v>12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9">
        <f t="shared" si="7"/>
        <v>0.22222222222222224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1200</v>
      </c>
      <c r="J14" s="5">
        <v>789</v>
      </c>
      <c r="K14" s="15">
        <f>L14</f>
        <v>789</v>
      </c>
      <c r="L14" s="15">
        <v>789</v>
      </c>
      <c r="M14" s="16">
        <f t="shared" si="0"/>
        <v>789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>
        <v>6</v>
      </c>
      <c r="T14" s="17"/>
      <c r="U14" s="17"/>
      <c r="V14" s="18">
        <v>12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9">
        <f t="shared" si="7"/>
        <v>0.22222222222222224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0.22222222222222224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236</v>
      </c>
      <c r="E16" s="57" t="s">
        <v>228</v>
      </c>
      <c r="F16" s="33" t="s">
        <v>184</v>
      </c>
      <c r="G16" s="36" t="s">
        <v>137</v>
      </c>
      <c r="H16" s="38">
        <v>24</v>
      </c>
      <c r="I16" s="7">
        <v>2000</v>
      </c>
      <c r="J16" s="5">
        <v>920</v>
      </c>
      <c r="K16" s="15">
        <f>L16+1120+920</f>
        <v>2040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0.22222222222222224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118</v>
      </c>
      <c r="D17" s="55" t="s">
        <v>152</v>
      </c>
      <c r="E17" s="57" t="s">
        <v>264</v>
      </c>
      <c r="F17" s="12">
        <v>8301</v>
      </c>
      <c r="G17" s="12">
        <v>1</v>
      </c>
      <c r="H17" s="13">
        <v>24</v>
      </c>
      <c r="I17" s="34">
        <v>250</v>
      </c>
      <c r="J17" s="14">
        <v>386</v>
      </c>
      <c r="K17" s="15">
        <f>L17+386</f>
        <v>386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0.22222222222222224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118</v>
      </c>
      <c r="D18" s="55" t="s">
        <v>315</v>
      </c>
      <c r="E18" s="57" t="s">
        <v>316</v>
      </c>
      <c r="F18" s="12" t="s">
        <v>317</v>
      </c>
      <c r="G18" s="36">
        <v>1</v>
      </c>
      <c r="H18" s="38">
        <v>24</v>
      </c>
      <c r="I18" s="7">
        <v>660</v>
      </c>
      <c r="J18" s="5">
        <v>660</v>
      </c>
      <c r="K18" s="15">
        <f>L18</f>
        <v>660</v>
      </c>
      <c r="L18" s="15">
        <v>660</v>
      </c>
      <c r="M18" s="16">
        <f t="shared" si="0"/>
        <v>660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>
        <v>6</v>
      </c>
      <c r="T18" s="17"/>
      <c r="U18" s="17"/>
      <c r="V18" s="18">
        <v>12</v>
      </c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9">
        <f t="shared" si="7"/>
        <v>0.22222222222222224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117</v>
      </c>
      <c r="E19" s="57" t="s">
        <v>302</v>
      </c>
      <c r="F19" s="12" t="s">
        <v>182</v>
      </c>
      <c r="G19" s="36">
        <v>1</v>
      </c>
      <c r="H19" s="13">
        <v>24</v>
      </c>
      <c r="I19" s="7">
        <v>500</v>
      </c>
      <c r="J19" s="14">
        <v>804</v>
      </c>
      <c r="K19" s="15">
        <f>L19</f>
        <v>804</v>
      </c>
      <c r="L19" s="15">
        <v>804</v>
      </c>
      <c r="M19" s="16">
        <f t="shared" si="0"/>
        <v>804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>
        <v>2</v>
      </c>
      <c r="U19" s="17"/>
      <c r="V19" s="18">
        <v>12</v>
      </c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0.41666666666666669</v>
      </c>
      <c r="AD19" s="10">
        <f t="shared" si="6"/>
        <v>0.41666666666666669</v>
      </c>
      <c r="AE19" s="39">
        <f t="shared" si="7"/>
        <v>0.22222222222222224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2476</v>
      </c>
      <c r="K20" s="15">
        <f>L20+21192+22576+21736+23624+23264+21924+2476</f>
        <v>136792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0.22222222222222224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356110</v>
      </c>
      <c r="J21" s="22">
        <f t="shared" si="9"/>
        <v>31345</v>
      </c>
      <c r="K21" s="23">
        <f t="shared" si="9"/>
        <v>209164</v>
      </c>
      <c r="L21" s="24">
        <f t="shared" si="9"/>
        <v>22021</v>
      </c>
      <c r="M21" s="23">
        <f t="shared" si="9"/>
        <v>22021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80</v>
      </c>
      <c r="Q21" s="46">
        <f t="shared" si="10"/>
        <v>280</v>
      </c>
      <c r="R21" s="26">
        <f t="shared" si="10"/>
        <v>24</v>
      </c>
      <c r="S21" s="27">
        <f t="shared" si="10"/>
        <v>12</v>
      </c>
      <c r="T21" s="27">
        <f t="shared" si="10"/>
        <v>4</v>
      </c>
      <c r="U21" s="27">
        <f t="shared" si="10"/>
        <v>0</v>
      </c>
      <c r="V21" s="28">
        <f t="shared" si="10"/>
        <v>84</v>
      </c>
      <c r="W21" s="29">
        <f t="shared" si="10"/>
        <v>156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0.53333333333333333</v>
      </c>
      <c r="AC21" s="4">
        <f>SUM(AC6:AC20)/15</f>
        <v>0.22222222222222224</v>
      </c>
      <c r="AD21" s="4">
        <f>SUM(AD6:AD20)/15</f>
        <v>0.22222222222222224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318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319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217" t="s">
        <v>46</v>
      </c>
      <c r="D50" s="217" t="s">
        <v>47</v>
      </c>
      <c r="E50" s="217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217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219" t="s">
        <v>139</v>
      </c>
      <c r="D51" s="219" t="s">
        <v>117</v>
      </c>
      <c r="E51" s="219" t="s">
        <v>300</v>
      </c>
      <c r="F51" s="483" t="s">
        <v>119</v>
      </c>
      <c r="G51" s="484"/>
      <c r="H51" s="484"/>
      <c r="I51" s="484"/>
      <c r="J51" s="484"/>
      <c r="K51" s="484"/>
      <c r="L51" s="484"/>
      <c r="M51" s="485"/>
      <c r="N51" s="218" t="s">
        <v>118</v>
      </c>
      <c r="O51" s="124" t="s">
        <v>208</v>
      </c>
      <c r="P51" s="439" t="s">
        <v>146</v>
      </c>
      <c r="Q51" s="440"/>
      <c r="R51" s="441" t="s">
        <v>320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219" t="s">
        <v>301</v>
      </c>
      <c r="D52" s="219" t="s">
        <v>152</v>
      </c>
      <c r="E52" s="219" t="s">
        <v>187</v>
      </c>
      <c r="F52" s="483" t="s">
        <v>119</v>
      </c>
      <c r="G52" s="484"/>
      <c r="H52" s="484"/>
      <c r="I52" s="484"/>
      <c r="J52" s="484"/>
      <c r="K52" s="484"/>
      <c r="L52" s="484"/>
      <c r="M52" s="485"/>
      <c r="N52" s="218" t="s">
        <v>322</v>
      </c>
      <c r="O52" s="124" t="s">
        <v>189</v>
      </c>
      <c r="P52" s="439" t="s">
        <v>323</v>
      </c>
      <c r="Q52" s="440"/>
      <c r="R52" s="431" t="s">
        <v>321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114</v>
      </c>
      <c r="B53" s="431"/>
      <c r="C53" s="219" t="s">
        <v>174</v>
      </c>
      <c r="D53" s="219" t="s">
        <v>117</v>
      </c>
      <c r="E53" s="219" t="s">
        <v>302</v>
      </c>
      <c r="F53" s="483" t="s">
        <v>119</v>
      </c>
      <c r="G53" s="484"/>
      <c r="H53" s="484"/>
      <c r="I53" s="484"/>
      <c r="J53" s="484"/>
      <c r="K53" s="484"/>
      <c r="L53" s="484"/>
      <c r="M53" s="485"/>
      <c r="N53" s="218" t="s">
        <v>118</v>
      </c>
      <c r="O53" s="124" t="s">
        <v>179</v>
      </c>
      <c r="P53" s="439" t="s">
        <v>152</v>
      </c>
      <c r="Q53" s="440"/>
      <c r="R53" s="431" t="s">
        <v>256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118</v>
      </c>
      <c r="B54" s="431"/>
      <c r="C54" s="219" t="s">
        <v>208</v>
      </c>
      <c r="D54" s="219" t="s">
        <v>315</v>
      </c>
      <c r="E54" s="219" t="s">
        <v>316</v>
      </c>
      <c r="F54" s="483" t="s">
        <v>119</v>
      </c>
      <c r="G54" s="484"/>
      <c r="H54" s="484"/>
      <c r="I54" s="484"/>
      <c r="J54" s="484"/>
      <c r="K54" s="484"/>
      <c r="L54" s="484"/>
      <c r="M54" s="485"/>
      <c r="N54" s="218" t="s">
        <v>114</v>
      </c>
      <c r="O54" s="124" t="s">
        <v>189</v>
      </c>
      <c r="P54" s="439" t="s">
        <v>152</v>
      </c>
      <c r="Q54" s="440"/>
      <c r="R54" s="431" t="s">
        <v>324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219"/>
      <c r="D55" s="219"/>
      <c r="E55" s="219"/>
      <c r="F55" s="483"/>
      <c r="G55" s="484"/>
      <c r="H55" s="484"/>
      <c r="I55" s="484"/>
      <c r="J55" s="484"/>
      <c r="K55" s="484"/>
      <c r="L55" s="484"/>
      <c r="M55" s="485"/>
      <c r="N55" s="218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219"/>
      <c r="D56" s="219"/>
      <c r="E56" s="219"/>
      <c r="F56" s="422"/>
      <c r="G56" s="422"/>
      <c r="H56" s="422"/>
      <c r="I56" s="422"/>
      <c r="J56" s="422"/>
      <c r="K56" s="422"/>
      <c r="L56" s="422"/>
      <c r="M56" s="432"/>
      <c r="N56" s="218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19"/>
      <c r="D57" s="219"/>
      <c r="E57" s="219"/>
      <c r="F57" s="422"/>
      <c r="G57" s="422"/>
      <c r="H57" s="422"/>
      <c r="I57" s="422"/>
      <c r="J57" s="422"/>
      <c r="K57" s="422"/>
      <c r="L57" s="422"/>
      <c r="M57" s="432"/>
      <c r="N57" s="218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19"/>
      <c r="D58" s="219"/>
      <c r="E58" s="219"/>
      <c r="F58" s="422"/>
      <c r="G58" s="422"/>
      <c r="H58" s="422"/>
      <c r="I58" s="422"/>
      <c r="J58" s="422"/>
      <c r="K58" s="422"/>
      <c r="L58" s="422"/>
      <c r="M58" s="432"/>
      <c r="N58" s="218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19"/>
      <c r="D59" s="219"/>
      <c r="E59" s="219"/>
      <c r="F59" s="422"/>
      <c r="G59" s="422"/>
      <c r="H59" s="422"/>
      <c r="I59" s="422"/>
      <c r="J59" s="422"/>
      <c r="K59" s="422"/>
      <c r="L59" s="422"/>
      <c r="M59" s="432"/>
      <c r="N59" s="218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221"/>
      <c r="D60" s="221"/>
      <c r="E60" s="221"/>
      <c r="F60" s="435"/>
      <c r="G60" s="435"/>
      <c r="H60" s="435"/>
      <c r="I60" s="435"/>
      <c r="J60" s="435"/>
      <c r="K60" s="435"/>
      <c r="L60" s="435"/>
      <c r="M60" s="436"/>
      <c r="N60" s="220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325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222" t="s">
        <v>2</v>
      </c>
      <c r="D62" s="222" t="s">
        <v>37</v>
      </c>
      <c r="E62" s="222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222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118</v>
      </c>
      <c r="D63" s="225"/>
      <c r="E63" s="223" t="s">
        <v>315</v>
      </c>
      <c r="F63" s="420" t="s">
        <v>316</v>
      </c>
      <c r="G63" s="412"/>
      <c r="H63" s="412"/>
      <c r="I63" s="412"/>
      <c r="J63" s="412"/>
      <c r="K63" s="412" t="s">
        <v>317</v>
      </c>
      <c r="L63" s="412"/>
      <c r="M63" s="54" t="s">
        <v>311</v>
      </c>
      <c r="N63" s="412">
        <v>13</v>
      </c>
      <c r="O63" s="412"/>
      <c r="P63" s="421">
        <v>60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225"/>
      <c r="E64" s="223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225"/>
      <c r="E65" s="223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225"/>
      <c r="E66" s="223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225"/>
      <c r="E67" s="223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225"/>
      <c r="E68" s="223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225"/>
      <c r="E69" s="223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225"/>
      <c r="E70" s="223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326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224" t="s">
        <v>2</v>
      </c>
      <c r="D72" s="224" t="s">
        <v>37</v>
      </c>
      <c r="E72" s="224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226" t="s">
        <v>114</v>
      </c>
      <c r="D73" s="226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225"/>
      <c r="D74" s="225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225"/>
      <c r="D75" s="225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225"/>
      <c r="D76" s="225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225"/>
      <c r="D77" s="225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225"/>
      <c r="D78" s="225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225"/>
      <c r="D79" s="225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225"/>
      <c r="D80" s="225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225"/>
      <c r="D81" s="225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327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E98B-0C18-4239-ACA3-FF505BBB47E1}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328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38" t="s">
        <v>17</v>
      </c>
      <c r="L5" s="238" t="s">
        <v>18</v>
      </c>
      <c r="M5" s="238" t="s">
        <v>19</v>
      </c>
      <c r="N5" s="23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0.19166666666666668</v>
      </c>
      <c r="AF6" s="93">
        <f t="shared" ref="AF6:AF22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0.19166666666666668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260</v>
      </c>
      <c r="D8" s="55" t="s">
        <v>261</v>
      </c>
      <c r="E8" s="57" t="s">
        <v>262</v>
      </c>
      <c r="F8" s="33" t="s">
        <v>263</v>
      </c>
      <c r="G8" s="36">
        <v>3</v>
      </c>
      <c r="H8" s="38">
        <v>25</v>
      </c>
      <c r="I8" s="7">
        <v>20000</v>
      </c>
      <c r="J8" s="5">
        <v>6231</v>
      </c>
      <c r="K8" s="15">
        <f>L8+5871+5814+6177+6231</f>
        <v>24093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0.19166666666666668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300</v>
      </c>
      <c r="F9" s="33" t="s">
        <v>128</v>
      </c>
      <c r="G9" s="36">
        <v>1</v>
      </c>
      <c r="H9" s="38">
        <v>25</v>
      </c>
      <c r="I9" s="7">
        <v>1000</v>
      </c>
      <c r="J9" s="5">
        <v>1633</v>
      </c>
      <c r="K9" s="15">
        <f>L9+1633</f>
        <v>1633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0.19166666666666668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276</v>
      </c>
      <c r="F10" s="12" t="s">
        <v>284</v>
      </c>
      <c r="G10" s="12">
        <v>2</v>
      </c>
      <c r="H10" s="13">
        <v>25</v>
      </c>
      <c r="I10" s="7">
        <v>10000</v>
      </c>
      <c r="J10" s="14">
        <v>3962</v>
      </c>
      <c r="K10" s="15">
        <f>L10+5214+6198</f>
        <v>15374</v>
      </c>
      <c r="L10" s="15">
        <f>1981*2</f>
        <v>3962</v>
      </c>
      <c r="M10" s="16">
        <f t="shared" si="0"/>
        <v>3962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/>
      <c r="W10" s="19">
        <v>14</v>
      </c>
      <c r="X10" s="17"/>
      <c r="Y10" s="20"/>
      <c r="Z10" s="20"/>
      <c r="AA10" s="21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9">
        <f t="shared" si="7"/>
        <v>0.19166666666666668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114</v>
      </c>
      <c r="D11" s="55" t="s">
        <v>197</v>
      </c>
      <c r="E11" s="57" t="s">
        <v>198</v>
      </c>
      <c r="F11" s="12">
        <v>8301</v>
      </c>
      <c r="G11" s="12">
        <v>1</v>
      </c>
      <c r="H11" s="13">
        <v>25</v>
      </c>
      <c r="I11" s="34">
        <v>500</v>
      </c>
      <c r="J11" s="5">
        <v>3037</v>
      </c>
      <c r="K11" s="15">
        <f>L11+3037</f>
        <v>3037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0.19166666666666668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9000</v>
      </c>
      <c r="J12" s="14">
        <v>3109</v>
      </c>
      <c r="K12" s="15">
        <f>L12+1627+2645+2807+3094+2994</f>
        <v>16276</v>
      </c>
      <c r="L12" s="15">
        <v>3109</v>
      </c>
      <c r="M12" s="16">
        <f t="shared" si="0"/>
        <v>3109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0.19166666666666668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227</v>
      </c>
      <c r="F13" s="12" t="s">
        <v>128</v>
      </c>
      <c r="G13" s="12">
        <v>1</v>
      </c>
      <c r="H13" s="13">
        <v>25</v>
      </c>
      <c r="I13" s="7">
        <v>9000</v>
      </c>
      <c r="J13" s="14">
        <v>2035</v>
      </c>
      <c r="K13" s="15">
        <f>L13+2314+2138+2532+2712</f>
        <v>11731</v>
      </c>
      <c r="L13" s="15">
        <v>2035</v>
      </c>
      <c r="M13" s="16">
        <f t="shared" si="0"/>
        <v>2035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>
        <v>2</v>
      </c>
      <c r="T13" s="17"/>
      <c r="U13" s="17"/>
      <c r="V13" s="18">
        <v>12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9">
        <f t="shared" si="7"/>
        <v>0.19166666666666668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1200</v>
      </c>
      <c r="J14" s="5">
        <v>1198</v>
      </c>
      <c r="K14" s="15">
        <f>L14+789</f>
        <v>1987</v>
      </c>
      <c r="L14" s="15">
        <v>1198</v>
      </c>
      <c r="M14" s="16">
        <f t="shared" si="0"/>
        <v>1198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>
        <v>2</v>
      </c>
      <c r="T14" s="17"/>
      <c r="U14" s="17"/>
      <c r="V14" s="18"/>
      <c r="W14" s="19">
        <v>14</v>
      </c>
      <c r="X14" s="17"/>
      <c r="Y14" s="20"/>
      <c r="Z14" s="20"/>
      <c r="AA14" s="21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9">
        <f t="shared" si="7"/>
        <v>0.19166666666666668</v>
      </c>
      <c r="AF14" s="93">
        <f t="shared" si="8"/>
        <v>9</v>
      </c>
    </row>
    <row r="15" spans="1:32" ht="27" customHeight="1">
      <c r="A15" s="227">
        <v>9</v>
      </c>
      <c r="B15" s="11" t="s">
        <v>57</v>
      </c>
      <c r="C15" s="37" t="s">
        <v>118</v>
      </c>
      <c r="D15" s="55" t="s">
        <v>152</v>
      </c>
      <c r="E15" s="57" t="s">
        <v>329</v>
      </c>
      <c r="F15" s="33" t="s">
        <v>155</v>
      </c>
      <c r="G15" s="36">
        <v>1</v>
      </c>
      <c r="H15" s="38">
        <v>25</v>
      </c>
      <c r="I15" s="7">
        <v>1000</v>
      </c>
      <c r="J15" s="5">
        <v>352</v>
      </c>
      <c r="K15" s="15">
        <f>L15</f>
        <v>352</v>
      </c>
      <c r="L15" s="15">
        <v>352</v>
      </c>
      <c r="M15" s="16">
        <f t="shared" ref="M15" si="9">L15-N15</f>
        <v>352</v>
      </c>
      <c r="N15" s="16">
        <v>0</v>
      </c>
      <c r="O15" s="62">
        <f t="shared" ref="O15" si="10">IF(L15=0,"0",N15/L15)</f>
        <v>0</v>
      </c>
      <c r="P15" s="42">
        <f t="shared" ref="P15" si="11">IF(L15=0,"0",(24-Q15))</f>
        <v>4</v>
      </c>
      <c r="Q15" s="43">
        <f t="shared" ref="Q15" si="12">SUM(R15:AA15)</f>
        <v>20</v>
      </c>
      <c r="R15" s="7"/>
      <c r="S15" s="6">
        <v>20</v>
      </c>
      <c r="T15" s="17"/>
      <c r="U15" s="17"/>
      <c r="V15" s="18"/>
      <c r="W15" s="19"/>
      <c r="X15" s="17"/>
      <c r="Y15" s="20"/>
      <c r="Z15" s="20"/>
      <c r="AA15" s="21"/>
      <c r="AB15" s="8">
        <f t="shared" ref="AB15" si="13">IF(J15=0,"0",(L15/J15))</f>
        <v>1</v>
      </c>
      <c r="AC15" s="9">
        <f t="shared" ref="AC15" si="14">IF(P15=0,"0",(P15/24))</f>
        <v>0.16666666666666666</v>
      </c>
      <c r="AD15" s="10">
        <f t="shared" ref="AD15" si="15">AC15*AB15*(1-O15)</f>
        <v>0.16666666666666666</v>
      </c>
      <c r="AE15" s="39">
        <f t="shared" si="7"/>
        <v>0.19166666666666668</v>
      </c>
      <c r="AF15" s="93">
        <f t="shared" ref="AF15" si="16">A15</f>
        <v>9</v>
      </c>
    </row>
    <row r="16" spans="1:32" ht="27" customHeight="1">
      <c r="A16" s="108">
        <v>10</v>
      </c>
      <c r="B16" s="11" t="s">
        <v>57</v>
      </c>
      <c r="C16" s="37" t="s">
        <v>150</v>
      </c>
      <c r="D16" s="55" t="s">
        <v>121</v>
      </c>
      <c r="E16" s="57" t="s">
        <v>163</v>
      </c>
      <c r="F16" s="12">
        <v>8301</v>
      </c>
      <c r="G16" s="12" t="s">
        <v>137</v>
      </c>
      <c r="H16" s="13">
        <v>24</v>
      </c>
      <c r="I16" s="34">
        <v>2000</v>
      </c>
      <c r="J16" s="14">
        <v>2505</v>
      </c>
      <c r="K16" s="15">
        <f>L16+2150+2505</f>
        <v>4655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0.19166666666666668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118</v>
      </c>
      <c r="D17" s="55" t="s">
        <v>152</v>
      </c>
      <c r="E17" s="57" t="s">
        <v>256</v>
      </c>
      <c r="F17" s="33" t="s">
        <v>122</v>
      </c>
      <c r="G17" s="36">
        <v>1</v>
      </c>
      <c r="H17" s="38">
        <v>24</v>
      </c>
      <c r="I17" s="7">
        <v>200</v>
      </c>
      <c r="J17" s="5">
        <v>583</v>
      </c>
      <c r="K17" s="15">
        <f>L17</f>
        <v>583</v>
      </c>
      <c r="L17" s="15">
        <v>583</v>
      </c>
      <c r="M17" s="16">
        <f t="shared" si="0"/>
        <v>583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9">
        <f t="shared" si="7"/>
        <v>0.19166666666666668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330</v>
      </c>
      <c r="D18" s="55" t="s">
        <v>323</v>
      </c>
      <c r="E18" s="57" t="s">
        <v>321</v>
      </c>
      <c r="F18" s="12">
        <v>8301</v>
      </c>
      <c r="G18" s="12">
        <v>1</v>
      </c>
      <c r="H18" s="13">
        <v>24</v>
      </c>
      <c r="I18" s="34">
        <v>1000</v>
      </c>
      <c r="J18" s="14">
        <v>1330</v>
      </c>
      <c r="K18" s="15">
        <f>L18</f>
        <v>1330</v>
      </c>
      <c r="L18" s="15">
        <v>1330</v>
      </c>
      <c r="M18" s="16">
        <f t="shared" si="0"/>
        <v>1330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/>
      <c r="T18" s="17"/>
      <c r="U18" s="17"/>
      <c r="V18" s="18"/>
      <c r="W18" s="19">
        <v>18</v>
      </c>
      <c r="X18" s="17"/>
      <c r="Y18" s="20"/>
      <c r="Z18" s="20"/>
      <c r="AA18" s="21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9">
        <f t="shared" si="7"/>
        <v>0.19166666666666668</v>
      </c>
      <c r="AF18" s="93">
        <f t="shared" si="8"/>
        <v>12</v>
      </c>
    </row>
    <row r="19" spans="1:32" ht="27" customHeight="1">
      <c r="A19" s="108">
        <v>12</v>
      </c>
      <c r="B19" s="11" t="s">
        <v>57</v>
      </c>
      <c r="C19" s="37" t="s">
        <v>114</v>
      </c>
      <c r="D19" s="55" t="s">
        <v>331</v>
      </c>
      <c r="E19" s="57" t="s">
        <v>324</v>
      </c>
      <c r="F19" s="12">
        <v>8301</v>
      </c>
      <c r="G19" s="12">
        <v>1</v>
      </c>
      <c r="H19" s="13">
        <v>24</v>
      </c>
      <c r="I19" s="34">
        <v>2000</v>
      </c>
      <c r="J19" s="14">
        <v>824</v>
      </c>
      <c r="K19" s="15">
        <f>L19</f>
        <v>824</v>
      </c>
      <c r="L19" s="15">
        <v>824</v>
      </c>
      <c r="M19" s="16">
        <f t="shared" ref="M19" si="17">L19-N19</f>
        <v>824</v>
      </c>
      <c r="N19" s="16">
        <v>0</v>
      </c>
      <c r="O19" s="62">
        <f t="shared" ref="O19" si="18">IF(L19=0,"0",N19/L19)</f>
        <v>0</v>
      </c>
      <c r="P19" s="42">
        <f t="shared" ref="P19" si="19">IF(L19=0,"0",(24-Q19))</f>
        <v>5</v>
      </c>
      <c r="Q19" s="43">
        <f t="shared" ref="Q19" si="20">SUM(R19:AA19)</f>
        <v>19</v>
      </c>
      <c r="R19" s="7"/>
      <c r="S19" s="6"/>
      <c r="T19" s="17">
        <v>7</v>
      </c>
      <c r="U19" s="17"/>
      <c r="V19" s="18">
        <v>12</v>
      </c>
      <c r="W19" s="19"/>
      <c r="X19" s="17"/>
      <c r="Y19" s="20"/>
      <c r="Z19" s="20"/>
      <c r="AA19" s="21"/>
      <c r="AB19" s="8">
        <f t="shared" ref="AB19" si="21">IF(J19=0,"0",(L19/J19))</f>
        <v>1</v>
      </c>
      <c r="AC19" s="9">
        <f t="shared" ref="AC19" si="22">IF(P19=0,"0",(P19/24))</f>
        <v>0.20833333333333334</v>
      </c>
      <c r="AD19" s="10">
        <f t="shared" ref="AD19" si="23">AC19*AB19*(1-O19)</f>
        <v>0.20833333333333334</v>
      </c>
      <c r="AE19" s="39">
        <f t="shared" si="7"/>
        <v>0.19166666666666668</v>
      </c>
      <c r="AF19" s="93">
        <f t="shared" ref="AF19" si="24">A19</f>
        <v>12</v>
      </c>
    </row>
    <row r="20" spans="1:32" ht="27" customHeight="1">
      <c r="A20" s="109">
        <v>13</v>
      </c>
      <c r="B20" s="11" t="s">
        <v>57</v>
      </c>
      <c r="C20" s="37" t="s">
        <v>118</v>
      </c>
      <c r="D20" s="55" t="s">
        <v>146</v>
      </c>
      <c r="E20" s="57" t="s">
        <v>320</v>
      </c>
      <c r="F20" s="12" t="s">
        <v>128</v>
      </c>
      <c r="G20" s="36">
        <v>1</v>
      </c>
      <c r="H20" s="38">
        <v>24</v>
      </c>
      <c r="I20" s="7">
        <v>1000</v>
      </c>
      <c r="J20" s="5">
        <v>1200</v>
      </c>
      <c r="K20" s="15">
        <f>L20</f>
        <v>1200</v>
      </c>
      <c r="L20" s="15">
        <v>1200</v>
      </c>
      <c r="M20" s="16">
        <f t="shared" si="0"/>
        <v>1200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/>
      <c r="T20" s="17"/>
      <c r="U20" s="17"/>
      <c r="V20" s="18"/>
      <c r="W20" s="19">
        <v>14</v>
      </c>
      <c r="X20" s="17"/>
      <c r="Y20" s="20"/>
      <c r="Z20" s="20"/>
      <c r="AA20" s="21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9">
        <f t="shared" si="7"/>
        <v>0.19166666666666668</v>
      </c>
      <c r="AF20" s="93">
        <f t="shared" si="8"/>
        <v>13</v>
      </c>
    </row>
    <row r="21" spans="1:32" ht="27" customHeight="1">
      <c r="A21" s="109">
        <v>14</v>
      </c>
      <c r="B21" s="11" t="s">
        <v>57</v>
      </c>
      <c r="C21" s="11" t="s">
        <v>114</v>
      </c>
      <c r="D21" s="55" t="s">
        <v>117</v>
      </c>
      <c r="E21" s="57" t="s">
        <v>302</v>
      </c>
      <c r="F21" s="12" t="s">
        <v>182</v>
      </c>
      <c r="G21" s="36">
        <v>1</v>
      </c>
      <c r="H21" s="13">
        <v>24</v>
      </c>
      <c r="I21" s="7">
        <v>500</v>
      </c>
      <c r="J21" s="14">
        <v>804</v>
      </c>
      <c r="K21" s="15">
        <f>L21+804</f>
        <v>804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0.19166666666666668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115</v>
      </c>
      <c r="D22" s="55"/>
      <c r="E22" s="56" t="s">
        <v>132</v>
      </c>
      <c r="F22" s="12" t="s">
        <v>116</v>
      </c>
      <c r="G22" s="12">
        <v>4</v>
      </c>
      <c r="H22" s="38">
        <v>20</v>
      </c>
      <c r="I22" s="7">
        <v>300000</v>
      </c>
      <c r="J22" s="14">
        <v>2476</v>
      </c>
      <c r="K22" s="15">
        <f>L22+21192+22576+21736+23624+23264+21924+2476</f>
        <v>136792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0.19166666666666668</v>
      </c>
      <c r="AF22" s="93">
        <f t="shared" si="8"/>
        <v>15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5">
        <f t="shared" ref="I23:N23" si="25">SUM(I6:I22)</f>
        <v>358400</v>
      </c>
      <c r="J23" s="22">
        <f t="shared" si="25"/>
        <v>31279</v>
      </c>
      <c r="K23" s="23">
        <f t="shared" si="25"/>
        <v>220671</v>
      </c>
      <c r="L23" s="24">
        <f t="shared" si="25"/>
        <v>14593</v>
      </c>
      <c r="M23" s="23">
        <f t="shared" si="25"/>
        <v>14593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69</v>
      </c>
      <c r="Q23" s="46">
        <f t="shared" si="26"/>
        <v>339</v>
      </c>
      <c r="R23" s="26">
        <f t="shared" si="26"/>
        <v>24</v>
      </c>
      <c r="S23" s="27">
        <f t="shared" si="26"/>
        <v>24</v>
      </c>
      <c r="T23" s="27">
        <f t="shared" si="26"/>
        <v>7</v>
      </c>
      <c r="U23" s="27">
        <f t="shared" si="26"/>
        <v>0</v>
      </c>
      <c r="V23" s="28">
        <f t="shared" si="26"/>
        <v>36</v>
      </c>
      <c r="W23" s="29">
        <f t="shared" si="26"/>
        <v>248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0.6</v>
      </c>
      <c r="AC23" s="4">
        <f>SUM(AC6:AC22)/15</f>
        <v>0.19166666666666668</v>
      </c>
      <c r="AD23" s="4">
        <f>SUM(AD6:AD22)/15</f>
        <v>0.19166666666666668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47" t="s">
        <v>45</v>
      </c>
      <c r="B50" s="447"/>
      <c r="C50" s="447"/>
      <c r="D50" s="447"/>
      <c r="E50" s="447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48" t="s">
        <v>332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335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237" t="s">
        <v>46</v>
      </c>
      <c r="D52" s="237" t="s">
        <v>47</v>
      </c>
      <c r="E52" s="237" t="s">
        <v>108</v>
      </c>
      <c r="F52" s="455" t="s">
        <v>107</v>
      </c>
      <c r="G52" s="455"/>
      <c r="H52" s="455"/>
      <c r="I52" s="455"/>
      <c r="J52" s="455"/>
      <c r="K52" s="455"/>
      <c r="L52" s="455"/>
      <c r="M52" s="456"/>
      <c r="N52" s="73" t="s">
        <v>112</v>
      </c>
      <c r="O52" s="237" t="s">
        <v>46</v>
      </c>
      <c r="P52" s="457" t="s">
        <v>47</v>
      </c>
      <c r="Q52" s="458"/>
      <c r="R52" s="457" t="s">
        <v>38</v>
      </c>
      <c r="S52" s="459"/>
      <c r="T52" s="459"/>
      <c r="U52" s="458"/>
      <c r="V52" s="457" t="s">
        <v>48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30" t="s">
        <v>118</v>
      </c>
      <c r="B53" s="431"/>
      <c r="C53" s="234" t="s">
        <v>333</v>
      </c>
      <c r="D53" s="234" t="s">
        <v>152</v>
      </c>
      <c r="E53" s="234" t="s">
        <v>334</v>
      </c>
      <c r="F53" s="483" t="s">
        <v>338</v>
      </c>
      <c r="G53" s="484"/>
      <c r="H53" s="484"/>
      <c r="I53" s="484"/>
      <c r="J53" s="484"/>
      <c r="K53" s="484"/>
      <c r="L53" s="484"/>
      <c r="M53" s="485"/>
      <c r="N53" s="233" t="s">
        <v>114</v>
      </c>
      <c r="O53" s="124" t="s">
        <v>223</v>
      </c>
      <c r="P53" s="439" t="s">
        <v>149</v>
      </c>
      <c r="Q53" s="440"/>
      <c r="R53" s="441" t="s">
        <v>336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330</v>
      </c>
      <c r="B54" s="431"/>
      <c r="C54" s="234" t="s">
        <v>189</v>
      </c>
      <c r="D54" s="234" t="s">
        <v>323</v>
      </c>
      <c r="E54" s="234" t="s">
        <v>321</v>
      </c>
      <c r="F54" s="483" t="s">
        <v>119</v>
      </c>
      <c r="G54" s="484"/>
      <c r="H54" s="484"/>
      <c r="I54" s="484"/>
      <c r="J54" s="484"/>
      <c r="K54" s="484"/>
      <c r="L54" s="484"/>
      <c r="M54" s="485"/>
      <c r="N54" s="233" t="s">
        <v>126</v>
      </c>
      <c r="O54" s="124" t="s">
        <v>123</v>
      </c>
      <c r="P54" s="439" t="s">
        <v>120</v>
      </c>
      <c r="Q54" s="440"/>
      <c r="R54" s="431" t="s">
        <v>159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114</v>
      </c>
      <c r="B55" s="431"/>
      <c r="C55" s="234" t="s">
        <v>189</v>
      </c>
      <c r="D55" s="234" t="s">
        <v>331</v>
      </c>
      <c r="E55" s="234" t="s">
        <v>324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233" t="s">
        <v>126</v>
      </c>
      <c r="O55" s="124" t="s">
        <v>202</v>
      </c>
      <c r="P55" s="439" t="s">
        <v>121</v>
      </c>
      <c r="Q55" s="440"/>
      <c r="R55" s="431" t="s">
        <v>337</v>
      </c>
      <c r="S55" s="431"/>
      <c r="T55" s="431"/>
      <c r="U55" s="431"/>
      <c r="V55" s="422" t="s">
        <v>119</v>
      </c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234"/>
      <c r="D56" s="234"/>
      <c r="E56" s="234"/>
      <c r="F56" s="483"/>
      <c r="G56" s="484"/>
      <c r="H56" s="484"/>
      <c r="I56" s="484"/>
      <c r="J56" s="484"/>
      <c r="K56" s="484"/>
      <c r="L56" s="484"/>
      <c r="M56" s="485"/>
      <c r="N56" s="233" t="s">
        <v>126</v>
      </c>
      <c r="O56" s="124" t="s">
        <v>125</v>
      </c>
      <c r="P56" s="439" t="s">
        <v>117</v>
      </c>
      <c r="Q56" s="440"/>
      <c r="R56" s="431" t="s">
        <v>283</v>
      </c>
      <c r="S56" s="431"/>
      <c r="T56" s="431"/>
      <c r="U56" s="431"/>
      <c r="V56" s="422" t="s">
        <v>119</v>
      </c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34"/>
      <c r="D57" s="234"/>
      <c r="E57" s="234"/>
      <c r="F57" s="483"/>
      <c r="G57" s="484"/>
      <c r="H57" s="484"/>
      <c r="I57" s="484"/>
      <c r="J57" s="484"/>
      <c r="K57" s="484"/>
      <c r="L57" s="484"/>
      <c r="M57" s="485"/>
      <c r="N57" s="233" t="s">
        <v>339</v>
      </c>
      <c r="O57" s="124" t="s">
        <v>333</v>
      </c>
      <c r="P57" s="431" t="s">
        <v>340</v>
      </c>
      <c r="Q57" s="431"/>
      <c r="R57" s="431" t="s">
        <v>334</v>
      </c>
      <c r="S57" s="431"/>
      <c r="T57" s="431"/>
      <c r="U57" s="431"/>
      <c r="V57" s="422" t="s">
        <v>341</v>
      </c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34"/>
      <c r="D58" s="234"/>
      <c r="E58" s="234"/>
      <c r="F58" s="422"/>
      <c r="G58" s="422"/>
      <c r="H58" s="422"/>
      <c r="I58" s="422"/>
      <c r="J58" s="422"/>
      <c r="K58" s="422"/>
      <c r="L58" s="422"/>
      <c r="M58" s="432"/>
      <c r="N58" s="233" t="s">
        <v>126</v>
      </c>
      <c r="O58" s="124" t="s">
        <v>342</v>
      </c>
      <c r="P58" s="439" t="s">
        <v>117</v>
      </c>
      <c r="Q58" s="440"/>
      <c r="R58" s="431" t="s">
        <v>343</v>
      </c>
      <c r="S58" s="431"/>
      <c r="T58" s="431"/>
      <c r="U58" s="431"/>
      <c r="V58" s="422" t="s">
        <v>119</v>
      </c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34"/>
      <c r="D59" s="234"/>
      <c r="E59" s="234"/>
      <c r="F59" s="422"/>
      <c r="G59" s="422"/>
      <c r="H59" s="422"/>
      <c r="I59" s="422"/>
      <c r="J59" s="422"/>
      <c r="K59" s="422"/>
      <c r="L59" s="422"/>
      <c r="M59" s="432"/>
      <c r="N59" s="233"/>
      <c r="O59" s="124"/>
      <c r="P59" s="439"/>
      <c r="Q59" s="440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</row>
    <row r="60" spans="1:32" ht="27" customHeight="1">
      <c r="A60" s="430"/>
      <c r="B60" s="431"/>
      <c r="C60" s="234"/>
      <c r="D60" s="234"/>
      <c r="E60" s="234"/>
      <c r="F60" s="422"/>
      <c r="G60" s="422"/>
      <c r="H60" s="422"/>
      <c r="I60" s="422"/>
      <c r="J60" s="422"/>
      <c r="K60" s="422"/>
      <c r="L60" s="422"/>
      <c r="M60" s="432"/>
      <c r="N60" s="233"/>
      <c r="O60" s="124"/>
      <c r="P60" s="439"/>
      <c r="Q60" s="440"/>
      <c r="R60" s="431"/>
      <c r="S60" s="431"/>
      <c r="T60" s="431"/>
      <c r="U60" s="431"/>
      <c r="V60" s="422"/>
      <c r="W60" s="422"/>
      <c r="X60" s="422"/>
      <c r="Y60" s="422"/>
      <c r="Z60" s="422"/>
      <c r="AA60" s="422"/>
      <c r="AB60" s="422"/>
      <c r="AC60" s="422"/>
      <c r="AD60" s="432"/>
    </row>
    <row r="61" spans="1:32" ht="27" customHeight="1">
      <c r="A61" s="430"/>
      <c r="B61" s="431"/>
      <c r="C61" s="234"/>
      <c r="D61" s="234"/>
      <c r="E61" s="234"/>
      <c r="F61" s="422"/>
      <c r="G61" s="422"/>
      <c r="H61" s="422"/>
      <c r="I61" s="422"/>
      <c r="J61" s="422"/>
      <c r="K61" s="422"/>
      <c r="L61" s="422"/>
      <c r="M61" s="432"/>
      <c r="N61" s="233"/>
      <c r="O61" s="124"/>
      <c r="P61" s="431"/>
      <c r="Q61" s="431"/>
      <c r="R61" s="431"/>
      <c r="S61" s="431"/>
      <c r="T61" s="431"/>
      <c r="U61" s="431"/>
      <c r="V61" s="422"/>
      <c r="W61" s="422"/>
      <c r="X61" s="422"/>
      <c r="Y61" s="422"/>
      <c r="Z61" s="422"/>
      <c r="AA61" s="422"/>
      <c r="AB61" s="422"/>
      <c r="AC61" s="422"/>
      <c r="AD61" s="432"/>
      <c r="AF61" s="93">
        <f>8*3000</f>
        <v>24000</v>
      </c>
    </row>
    <row r="62" spans="1:32" ht="27" customHeight="1" thickBot="1">
      <c r="A62" s="433"/>
      <c r="B62" s="434"/>
      <c r="C62" s="236"/>
      <c r="D62" s="236"/>
      <c r="E62" s="236"/>
      <c r="F62" s="435"/>
      <c r="G62" s="435"/>
      <c r="H62" s="435"/>
      <c r="I62" s="435"/>
      <c r="J62" s="435"/>
      <c r="K62" s="435"/>
      <c r="L62" s="435"/>
      <c r="M62" s="436"/>
      <c r="N62" s="235"/>
      <c r="O62" s="120"/>
      <c r="P62" s="434"/>
      <c r="Q62" s="434"/>
      <c r="R62" s="434"/>
      <c r="S62" s="434"/>
      <c r="T62" s="434"/>
      <c r="U62" s="434"/>
      <c r="V62" s="437"/>
      <c r="W62" s="437"/>
      <c r="X62" s="437"/>
      <c r="Y62" s="437"/>
      <c r="Z62" s="437"/>
      <c r="AA62" s="437"/>
      <c r="AB62" s="437"/>
      <c r="AC62" s="437"/>
      <c r="AD62" s="438"/>
      <c r="AF62" s="93">
        <f>16*3000</f>
        <v>48000</v>
      </c>
    </row>
    <row r="63" spans="1:32" ht="27.75" thickBot="1">
      <c r="A63" s="428" t="s">
        <v>344</v>
      </c>
      <c r="B63" s="428"/>
      <c r="C63" s="428"/>
      <c r="D63" s="428"/>
      <c r="E63" s="428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29" t="s">
        <v>113</v>
      </c>
      <c r="B64" s="426"/>
      <c r="C64" s="232" t="s">
        <v>2</v>
      </c>
      <c r="D64" s="232" t="s">
        <v>37</v>
      </c>
      <c r="E64" s="232" t="s">
        <v>3</v>
      </c>
      <c r="F64" s="426" t="s">
        <v>110</v>
      </c>
      <c r="G64" s="426"/>
      <c r="H64" s="426"/>
      <c r="I64" s="426"/>
      <c r="J64" s="426"/>
      <c r="K64" s="426" t="s">
        <v>39</v>
      </c>
      <c r="L64" s="426"/>
      <c r="M64" s="232" t="s">
        <v>40</v>
      </c>
      <c r="N64" s="426" t="s">
        <v>41</v>
      </c>
      <c r="O64" s="426"/>
      <c r="P64" s="423" t="s">
        <v>42</v>
      </c>
      <c r="Q64" s="425"/>
      <c r="R64" s="423" t="s">
        <v>43</v>
      </c>
      <c r="S64" s="424"/>
      <c r="T64" s="424"/>
      <c r="U64" s="424"/>
      <c r="V64" s="424"/>
      <c r="W64" s="424"/>
      <c r="X64" s="424"/>
      <c r="Y64" s="424"/>
      <c r="Z64" s="424"/>
      <c r="AA64" s="425"/>
      <c r="AB64" s="426" t="s">
        <v>44</v>
      </c>
      <c r="AC64" s="426"/>
      <c r="AD64" s="427"/>
      <c r="AF64" s="93">
        <f>SUM(AF61:AF63)</f>
        <v>96000</v>
      </c>
    </row>
    <row r="65" spans="1:32" ht="25.5" customHeight="1">
      <c r="A65" s="418">
        <v>1</v>
      </c>
      <c r="B65" s="419"/>
      <c r="C65" s="123" t="s">
        <v>118</v>
      </c>
      <c r="D65" s="228"/>
      <c r="E65" s="231" t="s">
        <v>146</v>
      </c>
      <c r="F65" s="420" t="s">
        <v>320</v>
      </c>
      <c r="G65" s="412"/>
      <c r="H65" s="412"/>
      <c r="I65" s="412"/>
      <c r="J65" s="412"/>
      <c r="K65" s="412" t="s">
        <v>128</v>
      </c>
      <c r="L65" s="412"/>
      <c r="M65" s="54" t="s">
        <v>192</v>
      </c>
      <c r="N65" s="412">
        <v>13</v>
      </c>
      <c r="O65" s="412"/>
      <c r="P65" s="421">
        <v>30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2</v>
      </c>
      <c r="B66" s="419"/>
      <c r="C66" s="123" t="s">
        <v>114</v>
      </c>
      <c r="D66" s="228"/>
      <c r="E66" s="231" t="s">
        <v>346</v>
      </c>
      <c r="F66" s="420" t="s">
        <v>345</v>
      </c>
      <c r="G66" s="412"/>
      <c r="H66" s="412"/>
      <c r="I66" s="412"/>
      <c r="J66" s="412"/>
      <c r="K66" s="412" t="s">
        <v>347</v>
      </c>
      <c r="L66" s="412"/>
      <c r="M66" s="54" t="s">
        <v>348</v>
      </c>
      <c r="N66" s="412">
        <v>11</v>
      </c>
      <c r="O66" s="412"/>
      <c r="P66" s="421" t="s">
        <v>349</v>
      </c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3</v>
      </c>
      <c r="B67" s="419"/>
      <c r="C67" s="123"/>
      <c r="D67" s="228"/>
      <c r="E67" s="231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4</v>
      </c>
      <c r="B68" s="419"/>
      <c r="C68" s="123"/>
      <c r="D68" s="228"/>
      <c r="E68" s="231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5</v>
      </c>
      <c r="B69" s="419"/>
      <c r="C69" s="123"/>
      <c r="D69" s="228"/>
      <c r="E69" s="231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6</v>
      </c>
      <c r="B70" s="419"/>
      <c r="C70" s="123"/>
      <c r="D70" s="228"/>
      <c r="E70" s="231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5.5" customHeight="1">
      <c r="A71" s="418">
        <v>7</v>
      </c>
      <c r="B71" s="419"/>
      <c r="C71" s="123"/>
      <c r="D71" s="228"/>
      <c r="E71" s="231"/>
      <c r="F71" s="420"/>
      <c r="G71" s="412"/>
      <c r="H71" s="412"/>
      <c r="I71" s="412"/>
      <c r="J71" s="412"/>
      <c r="K71" s="412"/>
      <c r="L71" s="412"/>
      <c r="M71" s="54"/>
      <c r="N71" s="412"/>
      <c r="O71" s="412"/>
      <c r="P71" s="421"/>
      <c r="Q71" s="421"/>
      <c r="R71" s="422"/>
      <c r="S71" s="422"/>
      <c r="T71" s="422"/>
      <c r="U71" s="422"/>
      <c r="V71" s="422"/>
      <c r="W71" s="422"/>
      <c r="X71" s="422"/>
      <c r="Y71" s="422"/>
      <c r="Z71" s="422"/>
      <c r="AA71" s="422"/>
      <c r="AB71" s="412"/>
      <c r="AC71" s="412"/>
      <c r="AD71" s="413"/>
      <c r="AF71" s="53"/>
    </row>
    <row r="72" spans="1:32" ht="25.5" customHeight="1">
      <c r="A72" s="418">
        <v>8</v>
      </c>
      <c r="B72" s="419"/>
      <c r="C72" s="123"/>
      <c r="D72" s="228"/>
      <c r="E72" s="231"/>
      <c r="F72" s="420"/>
      <c r="G72" s="412"/>
      <c r="H72" s="412"/>
      <c r="I72" s="412"/>
      <c r="J72" s="412"/>
      <c r="K72" s="412"/>
      <c r="L72" s="412"/>
      <c r="M72" s="54"/>
      <c r="N72" s="412"/>
      <c r="O72" s="412"/>
      <c r="P72" s="421"/>
      <c r="Q72" s="421"/>
      <c r="R72" s="422"/>
      <c r="S72" s="422"/>
      <c r="T72" s="422"/>
      <c r="U72" s="422"/>
      <c r="V72" s="422"/>
      <c r="W72" s="422"/>
      <c r="X72" s="422"/>
      <c r="Y72" s="422"/>
      <c r="Z72" s="422"/>
      <c r="AA72" s="422"/>
      <c r="AB72" s="412"/>
      <c r="AC72" s="412"/>
      <c r="AD72" s="413"/>
      <c r="AF72" s="53"/>
    </row>
    <row r="73" spans="1:32" ht="26.25" customHeight="1" thickBot="1">
      <c r="A73" s="392" t="s">
        <v>350</v>
      </c>
      <c r="B73" s="392"/>
      <c r="C73" s="392"/>
      <c r="D73" s="392"/>
      <c r="E73" s="392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393" t="s">
        <v>113</v>
      </c>
      <c r="B74" s="394"/>
      <c r="C74" s="230" t="s">
        <v>2</v>
      </c>
      <c r="D74" s="230" t="s">
        <v>37</v>
      </c>
      <c r="E74" s="230" t="s">
        <v>3</v>
      </c>
      <c r="F74" s="394" t="s">
        <v>38</v>
      </c>
      <c r="G74" s="394"/>
      <c r="H74" s="394"/>
      <c r="I74" s="394"/>
      <c r="J74" s="394"/>
      <c r="K74" s="414" t="s">
        <v>58</v>
      </c>
      <c r="L74" s="415"/>
      <c r="M74" s="415"/>
      <c r="N74" s="415"/>
      <c r="O74" s="415"/>
      <c r="P74" s="415"/>
      <c r="Q74" s="415"/>
      <c r="R74" s="415"/>
      <c r="S74" s="416"/>
      <c r="T74" s="394" t="s">
        <v>49</v>
      </c>
      <c r="U74" s="394"/>
      <c r="V74" s="414" t="s">
        <v>50</v>
      </c>
      <c r="W74" s="416"/>
      <c r="X74" s="415" t="s">
        <v>51</v>
      </c>
      <c r="Y74" s="415"/>
      <c r="Z74" s="415"/>
      <c r="AA74" s="415"/>
      <c r="AB74" s="415"/>
      <c r="AC74" s="415"/>
      <c r="AD74" s="417"/>
      <c r="AF74" s="53"/>
    </row>
    <row r="75" spans="1:32" ht="33.75" customHeight="1">
      <c r="A75" s="386">
        <v>1</v>
      </c>
      <c r="B75" s="387"/>
      <c r="C75" s="229" t="s">
        <v>114</v>
      </c>
      <c r="D75" s="229"/>
      <c r="E75" s="71" t="s">
        <v>149</v>
      </c>
      <c r="F75" s="401" t="s">
        <v>147</v>
      </c>
      <c r="G75" s="402"/>
      <c r="H75" s="402"/>
      <c r="I75" s="402"/>
      <c r="J75" s="403"/>
      <c r="K75" s="404" t="s">
        <v>153</v>
      </c>
      <c r="L75" s="405"/>
      <c r="M75" s="405"/>
      <c r="N75" s="405"/>
      <c r="O75" s="405"/>
      <c r="P75" s="405"/>
      <c r="Q75" s="405"/>
      <c r="R75" s="405"/>
      <c r="S75" s="406"/>
      <c r="T75" s="407">
        <v>43384</v>
      </c>
      <c r="U75" s="408"/>
      <c r="V75" s="409"/>
      <c r="W75" s="409"/>
      <c r="X75" s="410"/>
      <c r="Y75" s="410"/>
      <c r="Z75" s="410"/>
      <c r="AA75" s="410"/>
      <c r="AB75" s="410"/>
      <c r="AC75" s="410"/>
      <c r="AD75" s="411"/>
      <c r="AF75" s="53"/>
    </row>
    <row r="76" spans="1:32" ht="30" customHeight="1">
      <c r="A76" s="379">
        <f>A75+1</f>
        <v>2</v>
      </c>
      <c r="B76" s="380"/>
      <c r="C76" s="228"/>
      <c r="D76" s="228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ref="A77:A83" si="27">A76+1</f>
        <v>3</v>
      </c>
      <c r="B77" s="380"/>
      <c r="C77" s="228"/>
      <c r="D77" s="228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27"/>
        <v>4</v>
      </c>
      <c r="B78" s="380"/>
      <c r="C78" s="228"/>
      <c r="D78" s="228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27"/>
        <v>5</v>
      </c>
      <c r="B79" s="380"/>
      <c r="C79" s="228"/>
      <c r="D79" s="228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27"/>
        <v>6</v>
      </c>
      <c r="B80" s="380"/>
      <c r="C80" s="228"/>
      <c r="D80" s="228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27"/>
        <v>7</v>
      </c>
      <c r="B81" s="380"/>
      <c r="C81" s="228"/>
      <c r="D81" s="228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0" customHeight="1">
      <c r="A82" s="379">
        <f t="shared" si="27"/>
        <v>8</v>
      </c>
      <c r="B82" s="380"/>
      <c r="C82" s="228"/>
      <c r="D82" s="228"/>
      <c r="E82" s="35"/>
      <c r="F82" s="380"/>
      <c r="G82" s="380"/>
      <c r="H82" s="380"/>
      <c r="I82" s="380"/>
      <c r="J82" s="380"/>
      <c r="K82" s="395"/>
      <c r="L82" s="396"/>
      <c r="M82" s="396"/>
      <c r="N82" s="396"/>
      <c r="O82" s="396"/>
      <c r="P82" s="396"/>
      <c r="Q82" s="396"/>
      <c r="R82" s="396"/>
      <c r="S82" s="397"/>
      <c r="T82" s="398"/>
      <c r="U82" s="398"/>
      <c r="V82" s="398"/>
      <c r="W82" s="398"/>
      <c r="X82" s="399"/>
      <c r="Y82" s="399"/>
      <c r="Z82" s="399"/>
      <c r="AA82" s="399"/>
      <c r="AB82" s="399"/>
      <c r="AC82" s="399"/>
      <c r="AD82" s="400"/>
      <c r="AF82" s="53"/>
    </row>
    <row r="83" spans="1:32" ht="30" customHeight="1">
      <c r="A83" s="379">
        <f t="shared" si="27"/>
        <v>9</v>
      </c>
      <c r="B83" s="380"/>
      <c r="C83" s="228"/>
      <c r="D83" s="228"/>
      <c r="E83" s="35"/>
      <c r="F83" s="380"/>
      <c r="G83" s="380"/>
      <c r="H83" s="380"/>
      <c r="I83" s="380"/>
      <c r="J83" s="380"/>
      <c r="K83" s="395"/>
      <c r="L83" s="396"/>
      <c r="M83" s="396"/>
      <c r="N83" s="396"/>
      <c r="O83" s="396"/>
      <c r="P83" s="396"/>
      <c r="Q83" s="396"/>
      <c r="R83" s="396"/>
      <c r="S83" s="397"/>
      <c r="T83" s="398"/>
      <c r="U83" s="398"/>
      <c r="V83" s="398"/>
      <c r="W83" s="398"/>
      <c r="X83" s="399"/>
      <c r="Y83" s="399"/>
      <c r="Z83" s="399"/>
      <c r="AA83" s="399"/>
      <c r="AB83" s="399"/>
      <c r="AC83" s="399"/>
      <c r="AD83" s="400"/>
      <c r="AF83" s="53"/>
    </row>
    <row r="84" spans="1:32" ht="36" thickBot="1">
      <c r="A84" s="392" t="s">
        <v>351</v>
      </c>
      <c r="B84" s="392"/>
      <c r="C84" s="392"/>
      <c r="D84" s="392"/>
      <c r="E84" s="392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393" t="s">
        <v>113</v>
      </c>
      <c r="B85" s="394"/>
      <c r="C85" s="384" t="s">
        <v>52</v>
      </c>
      <c r="D85" s="384"/>
      <c r="E85" s="384" t="s">
        <v>53</v>
      </c>
      <c r="F85" s="384"/>
      <c r="G85" s="384"/>
      <c r="H85" s="384"/>
      <c r="I85" s="384"/>
      <c r="J85" s="384"/>
      <c r="K85" s="384" t="s">
        <v>54</v>
      </c>
      <c r="L85" s="384"/>
      <c r="M85" s="384"/>
      <c r="N85" s="384"/>
      <c r="O85" s="384"/>
      <c r="P85" s="384"/>
      <c r="Q85" s="384"/>
      <c r="R85" s="384"/>
      <c r="S85" s="384"/>
      <c r="T85" s="384" t="s">
        <v>55</v>
      </c>
      <c r="U85" s="384"/>
      <c r="V85" s="384" t="s">
        <v>56</v>
      </c>
      <c r="W85" s="384"/>
      <c r="X85" s="384"/>
      <c r="Y85" s="384" t="s">
        <v>51</v>
      </c>
      <c r="Z85" s="384"/>
      <c r="AA85" s="384"/>
      <c r="AB85" s="384"/>
      <c r="AC85" s="384"/>
      <c r="AD85" s="385"/>
      <c r="AF85" s="53"/>
    </row>
    <row r="86" spans="1:32" ht="30.75" customHeight="1">
      <c r="A86" s="386">
        <v>1</v>
      </c>
      <c r="B86" s="387"/>
      <c r="C86" s="388"/>
      <c r="D86" s="388"/>
      <c r="E86" s="388"/>
      <c r="F86" s="388"/>
      <c r="G86" s="388"/>
      <c r="H86" s="388"/>
      <c r="I86" s="388"/>
      <c r="J86" s="388"/>
      <c r="K86" s="388"/>
      <c r="L86" s="388"/>
      <c r="M86" s="388"/>
      <c r="N86" s="388"/>
      <c r="O86" s="388"/>
      <c r="P86" s="388"/>
      <c r="Q86" s="388"/>
      <c r="R86" s="388"/>
      <c r="S86" s="388"/>
      <c r="T86" s="388"/>
      <c r="U86" s="388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  <row r="87" spans="1:32" ht="30.75" customHeight="1">
      <c r="A87" s="379">
        <v>2</v>
      </c>
      <c r="B87" s="380"/>
      <c r="C87" s="381"/>
      <c r="D87" s="381"/>
      <c r="E87" s="381"/>
      <c r="F87" s="381"/>
      <c r="G87" s="381"/>
      <c r="H87" s="381"/>
      <c r="I87" s="381"/>
      <c r="J87" s="381"/>
      <c r="K87" s="381"/>
      <c r="L87" s="381"/>
      <c r="M87" s="381"/>
      <c r="N87" s="381"/>
      <c r="O87" s="381"/>
      <c r="P87" s="381"/>
      <c r="Q87" s="381"/>
      <c r="R87" s="381"/>
      <c r="S87" s="381"/>
      <c r="T87" s="382"/>
      <c r="U87" s="382"/>
      <c r="V87" s="383"/>
      <c r="W87" s="383"/>
      <c r="X87" s="383"/>
      <c r="Y87" s="372"/>
      <c r="Z87" s="372"/>
      <c r="AA87" s="372"/>
      <c r="AB87" s="372"/>
      <c r="AC87" s="372"/>
      <c r="AD87" s="373"/>
      <c r="AF87" s="53"/>
    </row>
    <row r="88" spans="1:32" ht="30.75" customHeight="1" thickBot="1">
      <c r="A88" s="374">
        <v>3</v>
      </c>
      <c r="B88" s="375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7"/>
      <c r="Z88" s="377"/>
      <c r="AA88" s="377"/>
      <c r="AB88" s="377"/>
      <c r="AC88" s="377"/>
      <c r="AD88" s="378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E366-DFD3-4810-B1B3-F268280786B9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352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49" t="s">
        <v>17</v>
      </c>
      <c r="L5" s="249" t="s">
        <v>18</v>
      </c>
      <c r="M5" s="249" t="s">
        <v>19</v>
      </c>
      <c r="N5" s="24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0.2277777777777778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0.2277777777777778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114</v>
      </c>
      <c r="D8" s="55" t="s">
        <v>149</v>
      </c>
      <c r="E8" s="57" t="s">
        <v>353</v>
      </c>
      <c r="F8" s="33" t="s">
        <v>184</v>
      </c>
      <c r="G8" s="36">
        <v>1</v>
      </c>
      <c r="H8" s="38">
        <v>25</v>
      </c>
      <c r="I8" s="7">
        <v>16000</v>
      </c>
      <c r="J8" s="5">
        <v>266</v>
      </c>
      <c r="K8" s="15">
        <f>L8</f>
        <v>266</v>
      </c>
      <c r="L8" s="15">
        <v>266</v>
      </c>
      <c r="M8" s="16">
        <f t="shared" si="0"/>
        <v>266</v>
      </c>
      <c r="N8" s="16">
        <v>0</v>
      </c>
      <c r="O8" s="62">
        <f t="shared" si="1"/>
        <v>0</v>
      </c>
      <c r="P8" s="42">
        <f t="shared" si="2"/>
        <v>2</v>
      </c>
      <c r="Q8" s="43">
        <f t="shared" si="3"/>
        <v>22</v>
      </c>
      <c r="R8" s="7"/>
      <c r="S8" s="6">
        <v>10</v>
      </c>
      <c r="T8" s="17"/>
      <c r="U8" s="17"/>
      <c r="V8" s="18">
        <v>12</v>
      </c>
      <c r="W8" s="19"/>
      <c r="X8" s="17"/>
      <c r="Y8" s="20"/>
      <c r="Z8" s="20"/>
      <c r="AA8" s="21"/>
      <c r="AB8" s="8">
        <f t="shared" si="4"/>
        <v>1</v>
      </c>
      <c r="AC8" s="9">
        <f t="shared" si="5"/>
        <v>8.3333333333333329E-2</v>
      </c>
      <c r="AD8" s="10">
        <f t="shared" si="6"/>
        <v>8.3333333333333329E-2</v>
      </c>
      <c r="AE8" s="39">
        <f t="shared" si="7"/>
        <v>0.2277777777777778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300</v>
      </c>
      <c r="F9" s="33" t="s">
        <v>128</v>
      </c>
      <c r="G9" s="36">
        <v>1</v>
      </c>
      <c r="H9" s="38">
        <v>25</v>
      </c>
      <c r="I9" s="7">
        <v>1000</v>
      </c>
      <c r="J9" s="5">
        <v>1633</v>
      </c>
      <c r="K9" s="15">
        <f>L9+1633</f>
        <v>1633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0.2277777777777778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159</v>
      </c>
      <c r="F10" s="12">
        <v>7301</v>
      </c>
      <c r="G10" s="12">
        <v>1</v>
      </c>
      <c r="H10" s="13">
        <v>25</v>
      </c>
      <c r="I10" s="7">
        <v>20000</v>
      </c>
      <c r="J10" s="14">
        <v>3001</v>
      </c>
      <c r="K10" s="15">
        <f>L10</f>
        <v>3001</v>
      </c>
      <c r="L10" s="15">
        <v>3001</v>
      </c>
      <c r="M10" s="16">
        <f t="shared" si="0"/>
        <v>3001</v>
      </c>
      <c r="N10" s="16">
        <v>0</v>
      </c>
      <c r="O10" s="62">
        <f t="shared" si="1"/>
        <v>0</v>
      </c>
      <c r="P10" s="42">
        <f t="shared" si="2"/>
        <v>12</v>
      </c>
      <c r="Q10" s="43">
        <f t="shared" si="3"/>
        <v>12</v>
      </c>
      <c r="R10" s="7"/>
      <c r="S10" s="6"/>
      <c r="T10" s="17"/>
      <c r="U10" s="17"/>
      <c r="V10" s="18">
        <v>12</v>
      </c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0.5</v>
      </c>
      <c r="AD10" s="10">
        <f t="shared" si="6"/>
        <v>0.5</v>
      </c>
      <c r="AE10" s="39">
        <f t="shared" si="7"/>
        <v>0.2277777777777778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337</v>
      </c>
      <c r="F11" s="12" t="s">
        <v>127</v>
      </c>
      <c r="G11" s="12">
        <v>1</v>
      </c>
      <c r="H11" s="13">
        <v>25</v>
      </c>
      <c r="I11" s="34">
        <v>30000</v>
      </c>
      <c r="J11" s="5">
        <v>2806</v>
      </c>
      <c r="K11" s="15">
        <f>L11</f>
        <v>2806</v>
      </c>
      <c r="L11" s="15">
        <v>2806</v>
      </c>
      <c r="M11" s="16">
        <f t="shared" si="0"/>
        <v>2806</v>
      </c>
      <c r="N11" s="16">
        <v>0</v>
      </c>
      <c r="O11" s="62">
        <f t="shared" si="1"/>
        <v>0</v>
      </c>
      <c r="P11" s="42">
        <f t="shared" si="2"/>
        <v>11</v>
      </c>
      <c r="Q11" s="43">
        <f t="shared" si="3"/>
        <v>13</v>
      </c>
      <c r="R11" s="7"/>
      <c r="S11" s="6"/>
      <c r="T11" s="17">
        <v>1</v>
      </c>
      <c r="U11" s="17"/>
      <c r="V11" s="18">
        <v>12</v>
      </c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0.45833333333333331</v>
      </c>
      <c r="AD11" s="10">
        <f t="shared" si="6"/>
        <v>0.45833333333333331</v>
      </c>
      <c r="AE11" s="39">
        <f t="shared" si="7"/>
        <v>0.2277777777777778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9000</v>
      </c>
      <c r="J12" s="14">
        <v>2939</v>
      </c>
      <c r="K12" s="15">
        <f>L12+1627+2645+2807+3094+2994+3109</f>
        <v>19215</v>
      </c>
      <c r="L12" s="15">
        <v>2939</v>
      </c>
      <c r="M12" s="16">
        <f t="shared" si="0"/>
        <v>2939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0.2277777777777778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283</v>
      </c>
      <c r="F13" s="12" t="s">
        <v>122</v>
      </c>
      <c r="G13" s="12">
        <v>1</v>
      </c>
      <c r="H13" s="13">
        <v>25</v>
      </c>
      <c r="I13" s="7">
        <v>3000</v>
      </c>
      <c r="J13" s="14">
        <v>2760</v>
      </c>
      <c r="K13" s="15">
        <f>L13</f>
        <v>2760</v>
      </c>
      <c r="L13" s="15">
        <v>2760</v>
      </c>
      <c r="M13" s="16">
        <f t="shared" si="0"/>
        <v>2760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>
        <v>12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9">
        <f t="shared" si="7"/>
        <v>0.2277777777777778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329</v>
      </c>
      <c r="F14" s="33" t="s">
        <v>155</v>
      </c>
      <c r="G14" s="36">
        <v>1</v>
      </c>
      <c r="H14" s="38">
        <v>25</v>
      </c>
      <c r="I14" s="7">
        <v>1000</v>
      </c>
      <c r="J14" s="5">
        <v>505</v>
      </c>
      <c r="K14" s="15">
        <f>L14+352</f>
        <v>857</v>
      </c>
      <c r="L14" s="15">
        <v>505</v>
      </c>
      <c r="M14" s="16">
        <f t="shared" si="0"/>
        <v>505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>
        <v>20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9">
        <f t="shared" si="7"/>
        <v>0.2277777777777778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0.2277777777777778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354</v>
      </c>
      <c r="F16" s="33" t="s">
        <v>184</v>
      </c>
      <c r="G16" s="36">
        <v>1</v>
      </c>
      <c r="H16" s="38">
        <v>24</v>
      </c>
      <c r="I16" s="7">
        <v>700</v>
      </c>
      <c r="J16" s="5">
        <v>810</v>
      </c>
      <c r="K16" s="15">
        <f>L16</f>
        <v>810</v>
      </c>
      <c r="L16" s="15">
        <v>810</v>
      </c>
      <c r="M16" s="16">
        <f t="shared" si="0"/>
        <v>810</v>
      </c>
      <c r="N16" s="16">
        <v>0</v>
      </c>
      <c r="O16" s="62">
        <f t="shared" si="1"/>
        <v>0</v>
      </c>
      <c r="P16" s="42">
        <f t="shared" si="2"/>
        <v>6</v>
      </c>
      <c r="Q16" s="43">
        <f t="shared" si="3"/>
        <v>18</v>
      </c>
      <c r="R16" s="7"/>
      <c r="S16" s="6"/>
      <c r="T16" s="17"/>
      <c r="U16" s="17"/>
      <c r="V16" s="18"/>
      <c r="W16" s="19">
        <v>18</v>
      </c>
      <c r="X16" s="17"/>
      <c r="Y16" s="20"/>
      <c r="Z16" s="20"/>
      <c r="AA16" s="21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9">
        <f t="shared" si="7"/>
        <v>0.2277777777777778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114</v>
      </c>
      <c r="D17" s="55" t="s">
        <v>331</v>
      </c>
      <c r="E17" s="57" t="s">
        <v>324</v>
      </c>
      <c r="F17" s="12">
        <v>8301</v>
      </c>
      <c r="G17" s="12">
        <v>1</v>
      </c>
      <c r="H17" s="13">
        <v>24</v>
      </c>
      <c r="I17" s="34">
        <v>2000</v>
      </c>
      <c r="J17" s="14">
        <v>2520</v>
      </c>
      <c r="K17" s="15">
        <f>L17+824</f>
        <v>3344</v>
      </c>
      <c r="L17" s="15">
        <v>2520</v>
      </c>
      <c r="M17" s="16">
        <f t="shared" si="0"/>
        <v>2520</v>
      </c>
      <c r="N17" s="16">
        <v>0</v>
      </c>
      <c r="O17" s="62">
        <f t="shared" si="1"/>
        <v>0</v>
      </c>
      <c r="P17" s="42">
        <f t="shared" si="2"/>
        <v>11</v>
      </c>
      <c r="Q17" s="43">
        <f t="shared" si="3"/>
        <v>13</v>
      </c>
      <c r="R17" s="7"/>
      <c r="S17" s="6"/>
      <c r="T17" s="17"/>
      <c r="U17" s="17"/>
      <c r="V17" s="18"/>
      <c r="W17" s="19">
        <v>13</v>
      </c>
      <c r="X17" s="17"/>
      <c r="Y17" s="20"/>
      <c r="Z17" s="20"/>
      <c r="AA17" s="21"/>
      <c r="AB17" s="8">
        <f t="shared" si="4"/>
        <v>1</v>
      </c>
      <c r="AC17" s="9">
        <f t="shared" si="5"/>
        <v>0.45833333333333331</v>
      </c>
      <c r="AD17" s="10">
        <f t="shared" si="6"/>
        <v>0.45833333333333331</v>
      </c>
      <c r="AE17" s="39">
        <f t="shared" si="7"/>
        <v>0.2277777777777778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118</v>
      </c>
      <c r="D18" s="55" t="s">
        <v>146</v>
      </c>
      <c r="E18" s="57" t="s">
        <v>320</v>
      </c>
      <c r="F18" s="12" t="s">
        <v>128</v>
      </c>
      <c r="G18" s="36">
        <v>1</v>
      </c>
      <c r="H18" s="38">
        <v>24</v>
      </c>
      <c r="I18" s="7">
        <v>1000</v>
      </c>
      <c r="J18" s="5">
        <v>1200</v>
      </c>
      <c r="K18" s="15">
        <f>L18+1200</f>
        <v>1200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0.2277777777777778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343</v>
      </c>
      <c r="F19" s="12" t="s">
        <v>355</v>
      </c>
      <c r="G19" s="36">
        <v>1</v>
      </c>
      <c r="H19" s="13">
        <v>24</v>
      </c>
      <c r="I19" s="7">
        <v>20000</v>
      </c>
      <c r="J19" s="14">
        <v>2650</v>
      </c>
      <c r="K19" s="15">
        <f>L19</f>
        <v>2650</v>
      </c>
      <c r="L19" s="15">
        <v>2650</v>
      </c>
      <c r="M19" s="16">
        <f t="shared" si="0"/>
        <v>2650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/>
      <c r="T19" s="17"/>
      <c r="U19" s="17"/>
      <c r="V19" s="18">
        <v>12</v>
      </c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9">
        <f t="shared" si="7"/>
        <v>0.2277777777777778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2476</v>
      </c>
      <c r="K20" s="15">
        <f>L20+21192+22576+21736+23624+23264+21924+2476</f>
        <v>136792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0.2277777777777778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405700</v>
      </c>
      <c r="J21" s="22">
        <f t="shared" si="9"/>
        <v>26071</v>
      </c>
      <c r="K21" s="23">
        <f t="shared" si="9"/>
        <v>179989</v>
      </c>
      <c r="L21" s="24">
        <f t="shared" si="9"/>
        <v>18257</v>
      </c>
      <c r="M21" s="23">
        <f t="shared" si="9"/>
        <v>18257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82</v>
      </c>
      <c r="Q21" s="46">
        <f t="shared" si="10"/>
        <v>278</v>
      </c>
      <c r="R21" s="26">
        <f t="shared" si="10"/>
        <v>24</v>
      </c>
      <c r="S21" s="27">
        <f t="shared" si="10"/>
        <v>30</v>
      </c>
      <c r="T21" s="27">
        <f t="shared" si="10"/>
        <v>1</v>
      </c>
      <c r="U21" s="27">
        <f t="shared" si="10"/>
        <v>0</v>
      </c>
      <c r="V21" s="28">
        <f t="shared" si="10"/>
        <v>72</v>
      </c>
      <c r="W21" s="29">
        <f t="shared" si="10"/>
        <v>151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</v>
      </c>
      <c r="AC21" s="4">
        <f>SUM(AC6:AC20)/15</f>
        <v>0.2277777777777778</v>
      </c>
      <c r="AD21" s="4">
        <f>SUM(AD6:AD20)/15</f>
        <v>0.2277777777777778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356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360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248" t="s">
        <v>46</v>
      </c>
      <c r="D50" s="248" t="s">
        <v>47</v>
      </c>
      <c r="E50" s="248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248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114</v>
      </c>
      <c r="B51" s="431"/>
      <c r="C51" s="245" t="s">
        <v>223</v>
      </c>
      <c r="D51" s="245" t="s">
        <v>149</v>
      </c>
      <c r="E51" s="245" t="s">
        <v>353</v>
      </c>
      <c r="F51" s="483" t="s">
        <v>357</v>
      </c>
      <c r="G51" s="484"/>
      <c r="H51" s="484"/>
      <c r="I51" s="484"/>
      <c r="J51" s="484"/>
      <c r="K51" s="484"/>
      <c r="L51" s="484"/>
      <c r="M51" s="485"/>
      <c r="N51" s="244" t="s">
        <v>118</v>
      </c>
      <c r="O51" s="124" t="s">
        <v>301</v>
      </c>
      <c r="P51" s="431" t="s">
        <v>152</v>
      </c>
      <c r="Q51" s="431"/>
      <c r="R51" s="431" t="s">
        <v>329</v>
      </c>
      <c r="S51" s="431"/>
      <c r="T51" s="431"/>
      <c r="U51" s="431"/>
      <c r="V51" s="422" t="s">
        <v>124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126</v>
      </c>
      <c r="B52" s="431"/>
      <c r="C52" s="245" t="s">
        <v>123</v>
      </c>
      <c r="D52" s="245" t="s">
        <v>120</v>
      </c>
      <c r="E52" s="245" t="s">
        <v>358</v>
      </c>
      <c r="F52" s="483" t="s">
        <v>119</v>
      </c>
      <c r="G52" s="484"/>
      <c r="H52" s="484"/>
      <c r="I52" s="484"/>
      <c r="J52" s="484"/>
      <c r="K52" s="484"/>
      <c r="L52" s="484"/>
      <c r="M52" s="485"/>
      <c r="N52" s="244"/>
      <c r="O52" s="124"/>
      <c r="P52" s="439"/>
      <c r="Q52" s="440"/>
      <c r="R52" s="431"/>
      <c r="S52" s="431"/>
      <c r="T52" s="431"/>
      <c r="U52" s="431"/>
      <c r="V52" s="422"/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126</v>
      </c>
      <c r="B53" s="431"/>
      <c r="C53" s="245" t="s">
        <v>202</v>
      </c>
      <c r="D53" s="245" t="s">
        <v>121</v>
      </c>
      <c r="E53" s="245" t="s">
        <v>337</v>
      </c>
      <c r="F53" s="483" t="s">
        <v>119</v>
      </c>
      <c r="G53" s="484"/>
      <c r="H53" s="484"/>
      <c r="I53" s="484"/>
      <c r="J53" s="484"/>
      <c r="K53" s="484"/>
      <c r="L53" s="484"/>
      <c r="M53" s="485"/>
      <c r="N53" s="244"/>
      <c r="O53" s="124"/>
      <c r="P53" s="439"/>
      <c r="Q53" s="440"/>
      <c r="R53" s="431"/>
      <c r="S53" s="431"/>
      <c r="T53" s="431"/>
      <c r="U53" s="431"/>
      <c r="V53" s="422"/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245" t="s">
        <v>125</v>
      </c>
      <c r="D54" s="245" t="s">
        <v>117</v>
      </c>
      <c r="E54" s="245" t="s">
        <v>283</v>
      </c>
      <c r="F54" s="483" t="s">
        <v>119</v>
      </c>
      <c r="G54" s="484"/>
      <c r="H54" s="484"/>
      <c r="I54" s="484"/>
      <c r="J54" s="484"/>
      <c r="K54" s="484"/>
      <c r="L54" s="484"/>
      <c r="M54" s="485"/>
      <c r="N54" s="244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126</v>
      </c>
      <c r="B55" s="431"/>
      <c r="C55" s="245" t="s">
        <v>174</v>
      </c>
      <c r="D55" s="245" t="s">
        <v>117</v>
      </c>
      <c r="E55" s="245" t="s">
        <v>343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244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 t="s">
        <v>114</v>
      </c>
      <c r="B56" s="431"/>
      <c r="C56" s="245" t="s">
        <v>179</v>
      </c>
      <c r="D56" s="245" t="s">
        <v>120</v>
      </c>
      <c r="E56" s="245" t="s">
        <v>354</v>
      </c>
      <c r="F56" s="483" t="s">
        <v>359</v>
      </c>
      <c r="G56" s="484"/>
      <c r="H56" s="484"/>
      <c r="I56" s="484"/>
      <c r="J56" s="484"/>
      <c r="K56" s="484"/>
      <c r="L56" s="484"/>
      <c r="M56" s="485"/>
      <c r="N56" s="244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 t="s">
        <v>118</v>
      </c>
      <c r="B57" s="431"/>
      <c r="C57" s="245" t="s">
        <v>301</v>
      </c>
      <c r="D57" s="245" t="s">
        <v>152</v>
      </c>
      <c r="E57" s="245" t="s">
        <v>329</v>
      </c>
      <c r="F57" s="422" t="s">
        <v>361</v>
      </c>
      <c r="G57" s="422"/>
      <c r="H57" s="422"/>
      <c r="I57" s="422"/>
      <c r="J57" s="422"/>
      <c r="K57" s="422"/>
      <c r="L57" s="422"/>
      <c r="M57" s="432"/>
      <c r="N57" s="244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45"/>
      <c r="D58" s="245"/>
      <c r="E58" s="245"/>
      <c r="F58" s="422"/>
      <c r="G58" s="422"/>
      <c r="H58" s="422"/>
      <c r="I58" s="422"/>
      <c r="J58" s="422"/>
      <c r="K58" s="422"/>
      <c r="L58" s="422"/>
      <c r="M58" s="432"/>
      <c r="N58" s="244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45"/>
      <c r="D59" s="245"/>
      <c r="E59" s="245"/>
      <c r="F59" s="422"/>
      <c r="G59" s="422"/>
      <c r="H59" s="422"/>
      <c r="I59" s="422"/>
      <c r="J59" s="422"/>
      <c r="K59" s="422"/>
      <c r="L59" s="422"/>
      <c r="M59" s="432"/>
      <c r="N59" s="244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247"/>
      <c r="D60" s="247"/>
      <c r="E60" s="247"/>
      <c r="F60" s="435"/>
      <c r="G60" s="435"/>
      <c r="H60" s="435"/>
      <c r="I60" s="435"/>
      <c r="J60" s="435"/>
      <c r="K60" s="435"/>
      <c r="L60" s="435"/>
      <c r="M60" s="436"/>
      <c r="N60" s="246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362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243" t="s">
        <v>2</v>
      </c>
      <c r="D62" s="243" t="s">
        <v>37</v>
      </c>
      <c r="E62" s="243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243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114</v>
      </c>
      <c r="D63" s="239"/>
      <c r="E63" s="242" t="s">
        <v>148</v>
      </c>
      <c r="F63" s="420" t="s">
        <v>363</v>
      </c>
      <c r="G63" s="412"/>
      <c r="H63" s="412"/>
      <c r="I63" s="412"/>
      <c r="J63" s="412"/>
      <c r="K63" s="412" t="s">
        <v>122</v>
      </c>
      <c r="L63" s="412"/>
      <c r="M63" s="54" t="s">
        <v>311</v>
      </c>
      <c r="N63" s="412">
        <v>4</v>
      </c>
      <c r="O63" s="412"/>
      <c r="P63" s="421">
        <v>50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114</v>
      </c>
      <c r="D64" s="239"/>
      <c r="E64" s="242" t="s">
        <v>117</v>
      </c>
      <c r="F64" s="420" t="s">
        <v>364</v>
      </c>
      <c r="G64" s="412"/>
      <c r="H64" s="412"/>
      <c r="I64" s="412"/>
      <c r="J64" s="412"/>
      <c r="K64" s="412" t="s">
        <v>122</v>
      </c>
      <c r="L64" s="412"/>
      <c r="M64" s="54" t="s">
        <v>311</v>
      </c>
      <c r="N64" s="412">
        <v>4</v>
      </c>
      <c r="O64" s="412"/>
      <c r="P64" s="421"/>
      <c r="Q64" s="421"/>
      <c r="R64" s="422" t="s">
        <v>253</v>
      </c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 t="s">
        <v>114</v>
      </c>
      <c r="D65" s="239"/>
      <c r="E65" s="242" t="s">
        <v>146</v>
      </c>
      <c r="F65" s="420" t="s">
        <v>365</v>
      </c>
      <c r="G65" s="412"/>
      <c r="H65" s="412"/>
      <c r="I65" s="412"/>
      <c r="J65" s="412"/>
      <c r="K65" s="412" t="s">
        <v>122</v>
      </c>
      <c r="L65" s="412"/>
      <c r="M65" s="54" t="s">
        <v>311</v>
      </c>
      <c r="N65" s="412">
        <v>13</v>
      </c>
      <c r="O65" s="412"/>
      <c r="P65" s="421">
        <v>50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239"/>
      <c r="E66" s="242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239"/>
      <c r="E67" s="242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239"/>
      <c r="E68" s="242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239"/>
      <c r="E69" s="242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239"/>
      <c r="E70" s="242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366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241" t="s">
        <v>2</v>
      </c>
      <c r="D72" s="241" t="s">
        <v>37</v>
      </c>
      <c r="E72" s="241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240" t="s">
        <v>114</v>
      </c>
      <c r="D73" s="240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239"/>
      <c r="D74" s="239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239"/>
      <c r="D75" s="239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239"/>
      <c r="D76" s="239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239"/>
      <c r="D77" s="239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239"/>
      <c r="D78" s="239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239"/>
      <c r="D79" s="239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239"/>
      <c r="D80" s="239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239"/>
      <c r="D81" s="239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367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B452-82B8-4DB5-8DE9-F1D3DD5B3A5F}">
  <sheetPr>
    <pageSetUpPr fitToPage="1"/>
  </sheetPr>
  <dimension ref="A1:AF86"/>
  <sheetViews>
    <sheetView zoomScale="72" zoomScaleNormal="72" zoomScaleSheetLayoutView="70" workbookViewId="0">
      <selection activeCell="L16" sqref="L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368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50" t="s">
        <v>17</v>
      </c>
      <c r="L5" s="250" t="s">
        <v>18</v>
      </c>
      <c r="M5" s="250" t="s">
        <v>19</v>
      </c>
      <c r="N5" s="25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0.19722222222222224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0.19722222222222224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114</v>
      </c>
      <c r="D8" s="55" t="s">
        <v>149</v>
      </c>
      <c r="E8" s="57" t="s">
        <v>353</v>
      </c>
      <c r="F8" s="33" t="s">
        <v>184</v>
      </c>
      <c r="G8" s="36">
        <v>1</v>
      </c>
      <c r="H8" s="38">
        <v>25</v>
      </c>
      <c r="I8" s="7">
        <v>16000</v>
      </c>
      <c r="J8" s="5">
        <v>2635</v>
      </c>
      <c r="K8" s="15">
        <f>L8+266</f>
        <v>2901</v>
      </c>
      <c r="L8" s="15">
        <v>2635</v>
      </c>
      <c r="M8" s="16">
        <f t="shared" si="0"/>
        <v>2635</v>
      </c>
      <c r="N8" s="16">
        <v>0</v>
      </c>
      <c r="O8" s="62">
        <f t="shared" si="1"/>
        <v>0</v>
      </c>
      <c r="P8" s="42">
        <f t="shared" si="2"/>
        <v>12</v>
      </c>
      <c r="Q8" s="43">
        <f t="shared" si="3"/>
        <v>12</v>
      </c>
      <c r="R8" s="7"/>
      <c r="S8" s="6"/>
      <c r="T8" s="17"/>
      <c r="U8" s="17"/>
      <c r="V8" s="18">
        <v>12</v>
      </c>
      <c r="W8" s="19"/>
      <c r="X8" s="17"/>
      <c r="Y8" s="20"/>
      <c r="Z8" s="20"/>
      <c r="AA8" s="21"/>
      <c r="AB8" s="8">
        <f t="shared" si="4"/>
        <v>1</v>
      </c>
      <c r="AC8" s="9">
        <f t="shared" si="5"/>
        <v>0.5</v>
      </c>
      <c r="AD8" s="10">
        <f t="shared" si="6"/>
        <v>0.5</v>
      </c>
      <c r="AE8" s="39">
        <f t="shared" si="7"/>
        <v>0.19722222222222224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300</v>
      </c>
      <c r="F9" s="33" t="s">
        <v>128</v>
      </c>
      <c r="G9" s="36">
        <v>1</v>
      </c>
      <c r="H9" s="38">
        <v>25</v>
      </c>
      <c r="I9" s="7">
        <v>1000</v>
      </c>
      <c r="J9" s="5">
        <v>1633</v>
      </c>
      <c r="K9" s="15">
        <f>L9+1633</f>
        <v>1633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0.19722222222222224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159</v>
      </c>
      <c r="F10" s="12">
        <v>7301</v>
      </c>
      <c r="G10" s="12">
        <v>1</v>
      </c>
      <c r="H10" s="13">
        <v>25</v>
      </c>
      <c r="I10" s="7">
        <v>20000</v>
      </c>
      <c r="J10" s="14">
        <v>3031</v>
      </c>
      <c r="K10" s="15">
        <f>L10+3001</f>
        <v>6032</v>
      </c>
      <c r="L10" s="15">
        <v>3031</v>
      </c>
      <c r="M10" s="16">
        <f t="shared" si="0"/>
        <v>3031</v>
      </c>
      <c r="N10" s="16">
        <v>0</v>
      </c>
      <c r="O10" s="62">
        <f t="shared" si="1"/>
        <v>0</v>
      </c>
      <c r="P10" s="42">
        <f t="shared" si="2"/>
        <v>12</v>
      </c>
      <c r="Q10" s="43">
        <f t="shared" si="3"/>
        <v>12</v>
      </c>
      <c r="R10" s="7"/>
      <c r="S10" s="6"/>
      <c r="T10" s="17"/>
      <c r="U10" s="17"/>
      <c r="V10" s="18">
        <v>12</v>
      </c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0.5</v>
      </c>
      <c r="AD10" s="10">
        <f t="shared" si="6"/>
        <v>0.5</v>
      </c>
      <c r="AE10" s="39">
        <f t="shared" si="7"/>
        <v>0.19722222222222224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337</v>
      </c>
      <c r="F11" s="12" t="s">
        <v>127</v>
      </c>
      <c r="G11" s="12">
        <v>1</v>
      </c>
      <c r="H11" s="13">
        <v>25</v>
      </c>
      <c r="I11" s="34">
        <v>30000</v>
      </c>
      <c r="J11" s="5">
        <v>1820</v>
      </c>
      <c r="K11" s="15">
        <f>L11+2806</f>
        <v>4626</v>
      </c>
      <c r="L11" s="15">
        <v>1820</v>
      </c>
      <c r="M11" s="16">
        <f t="shared" si="0"/>
        <v>1820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>
        <v>2</v>
      </c>
      <c r="T11" s="17"/>
      <c r="U11" s="17"/>
      <c r="V11" s="18">
        <v>12</v>
      </c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0.19722222222222224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9000</v>
      </c>
      <c r="J12" s="14">
        <v>3119</v>
      </c>
      <c r="K12" s="15">
        <f>L12+1627+2645+2807+3094+2994+3109+2939</f>
        <v>22334</v>
      </c>
      <c r="L12" s="15">
        <v>3119</v>
      </c>
      <c r="M12" s="16">
        <f t="shared" si="0"/>
        <v>3119</v>
      </c>
      <c r="N12" s="16">
        <v>0</v>
      </c>
      <c r="O12" s="62">
        <f t="shared" si="1"/>
        <v>0</v>
      </c>
      <c r="P12" s="42">
        <f t="shared" si="2"/>
        <v>12</v>
      </c>
      <c r="Q12" s="43">
        <f t="shared" si="3"/>
        <v>12</v>
      </c>
      <c r="R12" s="7"/>
      <c r="S12" s="6"/>
      <c r="T12" s="17"/>
      <c r="U12" s="17"/>
      <c r="V12" s="18">
        <v>12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</v>
      </c>
      <c r="AD12" s="10">
        <f t="shared" si="6"/>
        <v>0.5</v>
      </c>
      <c r="AE12" s="39">
        <f t="shared" si="7"/>
        <v>0.19722222222222224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283</v>
      </c>
      <c r="F13" s="12" t="s">
        <v>122</v>
      </c>
      <c r="G13" s="12">
        <v>1</v>
      </c>
      <c r="H13" s="13">
        <v>25</v>
      </c>
      <c r="I13" s="7">
        <v>3000</v>
      </c>
      <c r="J13" s="14">
        <v>414</v>
      </c>
      <c r="K13" s="15">
        <f>L13+2760</f>
        <v>3174</v>
      </c>
      <c r="L13" s="15">
        <v>414</v>
      </c>
      <c r="M13" s="16">
        <f t="shared" si="0"/>
        <v>414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9">
        <f t="shared" si="7"/>
        <v>0.19722222222222224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329</v>
      </c>
      <c r="F14" s="33" t="s">
        <v>155</v>
      </c>
      <c r="G14" s="36">
        <v>1</v>
      </c>
      <c r="H14" s="38">
        <v>25</v>
      </c>
      <c r="I14" s="7">
        <v>1000</v>
      </c>
      <c r="J14" s="5">
        <v>1282</v>
      </c>
      <c r="K14" s="15">
        <f>L14+352+505</f>
        <v>2139</v>
      </c>
      <c r="L14" s="15">
        <v>1282</v>
      </c>
      <c r="M14" s="16">
        <f t="shared" si="0"/>
        <v>1282</v>
      </c>
      <c r="N14" s="16">
        <v>0</v>
      </c>
      <c r="O14" s="62">
        <f t="shared" si="1"/>
        <v>0</v>
      </c>
      <c r="P14" s="42">
        <f t="shared" si="2"/>
        <v>9</v>
      </c>
      <c r="Q14" s="43">
        <f t="shared" si="3"/>
        <v>15</v>
      </c>
      <c r="R14" s="7"/>
      <c r="S14" s="6"/>
      <c r="T14" s="17"/>
      <c r="U14" s="17"/>
      <c r="V14" s="18"/>
      <c r="W14" s="19">
        <v>15</v>
      </c>
      <c r="X14" s="17"/>
      <c r="Y14" s="20"/>
      <c r="Z14" s="20"/>
      <c r="AA14" s="21"/>
      <c r="AB14" s="8">
        <f t="shared" si="4"/>
        <v>1</v>
      </c>
      <c r="AC14" s="9">
        <f t="shared" si="5"/>
        <v>0.375</v>
      </c>
      <c r="AD14" s="10">
        <f t="shared" si="6"/>
        <v>0.375</v>
      </c>
      <c r="AE14" s="39">
        <f t="shared" si="7"/>
        <v>0.19722222222222224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0.19722222222222224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354</v>
      </c>
      <c r="F16" s="33" t="s">
        <v>184</v>
      </c>
      <c r="G16" s="36">
        <v>1</v>
      </c>
      <c r="H16" s="38">
        <v>24</v>
      </c>
      <c r="I16" s="7">
        <v>700</v>
      </c>
      <c r="J16" s="5">
        <v>810</v>
      </c>
      <c r="K16" s="15">
        <f>L16+810</f>
        <v>810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0.19722222222222224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114</v>
      </c>
      <c r="D17" s="55" t="s">
        <v>331</v>
      </c>
      <c r="E17" s="57" t="s">
        <v>324</v>
      </c>
      <c r="F17" s="12">
        <v>8301</v>
      </c>
      <c r="G17" s="12">
        <v>1</v>
      </c>
      <c r="H17" s="13">
        <v>24</v>
      </c>
      <c r="I17" s="34">
        <v>2000</v>
      </c>
      <c r="J17" s="14">
        <v>2520</v>
      </c>
      <c r="K17" s="15">
        <f>L17+824+2520</f>
        <v>3344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0.19722222222222224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118</v>
      </c>
      <c r="D18" s="55" t="s">
        <v>146</v>
      </c>
      <c r="E18" s="57" t="s">
        <v>320</v>
      </c>
      <c r="F18" s="12" t="s">
        <v>128</v>
      </c>
      <c r="G18" s="36">
        <v>1</v>
      </c>
      <c r="H18" s="38">
        <v>24</v>
      </c>
      <c r="I18" s="7">
        <v>1000</v>
      </c>
      <c r="J18" s="5">
        <v>1200</v>
      </c>
      <c r="K18" s="15">
        <f>L18+1200</f>
        <v>1200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0.19722222222222224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343</v>
      </c>
      <c r="F19" s="12" t="s">
        <v>355</v>
      </c>
      <c r="G19" s="36">
        <v>1</v>
      </c>
      <c r="H19" s="13">
        <v>24</v>
      </c>
      <c r="I19" s="7">
        <v>20000</v>
      </c>
      <c r="J19" s="14">
        <v>2688</v>
      </c>
      <c r="K19" s="15">
        <f>L19+2650</f>
        <v>5338</v>
      </c>
      <c r="L19" s="15">
        <v>2688</v>
      </c>
      <c r="M19" s="16">
        <f t="shared" si="0"/>
        <v>2688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/>
      <c r="T19" s="17"/>
      <c r="U19" s="17"/>
      <c r="V19" s="18">
        <v>12</v>
      </c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9">
        <f t="shared" si="7"/>
        <v>0.19722222222222224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2476</v>
      </c>
      <c r="K20" s="15">
        <f>L20+21192+22576+21736+23624+23264+21924+2476</f>
        <v>136792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0.19722222222222224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405700</v>
      </c>
      <c r="J21" s="22">
        <f t="shared" si="9"/>
        <v>26133</v>
      </c>
      <c r="K21" s="23">
        <f t="shared" si="9"/>
        <v>194978</v>
      </c>
      <c r="L21" s="24">
        <f t="shared" si="9"/>
        <v>14989</v>
      </c>
      <c r="M21" s="23">
        <f t="shared" si="9"/>
        <v>14989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71</v>
      </c>
      <c r="Q21" s="46">
        <f t="shared" si="10"/>
        <v>289</v>
      </c>
      <c r="R21" s="26">
        <f t="shared" si="10"/>
        <v>24</v>
      </c>
      <c r="S21" s="27">
        <f t="shared" si="10"/>
        <v>2</v>
      </c>
      <c r="T21" s="27">
        <f t="shared" si="10"/>
        <v>0</v>
      </c>
      <c r="U21" s="27">
        <f t="shared" si="10"/>
        <v>0</v>
      </c>
      <c r="V21" s="28">
        <f t="shared" si="10"/>
        <v>60</v>
      </c>
      <c r="W21" s="29">
        <f t="shared" si="10"/>
        <v>203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0.19722222222222224</v>
      </c>
      <c r="AD21" s="4">
        <f>SUM(AD6:AD20)/15</f>
        <v>0.19722222222222224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369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371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251" t="s">
        <v>46</v>
      </c>
      <c r="D50" s="251" t="s">
        <v>47</v>
      </c>
      <c r="E50" s="251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251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126</v>
      </c>
      <c r="B51" s="431"/>
      <c r="C51" s="253" t="s">
        <v>202</v>
      </c>
      <c r="D51" s="253" t="s">
        <v>121</v>
      </c>
      <c r="E51" s="253" t="s">
        <v>337</v>
      </c>
      <c r="F51" s="483" t="s">
        <v>370</v>
      </c>
      <c r="G51" s="484"/>
      <c r="H51" s="484"/>
      <c r="I51" s="484"/>
      <c r="J51" s="484"/>
      <c r="K51" s="484"/>
      <c r="L51" s="484"/>
      <c r="M51" s="485"/>
      <c r="N51" s="252" t="s">
        <v>118</v>
      </c>
      <c r="O51" s="124" t="s">
        <v>139</v>
      </c>
      <c r="P51" s="431" t="s">
        <v>205</v>
      </c>
      <c r="Q51" s="431"/>
      <c r="R51" s="431" t="s">
        <v>372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253" t="s">
        <v>225</v>
      </c>
      <c r="D52" s="253" t="s">
        <v>120</v>
      </c>
      <c r="E52" s="253" t="s">
        <v>218</v>
      </c>
      <c r="F52" s="483" t="s">
        <v>200</v>
      </c>
      <c r="G52" s="484"/>
      <c r="H52" s="484"/>
      <c r="I52" s="484"/>
      <c r="J52" s="484"/>
      <c r="K52" s="484"/>
      <c r="L52" s="484"/>
      <c r="M52" s="485"/>
      <c r="N52" s="252" t="s">
        <v>118</v>
      </c>
      <c r="O52" s="124" t="s">
        <v>225</v>
      </c>
      <c r="P52" s="439" t="s">
        <v>120</v>
      </c>
      <c r="Q52" s="440"/>
      <c r="R52" s="431" t="s">
        <v>218</v>
      </c>
      <c r="S52" s="431"/>
      <c r="T52" s="431"/>
      <c r="U52" s="431"/>
      <c r="V52" s="422" t="s">
        <v>124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/>
      <c r="B53" s="431"/>
      <c r="C53" s="253"/>
      <c r="D53" s="253"/>
      <c r="E53" s="253"/>
      <c r="F53" s="483"/>
      <c r="G53" s="484"/>
      <c r="H53" s="484"/>
      <c r="I53" s="484"/>
      <c r="J53" s="484"/>
      <c r="K53" s="484"/>
      <c r="L53" s="484"/>
      <c r="M53" s="485"/>
      <c r="N53" s="252" t="s">
        <v>114</v>
      </c>
      <c r="O53" s="124" t="s">
        <v>208</v>
      </c>
      <c r="P53" s="439" t="s">
        <v>148</v>
      </c>
      <c r="Q53" s="440"/>
      <c r="R53" s="431" t="s">
        <v>164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/>
      <c r="B54" s="431"/>
      <c r="C54" s="253"/>
      <c r="D54" s="253"/>
      <c r="E54" s="253"/>
      <c r="F54" s="483"/>
      <c r="G54" s="484"/>
      <c r="H54" s="484"/>
      <c r="I54" s="484"/>
      <c r="J54" s="484"/>
      <c r="K54" s="484"/>
      <c r="L54" s="484"/>
      <c r="M54" s="485"/>
      <c r="N54" s="252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253"/>
      <c r="D55" s="253"/>
      <c r="E55" s="253"/>
      <c r="F55" s="483"/>
      <c r="G55" s="484"/>
      <c r="H55" s="484"/>
      <c r="I55" s="484"/>
      <c r="J55" s="484"/>
      <c r="K55" s="484"/>
      <c r="L55" s="484"/>
      <c r="M55" s="485"/>
      <c r="N55" s="252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253"/>
      <c r="D56" s="253"/>
      <c r="E56" s="253"/>
      <c r="F56" s="483"/>
      <c r="G56" s="484"/>
      <c r="H56" s="484"/>
      <c r="I56" s="484"/>
      <c r="J56" s="484"/>
      <c r="K56" s="484"/>
      <c r="L56" s="484"/>
      <c r="M56" s="485"/>
      <c r="N56" s="252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53"/>
      <c r="D57" s="253"/>
      <c r="E57" s="253"/>
      <c r="F57" s="422"/>
      <c r="G57" s="422"/>
      <c r="H57" s="422"/>
      <c r="I57" s="422"/>
      <c r="J57" s="422"/>
      <c r="K57" s="422"/>
      <c r="L57" s="422"/>
      <c r="M57" s="432"/>
      <c r="N57" s="252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53"/>
      <c r="D58" s="253"/>
      <c r="E58" s="253"/>
      <c r="F58" s="422"/>
      <c r="G58" s="422"/>
      <c r="H58" s="422"/>
      <c r="I58" s="422"/>
      <c r="J58" s="422"/>
      <c r="K58" s="422"/>
      <c r="L58" s="422"/>
      <c r="M58" s="432"/>
      <c r="N58" s="252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53"/>
      <c r="D59" s="253"/>
      <c r="E59" s="253"/>
      <c r="F59" s="422"/>
      <c r="G59" s="422"/>
      <c r="H59" s="422"/>
      <c r="I59" s="422"/>
      <c r="J59" s="422"/>
      <c r="K59" s="422"/>
      <c r="L59" s="422"/>
      <c r="M59" s="432"/>
      <c r="N59" s="252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255"/>
      <c r="D60" s="255"/>
      <c r="E60" s="255"/>
      <c r="F60" s="435"/>
      <c r="G60" s="435"/>
      <c r="H60" s="435"/>
      <c r="I60" s="435"/>
      <c r="J60" s="435"/>
      <c r="K60" s="435"/>
      <c r="L60" s="435"/>
      <c r="M60" s="436"/>
      <c r="N60" s="254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373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256" t="s">
        <v>2</v>
      </c>
      <c r="D62" s="256" t="s">
        <v>37</v>
      </c>
      <c r="E62" s="256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256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114</v>
      </c>
      <c r="D63" s="259"/>
      <c r="E63" s="257" t="s">
        <v>117</v>
      </c>
      <c r="F63" s="420" t="s">
        <v>364</v>
      </c>
      <c r="G63" s="412"/>
      <c r="H63" s="412"/>
      <c r="I63" s="412"/>
      <c r="J63" s="412"/>
      <c r="K63" s="412" t="s">
        <v>374</v>
      </c>
      <c r="L63" s="412"/>
      <c r="M63" s="54" t="s">
        <v>311</v>
      </c>
      <c r="N63" s="412">
        <v>4</v>
      </c>
      <c r="O63" s="412"/>
      <c r="P63" s="421">
        <v>50</v>
      </c>
      <c r="Q63" s="421"/>
      <c r="R63" s="422" t="s">
        <v>252</v>
      </c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114</v>
      </c>
      <c r="D64" s="259"/>
      <c r="E64" s="257" t="s">
        <v>120</v>
      </c>
      <c r="F64" s="420" t="s">
        <v>375</v>
      </c>
      <c r="G64" s="412"/>
      <c r="H64" s="412"/>
      <c r="I64" s="412"/>
      <c r="J64" s="412"/>
      <c r="K64" s="412" t="s">
        <v>122</v>
      </c>
      <c r="L64" s="412"/>
      <c r="M64" s="54" t="s">
        <v>311</v>
      </c>
      <c r="N64" s="412">
        <v>13</v>
      </c>
      <c r="O64" s="412"/>
      <c r="P64" s="421">
        <v>50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 t="s">
        <v>126</v>
      </c>
      <c r="D65" s="259"/>
      <c r="E65" s="257" t="s">
        <v>117</v>
      </c>
      <c r="F65" s="420" t="s">
        <v>283</v>
      </c>
      <c r="G65" s="412"/>
      <c r="H65" s="412"/>
      <c r="I65" s="412"/>
      <c r="J65" s="412"/>
      <c r="K65" s="412" t="s">
        <v>284</v>
      </c>
      <c r="L65" s="412"/>
      <c r="M65" s="54" t="s">
        <v>252</v>
      </c>
      <c r="N65" s="412">
        <v>8</v>
      </c>
      <c r="O65" s="412"/>
      <c r="P65" s="421">
        <v>100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259"/>
      <c r="E66" s="257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259"/>
      <c r="E67" s="257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259"/>
      <c r="E68" s="257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259"/>
      <c r="E69" s="257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259"/>
      <c r="E70" s="257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376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258" t="s">
        <v>2</v>
      </c>
      <c r="D72" s="258" t="s">
        <v>37</v>
      </c>
      <c r="E72" s="258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260" t="s">
        <v>114</v>
      </c>
      <c r="D73" s="260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259"/>
      <c r="D74" s="259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259"/>
      <c r="D75" s="259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259"/>
      <c r="D76" s="259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259"/>
      <c r="D77" s="259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259"/>
      <c r="D78" s="259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259"/>
      <c r="D79" s="259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259"/>
      <c r="D80" s="259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259"/>
      <c r="D81" s="259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377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D890-C88E-4F71-B247-638FE8E41390}">
  <sheetPr>
    <pageSetUpPr fitToPage="1"/>
  </sheetPr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378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0.38609796186719264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0.38609796186719264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114</v>
      </c>
      <c r="D8" s="55" t="s">
        <v>149</v>
      </c>
      <c r="E8" s="57" t="s">
        <v>353</v>
      </c>
      <c r="F8" s="33" t="s">
        <v>184</v>
      </c>
      <c r="G8" s="36">
        <v>1</v>
      </c>
      <c r="H8" s="38">
        <v>25</v>
      </c>
      <c r="I8" s="7">
        <v>16000</v>
      </c>
      <c r="J8" s="5">
        <v>4733</v>
      </c>
      <c r="K8" s="15">
        <f>L8+266+2635</f>
        <v>7634</v>
      </c>
      <c r="L8" s="15">
        <f>2574+2159</f>
        <v>4733</v>
      </c>
      <c r="M8" s="16">
        <f t="shared" si="0"/>
        <v>4733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0.38609796186719264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205</v>
      </c>
      <c r="E9" s="57" t="s">
        <v>372</v>
      </c>
      <c r="F9" s="33" t="s">
        <v>379</v>
      </c>
      <c r="G9" s="36">
        <v>16</v>
      </c>
      <c r="H9" s="38">
        <v>25</v>
      </c>
      <c r="I9" s="7">
        <v>60000</v>
      </c>
      <c r="J9" s="5">
        <v>87408</v>
      </c>
      <c r="K9" s="15">
        <f>L9</f>
        <v>87408</v>
      </c>
      <c r="L9" s="15">
        <f>2361*16+3102*16</f>
        <v>87408</v>
      </c>
      <c r="M9" s="16">
        <f t="shared" si="0"/>
        <v>87408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9">
        <f t="shared" si="7"/>
        <v>0.38609796186719264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159</v>
      </c>
      <c r="F10" s="12">
        <v>7301</v>
      </c>
      <c r="G10" s="12">
        <v>1</v>
      </c>
      <c r="H10" s="13">
        <v>25</v>
      </c>
      <c r="I10" s="7">
        <v>20000</v>
      </c>
      <c r="J10" s="14">
        <v>5525</v>
      </c>
      <c r="K10" s="15">
        <f>L10+3001+3031</f>
        <v>11557</v>
      </c>
      <c r="L10" s="15">
        <f>3028+2497</f>
        <v>5525</v>
      </c>
      <c r="M10" s="16">
        <f t="shared" si="0"/>
        <v>5525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0.38609796186719264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337</v>
      </c>
      <c r="F11" s="12" t="s">
        <v>127</v>
      </c>
      <c r="G11" s="12">
        <v>1</v>
      </c>
      <c r="H11" s="13">
        <v>25</v>
      </c>
      <c r="I11" s="34">
        <v>30000</v>
      </c>
      <c r="J11" s="5">
        <v>5637</v>
      </c>
      <c r="K11" s="15">
        <f>L11+2806+1820</f>
        <v>10263</v>
      </c>
      <c r="L11" s="15">
        <f>3073+2564</f>
        <v>5637</v>
      </c>
      <c r="M11" s="16">
        <f t="shared" si="0"/>
        <v>5637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0.38609796186719264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218</v>
      </c>
      <c r="F12" s="12" t="s">
        <v>182</v>
      </c>
      <c r="G12" s="12">
        <v>1</v>
      </c>
      <c r="H12" s="13">
        <v>25</v>
      </c>
      <c r="I12" s="7">
        <v>9000</v>
      </c>
      <c r="J12" s="14">
        <v>3119</v>
      </c>
      <c r="K12" s="15">
        <f>L12+1627+2645+2807+3094+2994+3109+2939+3119</f>
        <v>22334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0.38609796186719264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283</v>
      </c>
      <c r="F13" s="12" t="s">
        <v>122</v>
      </c>
      <c r="G13" s="12">
        <v>1</v>
      </c>
      <c r="H13" s="13">
        <v>25</v>
      </c>
      <c r="I13" s="7">
        <v>3000</v>
      </c>
      <c r="J13" s="14">
        <v>414</v>
      </c>
      <c r="K13" s="15">
        <f>L13+2760+414</f>
        <v>3174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0.38609796186719264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329</v>
      </c>
      <c r="F14" s="33" t="s">
        <v>155</v>
      </c>
      <c r="G14" s="36">
        <v>1</v>
      </c>
      <c r="H14" s="38">
        <v>25</v>
      </c>
      <c r="I14" s="7">
        <v>1000</v>
      </c>
      <c r="J14" s="5">
        <v>1282</v>
      </c>
      <c r="K14" s="15">
        <f>L14+352+505+1282</f>
        <v>2139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0.38609796186719264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0.38609796186719264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354</v>
      </c>
      <c r="F16" s="33" t="s">
        <v>184</v>
      </c>
      <c r="G16" s="36">
        <v>1</v>
      </c>
      <c r="H16" s="38">
        <v>24</v>
      </c>
      <c r="I16" s="7">
        <v>700</v>
      </c>
      <c r="J16" s="5">
        <v>810</v>
      </c>
      <c r="K16" s="15">
        <f>L16+810</f>
        <v>810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0.38609796186719264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114</v>
      </c>
      <c r="D17" s="55" t="s">
        <v>331</v>
      </c>
      <c r="E17" s="57" t="s">
        <v>324</v>
      </c>
      <c r="F17" s="12">
        <v>8301</v>
      </c>
      <c r="G17" s="12">
        <v>1</v>
      </c>
      <c r="H17" s="13">
        <v>24</v>
      </c>
      <c r="I17" s="34">
        <v>2000</v>
      </c>
      <c r="J17" s="14">
        <v>2520</v>
      </c>
      <c r="K17" s="15">
        <f>L17+824+2520</f>
        <v>3344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0.38609796186719264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148</v>
      </c>
      <c r="E18" s="57" t="s">
        <v>164</v>
      </c>
      <c r="F18" s="12" t="s">
        <v>122</v>
      </c>
      <c r="G18" s="36">
        <v>1</v>
      </c>
      <c r="H18" s="38">
        <v>24</v>
      </c>
      <c r="I18" s="7">
        <v>4000</v>
      </c>
      <c r="J18" s="5">
        <v>3851</v>
      </c>
      <c r="K18" s="15">
        <f>L18</f>
        <v>3851</v>
      </c>
      <c r="L18" s="15">
        <f>1176+2675</f>
        <v>3851</v>
      </c>
      <c r="M18" s="16">
        <f t="shared" si="0"/>
        <v>3851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/>
      <c r="T18" s="17">
        <v>4</v>
      </c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0.38609796186719264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343</v>
      </c>
      <c r="F19" s="12" t="s">
        <v>355</v>
      </c>
      <c r="G19" s="36">
        <v>1</v>
      </c>
      <c r="H19" s="13">
        <v>24</v>
      </c>
      <c r="I19" s="7">
        <v>20000</v>
      </c>
      <c r="J19" s="14">
        <v>5070</v>
      </c>
      <c r="K19" s="15">
        <f>L19+2650+2688</f>
        <v>10407</v>
      </c>
      <c r="L19" s="15">
        <f>2739+2330</f>
        <v>5069</v>
      </c>
      <c r="M19" s="16">
        <f t="shared" si="0"/>
        <v>5069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0.99980276134122292</v>
      </c>
      <c r="AC19" s="9">
        <f t="shared" si="5"/>
        <v>1</v>
      </c>
      <c r="AD19" s="10">
        <f t="shared" si="6"/>
        <v>0.99980276134122292</v>
      </c>
      <c r="AE19" s="39">
        <f t="shared" si="7"/>
        <v>0.38609796186719264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132</v>
      </c>
      <c r="F20" s="12" t="s">
        <v>116</v>
      </c>
      <c r="G20" s="12">
        <v>4</v>
      </c>
      <c r="H20" s="38">
        <v>20</v>
      </c>
      <c r="I20" s="7">
        <v>300000</v>
      </c>
      <c r="J20" s="14">
        <v>2476</v>
      </c>
      <c r="K20" s="15">
        <f>L20+21192+22576+21736+23624+23264+21924+2476</f>
        <v>136792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0.38609796186719264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467700</v>
      </c>
      <c r="J21" s="22">
        <f t="shared" si="9"/>
        <v>125350</v>
      </c>
      <c r="K21" s="23">
        <f t="shared" si="9"/>
        <v>304368</v>
      </c>
      <c r="L21" s="24">
        <f t="shared" si="9"/>
        <v>112223</v>
      </c>
      <c r="M21" s="23">
        <f t="shared" si="9"/>
        <v>112223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139</v>
      </c>
      <c r="Q21" s="46">
        <f t="shared" si="10"/>
        <v>221</v>
      </c>
      <c r="R21" s="26">
        <f t="shared" si="10"/>
        <v>24</v>
      </c>
      <c r="S21" s="27">
        <f t="shared" si="10"/>
        <v>0</v>
      </c>
      <c r="T21" s="27">
        <f t="shared" si="10"/>
        <v>5</v>
      </c>
      <c r="U21" s="27">
        <f t="shared" si="10"/>
        <v>0</v>
      </c>
      <c r="V21" s="28">
        <f t="shared" si="10"/>
        <v>0</v>
      </c>
      <c r="W21" s="29">
        <f t="shared" si="10"/>
        <v>192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0.39998685075608154</v>
      </c>
      <c r="AC21" s="4">
        <f>SUM(AC6:AC20)/15</f>
        <v>0.38611111111111113</v>
      </c>
      <c r="AD21" s="4">
        <f>SUM(AD6:AD20)/15</f>
        <v>0.38609796186719264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380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381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270" t="s">
        <v>46</v>
      </c>
      <c r="D50" s="270" t="s">
        <v>47</v>
      </c>
      <c r="E50" s="270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270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267" t="s">
        <v>139</v>
      </c>
      <c r="D51" s="267" t="s">
        <v>205</v>
      </c>
      <c r="E51" s="267" t="s">
        <v>372</v>
      </c>
      <c r="F51" s="483" t="s">
        <v>119</v>
      </c>
      <c r="G51" s="484"/>
      <c r="H51" s="484"/>
      <c r="I51" s="484"/>
      <c r="J51" s="484"/>
      <c r="K51" s="484"/>
      <c r="L51" s="484"/>
      <c r="M51" s="485"/>
      <c r="N51" s="266" t="s">
        <v>126</v>
      </c>
      <c r="O51" s="124" t="s">
        <v>225</v>
      </c>
      <c r="P51" s="431" t="s">
        <v>117</v>
      </c>
      <c r="Q51" s="431"/>
      <c r="R51" s="431" t="s">
        <v>277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114</v>
      </c>
      <c r="B52" s="431"/>
      <c r="C52" s="267" t="s">
        <v>208</v>
      </c>
      <c r="D52" s="267" t="s">
        <v>148</v>
      </c>
      <c r="E52" s="267" t="s">
        <v>164</v>
      </c>
      <c r="F52" s="483" t="s">
        <v>119</v>
      </c>
      <c r="G52" s="484"/>
      <c r="H52" s="484"/>
      <c r="I52" s="484"/>
      <c r="J52" s="484"/>
      <c r="K52" s="484"/>
      <c r="L52" s="484"/>
      <c r="M52" s="485"/>
      <c r="N52" s="266" t="s">
        <v>115</v>
      </c>
      <c r="O52" s="124" t="s">
        <v>383</v>
      </c>
      <c r="P52" s="439"/>
      <c r="Q52" s="440"/>
      <c r="R52" s="431" t="s">
        <v>382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/>
      <c r="B53" s="431"/>
      <c r="C53" s="267"/>
      <c r="D53" s="267"/>
      <c r="E53" s="267"/>
      <c r="F53" s="483"/>
      <c r="G53" s="484"/>
      <c r="H53" s="484"/>
      <c r="I53" s="484"/>
      <c r="J53" s="484"/>
      <c r="K53" s="484"/>
      <c r="L53" s="484"/>
      <c r="M53" s="485"/>
      <c r="N53" s="266"/>
      <c r="O53" s="124"/>
      <c r="P53" s="439"/>
      <c r="Q53" s="440"/>
      <c r="R53" s="431"/>
      <c r="S53" s="431"/>
      <c r="T53" s="431"/>
      <c r="U53" s="431"/>
      <c r="V53" s="422"/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/>
      <c r="B54" s="431"/>
      <c r="C54" s="267"/>
      <c r="D54" s="267"/>
      <c r="E54" s="267"/>
      <c r="F54" s="483"/>
      <c r="G54" s="484"/>
      <c r="H54" s="484"/>
      <c r="I54" s="484"/>
      <c r="J54" s="484"/>
      <c r="K54" s="484"/>
      <c r="L54" s="484"/>
      <c r="M54" s="485"/>
      <c r="N54" s="266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267"/>
      <c r="D55" s="267"/>
      <c r="E55" s="267"/>
      <c r="F55" s="483"/>
      <c r="G55" s="484"/>
      <c r="H55" s="484"/>
      <c r="I55" s="484"/>
      <c r="J55" s="484"/>
      <c r="K55" s="484"/>
      <c r="L55" s="484"/>
      <c r="M55" s="485"/>
      <c r="N55" s="266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267"/>
      <c r="D56" s="267"/>
      <c r="E56" s="267"/>
      <c r="F56" s="483"/>
      <c r="G56" s="484"/>
      <c r="H56" s="484"/>
      <c r="I56" s="484"/>
      <c r="J56" s="484"/>
      <c r="K56" s="484"/>
      <c r="L56" s="484"/>
      <c r="M56" s="485"/>
      <c r="N56" s="266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67"/>
      <c r="D57" s="267"/>
      <c r="E57" s="267"/>
      <c r="F57" s="422"/>
      <c r="G57" s="422"/>
      <c r="H57" s="422"/>
      <c r="I57" s="422"/>
      <c r="J57" s="422"/>
      <c r="K57" s="422"/>
      <c r="L57" s="422"/>
      <c r="M57" s="432"/>
      <c r="N57" s="266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67"/>
      <c r="D58" s="267"/>
      <c r="E58" s="267"/>
      <c r="F58" s="422"/>
      <c r="G58" s="422"/>
      <c r="H58" s="422"/>
      <c r="I58" s="422"/>
      <c r="J58" s="422"/>
      <c r="K58" s="422"/>
      <c r="L58" s="422"/>
      <c r="M58" s="432"/>
      <c r="N58" s="266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67"/>
      <c r="D59" s="267"/>
      <c r="E59" s="267"/>
      <c r="F59" s="422"/>
      <c r="G59" s="422"/>
      <c r="H59" s="422"/>
      <c r="I59" s="422"/>
      <c r="J59" s="422"/>
      <c r="K59" s="422"/>
      <c r="L59" s="422"/>
      <c r="M59" s="432"/>
      <c r="N59" s="266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269"/>
      <c r="D60" s="269"/>
      <c r="E60" s="269"/>
      <c r="F60" s="435"/>
      <c r="G60" s="435"/>
      <c r="H60" s="435"/>
      <c r="I60" s="435"/>
      <c r="J60" s="435"/>
      <c r="K60" s="435"/>
      <c r="L60" s="435"/>
      <c r="M60" s="436"/>
      <c r="N60" s="268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384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265" t="s">
        <v>2</v>
      </c>
      <c r="D62" s="265" t="s">
        <v>37</v>
      </c>
      <c r="E62" s="265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265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114</v>
      </c>
      <c r="D63" s="261"/>
      <c r="E63" s="264" t="s">
        <v>120</v>
      </c>
      <c r="F63" s="420" t="s">
        <v>375</v>
      </c>
      <c r="G63" s="412"/>
      <c r="H63" s="412"/>
      <c r="I63" s="412"/>
      <c r="J63" s="412"/>
      <c r="K63" s="412" t="s">
        <v>122</v>
      </c>
      <c r="L63" s="412"/>
      <c r="M63" s="54" t="s">
        <v>311</v>
      </c>
      <c r="N63" s="412">
        <v>13</v>
      </c>
      <c r="O63" s="412"/>
      <c r="P63" s="421">
        <v>50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385</v>
      </c>
      <c r="D64" s="261"/>
      <c r="E64" s="264"/>
      <c r="F64" s="420" t="s">
        <v>386</v>
      </c>
      <c r="G64" s="412"/>
      <c r="H64" s="412"/>
      <c r="I64" s="412"/>
      <c r="J64" s="412"/>
      <c r="K64" s="412">
        <v>7301</v>
      </c>
      <c r="L64" s="412"/>
      <c r="M64" s="54" t="s">
        <v>192</v>
      </c>
      <c r="N64" s="412">
        <v>8</v>
      </c>
      <c r="O64" s="412"/>
      <c r="P64" s="421">
        <v>10</v>
      </c>
      <c r="Q64" s="421"/>
      <c r="R64" s="422" t="s">
        <v>387</v>
      </c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261"/>
      <c r="E65" s="264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261"/>
      <c r="E66" s="264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261"/>
      <c r="E67" s="264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261"/>
      <c r="E68" s="264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261"/>
      <c r="E69" s="264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261"/>
      <c r="E70" s="264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388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263" t="s">
        <v>2</v>
      </c>
      <c r="D72" s="263" t="s">
        <v>37</v>
      </c>
      <c r="E72" s="263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262" t="s">
        <v>114</v>
      </c>
      <c r="D73" s="262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261"/>
      <c r="D74" s="261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261"/>
      <c r="D75" s="261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261"/>
      <c r="D76" s="261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261"/>
      <c r="D77" s="261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261"/>
      <c r="D78" s="261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261"/>
      <c r="D79" s="261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261"/>
      <c r="D80" s="261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261"/>
      <c r="D81" s="261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389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2779-ED5C-44A2-852A-B9887333E22B}">
  <sheetPr>
    <pageSetUpPr fitToPage="1"/>
  </sheetPr>
  <dimension ref="A1:AF86"/>
  <sheetViews>
    <sheetView zoomScale="72" zoomScaleNormal="72" zoomScaleSheetLayoutView="70" workbookViewId="0">
      <selection activeCell="K20" sqref="K2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390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0.4055555555555555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0.4055555555555555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114</v>
      </c>
      <c r="D8" s="55" t="s">
        <v>149</v>
      </c>
      <c r="E8" s="57" t="s">
        <v>353</v>
      </c>
      <c r="F8" s="33" t="s">
        <v>184</v>
      </c>
      <c r="G8" s="36">
        <v>1</v>
      </c>
      <c r="H8" s="38">
        <v>25</v>
      </c>
      <c r="I8" s="7">
        <v>16000</v>
      </c>
      <c r="J8" s="5">
        <v>4887</v>
      </c>
      <c r="K8" s="15">
        <f>L8+266+2635+4733</f>
        <v>12521</v>
      </c>
      <c r="L8" s="15">
        <f>2387+2500</f>
        <v>4887</v>
      </c>
      <c r="M8" s="16">
        <f t="shared" si="0"/>
        <v>4887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0.4055555555555555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205</v>
      </c>
      <c r="E9" s="57" t="s">
        <v>372</v>
      </c>
      <c r="F9" s="33" t="s">
        <v>379</v>
      </c>
      <c r="G9" s="36">
        <v>16</v>
      </c>
      <c r="H9" s="38">
        <v>25</v>
      </c>
      <c r="I9" s="7">
        <v>60000</v>
      </c>
      <c r="J9" s="5">
        <v>87408</v>
      </c>
      <c r="K9" s="15">
        <f>L9+87408</f>
        <v>87408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0.4055555555555555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159</v>
      </c>
      <c r="F10" s="12">
        <v>7301</v>
      </c>
      <c r="G10" s="12">
        <v>1</v>
      </c>
      <c r="H10" s="13">
        <v>25</v>
      </c>
      <c r="I10" s="7">
        <v>20000</v>
      </c>
      <c r="J10" s="14">
        <v>5760</v>
      </c>
      <c r="K10" s="15">
        <f>L10+3001+3031+5525</f>
        <v>17317</v>
      </c>
      <c r="L10" s="15">
        <f>2804+2956</f>
        <v>5760</v>
      </c>
      <c r="M10" s="16">
        <f t="shared" si="0"/>
        <v>5760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0.4055555555555555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337</v>
      </c>
      <c r="F11" s="12" t="s">
        <v>127</v>
      </c>
      <c r="G11" s="12">
        <v>1</v>
      </c>
      <c r="H11" s="13">
        <v>25</v>
      </c>
      <c r="I11" s="34">
        <v>30000</v>
      </c>
      <c r="J11" s="5">
        <v>5826</v>
      </c>
      <c r="K11" s="15">
        <f>L11+2806+1820+5637</f>
        <v>16089</v>
      </c>
      <c r="L11" s="15">
        <f>2820+3006</f>
        <v>5826</v>
      </c>
      <c r="M11" s="16">
        <f t="shared" si="0"/>
        <v>5826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0.4055555555555555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277</v>
      </c>
      <c r="F12" s="12" t="s">
        <v>284</v>
      </c>
      <c r="G12" s="12">
        <v>1</v>
      </c>
      <c r="H12" s="13">
        <v>25</v>
      </c>
      <c r="I12" s="7">
        <v>10000</v>
      </c>
      <c r="J12" s="14">
        <v>7616</v>
      </c>
      <c r="K12" s="15">
        <f>L12</f>
        <v>7616</v>
      </c>
      <c r="L12" s="15">
        <f>2090*2+1718*2</f>
        <v>7616</v>
      </c>
      <c r="M12" s="16">
        <f t="shared" si="0"/>
        <v>7616</v>
      </c>
      <c r="N12" s="16">
        <v>0</v>
      </c>
      <c r="O12" s="62">
        <f t="shared" si="1"/>
        <v>0</v>
      </c>
      <c r="P12" s="42">
        <f t="shared" si="2"/>
        <v>22</v>
      </c>
      <c r="Q12" s="43">
        <f t="shared" si="3"/>
        <v>2</v>
      </c>
      <c r="R12" s="7"/>
      <c r="S12" s="6"/>
      <c r="T12" s="17">
        <v>2</v>
      </c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9">
        <f t="shared" si="7"/>
        <v>0.4055555555555555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283</v>
      </c>
      <c r="F13" s="12" t="s">
        <v>122</v>
      </c>
      <c r="G13" s="12">
        <v>1</v>
      </c>
      <c r="H13" s="13">
        <v>25</v>
      </c>
      <c r="I13" s="7">
        <v>3000</v>
      </c>
      <c r="J13" s="14">
        <v>414</v>
      </c>
      <c r="K13" s="15">
        <f>L13+2760+414</f>
        <v>3174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0.4055555555555555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329</v>
      </c>
      <c r="F14" s="33" t="s">
        <v>155</v>
      </c>
      <c r="G14" s="36">
        <v>1</v>
      </c>
      <c r="H14" s="38">
        <v>25</v>
      </c>
      <c r="I14" s="7">
        <v>1000</v>
      </c>
      <c r="J14" s="5">
        <v>1282</v>
      </c>
      <c r="K14" s="15">
        <f>L14+352+505+1282</f>
        <v>2139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0.4055555555555555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150</v>
      </c>
      <c r="D15" s="55" t="s">
        <v>121</v>
      </c>
      <c r="E15" s="57" t="s">
        <v>163</v>
      </c>
      <c r="F15" s="12">
        <v>8301</v>
      </c>
      <c r="G15" s="12" t="s">
        <v>137</v>
      </c>
      <c r="H15" s="13">
        <v>24</v>
      </c>
      <c r="I15" s="34">
        <v>2000</v>
      </c>
      <c r="J15" s="14">
        <v>2505</v>
      </c>
      <c r="K15" s="15">
        <f>L15+2150+2505</f>
        <v>4655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0.4055555555555555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354</v>
      </c>
      <c r="F16" s="33" t="s">
        <v>184</v>
      </c>
      <c r="G16" s="36">
        <v>1</v>
      </c>
      <c r="H16" s="38">
        <v>24</v>
      </c>
      <c r="I16" s="7">
        <v>700</v>
      </c>
      <c r="J16" s="5">
        <v>810</v>
      </c>
      <c r="K16" s="15">
        <f>L16+810</f>
        <v>810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0.4055555555555555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114</v>
      </c>
      <c r="D17" s="55" t="s">
        <v>331</v>
      </c>
      <c r="E17" s="57" t="s">
        <v>324</v>
      </c>
      <c r="F17" s="12">
        <v>8301</v>
      </c>
      <c r="G17" s="12">
        <v>1</v>
      </c>
      <c r="H17" s="13">
        <v>24</v>
      </c>
      <c r="I17" s="34">
        <v>2000</v>
      </c>
      <c r="J17" s="14">
        <v>2520</v>
      </c>
      <c r="K17" s="15">
        <f>L17+824+2520</f>
        <v>3344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0.4055555555555555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114</v>
      </c>
      <c r="D18" s="55" t="s">
        <v>148</v>
      </c>
      <c r="E18" s="57" t="s">
        <v>164</v>
      </c>
      <c r="F18" s="12" t="s">
        <v>122</v>
      </c>
      <c r="G18" s="36">
        <v>1</v>
      </c>
      <c r="H18" s="38">
        <v>24</v>
      </c>
      <c r="I18" s="7">
        <v>4000</v>
      </c>
      <c r="J18" s="5">
        <v>5097</v>
      </c>
      <c r="K18" s="15">
        <f>L18+3851</f>
        <v>8948</v>
      </c>
      <c r="L18" s="15">
        <f>2483+2614</f>
        <v>5097</v>
      </c>
      <c r="M18" s="16">
        <f t="shared" si="0"/>
        <v>5097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0.4055555555555555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343</v>
      </c>
      <c r="F19" s="12" t="s">
        <v>355</v>
      </c>
      <c r="G19" s="36">
        <v>1</v>
      </c>
      <c r="H19" s="13">
        <v>24</v>
      </c>
      <c r="I19" s="7">
        <v>20000</v>
      </c>
      <c r="J19" s="14">
        <v>4266</v>
      </c>
      <c r="K19" s="15">
        <f>L19+2650+2688+5069</f>
        <v>14673</v>
      </c>
      <c r="L19" s="15">
        <f>1551+2715</f>
        <v>4266</v>
      </c>
      <c r="M19" s="16">
        <f t="shared" si="0"/>
        <v>4266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9">
        <f t="shared" si="7"/>
        <v>0.4055555555555555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391</v>
      </c>
      <c r="F20" s="12" t="s">
        <v>116</v>
      </c>
      <c r="G20" s="12">
        <v>4</v>
      </c>
      <c r="H20" s="38">
        <v>20</v>
      </c>
      <c r="I20" s="7">
        <v>300000</v>
      </c>
      <c r="J20" s="14">
        <v>15040</v>
      </c>
      <c r="K20" s="15">
        <f>L20</f>
        <v>15040</v>
      </c>
      <c r="L20" s="15">
        <f>1208*4+2552*4</f>
        <v>15040</v>
      </c>
      <c r="M20" s="16">
        <f t="shared" si="0"/>
        <v>15040</v>
      </c>
      <c r="N20" s="16">
        <v>0</v>
      </c>
      <c r="O20" s="62">
        <f t="shared" si="1"/>
        <v>0</v>
      </c>
      <c r="P20" s="42">
        <f t="shared" si="2"/>
        <v>8</v>
      </c>
      <c r="Q20" s="43">
        <f t="shared" si="3"/>
        <v>16</v>
      </c>
      <c r="R20" s="7">
        <v>4</v>
      </c>
      <c r="S20" s="6">
        <v>12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0.33333333333333331</v>
      </c>
      <c r="AD20" s="10">
        <f t="shared" si="6"/>
        <v>0.33333333333333331</v>
      </c>
      <c r="AE20" s="39">
        <f t="shared" si="7"/>
        <v>0.4055555555555555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468700</v>
      </c>
      <c r="J21" s="22">
        <f t="shared" si="9"/>
        <v>143431</v>
      </c>
      <c r="K21" s="23">
        <f t="shared" si="9"/>
        <v>193734</v>
      </c>
      <c r="L21" s="24">
        <f t="shared" si="9"/>
        <v>48492</v>
      </c>
      <c r="M21" s="23">
        <f t="shared" si="9"/>
        <v>48492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146</v>
      </c>
      <c r="Q21" s="46">
        <f t="shared" si="10"/>
        <v>214</v>
      </c>
      <c r="R21" s="26">
        <f t="shared" si="10"/>
        <v>28</v>
      </c>
      <c r="S21" s="27">
        <f t="shared" si="10"/>
        <v>16</v>
      </c>
      <c r="T21" s="27">
        <f t="shared" si="10"/>
        <v>2</v>
      </c>
      <c r="U21" s="27">
        <f t="shared" si="10"/>
        <v>0</v>
      </c>
      <c r="V21" s="28">
        <f t="shared" si="10"/>
        <v>0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0.4055555555555555</v>
      </c>
      <c r="AD21" s="4">
        <f>SUM(AD6:AD20)/15</f>
        <v>0.4055555555555555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392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395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270" t="s">
        <v>46</v>
      </c>
      <c r="D50" s="270" t="s">
        <v>47</v>
      </c>
      <c r="E50" s="270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270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126</v>
      </c>
      <c r="B51" s="431"/>
      <c r="C51" s="267" t="s">
        <v>225</v>
      </c>
      <c r="D51" s="267" t="s">
        <v>117</v>
      </c>
      <c r="E51" s="267" t="s">
        <v>277</v>
      </c>
      <c r="F51" s="483" t="s">
        <v>119</v>
      </c>
      <c r="G51" s="484"/>
      <c r="H51" s="484"/>
      <c r="I51" s="484"/>
      <c r="J51" s="484"/>
      <c r="K51" s="484"/>
      <c r="L51" s="484"/>
      <c r="M51" s="485"/>
      <c r="N51" s="266" t="s">
        <v>126</v>
      </c>
      <c r="O51" s="124" t="s">
        <v>123</v>
      </c>
      <c r="P51" s="431" t="s">
        <v>120</v>
      </c>
      <c r="Q51" s="431"/>
      <c r="R51" s="431" t="s">
        <v>396</v>
      </c>
      <c r="S51" s="431"/>
      <c r="T51" s="431"/>
      <c r="U51" s="431"/>
      <c r="V51" s="422" t="s">
        <v>119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126</v>
      </c>
      <c r="B52" s="431"/>
      <c r="C52" s="267" t="s">
        <v>174</v>
      </c>
      <c r="D52" s="267" t="s">
        <v>117</v>
      </c>
      <c r="E52" s="267" t="s">
        <v>343</v>
      </c>
      <c r="F52" s="483" t="s">
        <v>393</v>
      </c>
      <c r="G52" s="484"/>
      <c r="H52" s="484"/>
      <c r="I52" s="484"/>
      <c r="J52" s="484"/>
      <c r="K52" s="484"/>
      <c r="L52" s="484"/>
      <c r="M52" s="485"/>
      <c r="N52" s="266" t="s">
        <v>114</v>
      </c>
      <c r="O52" s="124" t="s">
        <v>125</v>
      </c>
      <c r="P52" s="439" t="s">
        <v>148</v>
      </c>
      <c r="Q52" s="440"/>
      <c r="R52" s="431" t="s">
        <v>397</v>
      </c>
      <c r="S52" s="431"/>
      <c r="T52" s="431"/>
      <c r="U52" s="431"/>
      <c r="V52" s="422" t="s">
        <v>188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115</v>
      </c>
      <c r="B53" s="431"/>
      <c r="C53" s="267" t="s">
        <v>383</v>
      </c>
      <c r="D53" s="267"/>
      <c r="E53" s="267" t="s">
        <v>391</v>
      </c>
      <c r="F53" s="483" t="s">
        <v>394</v>
      </c>
      <c r="G53" s="484"/>
      <c r="H53" s="484"/>
      <c r="I53" s="484"/>
      <c r="J53" s="484"/>
      <c r="K53" s="484"/>
      <c r="L53" s="484"/>
      <c r="M53" s="485"/>
      <c r="N53" s="266" t="s">
        <v>114</v>
      </c>
      <c r="O53" s="124" t="s">
        <v>179</v>
      </c>
      <c r="P53" s="439" t="s">
        <v>146</v>
      </c>
      <c r="Q53" s="440"/>
      <c r="R53" s="431" t="s">
        <v>245</v>
      </c>
      <c r="S53" s="431"/>
      <c r="T53" s="431"/>
      <c r="U53" s="431"/>
      <c r="V53" s="422" t="s">
        <v>188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/>
      <c r="B54" s="431"/>
      <c r="C54" s="267"/>
      <c r="D54" s="267"/>
      <c r="E54" s="267"/>
      <c r="F54" s="483"/>
      <c r="G54" s="484"/>
      <c r="H54" s="484"/>
      <c r="I54" s="484"/>
      <c r="J54" s="484"/>
      <c r="K54" s="484"/>
      <c r="L54" s="484"/>
      <c r="M54" s="485"/>
      <c r="N54" s="266" t="s">
        <v>118</v>
      </c>
      <c r="O54" s="124" t="s">
        <v>208</v>
      </c>
      <c r="P54" s="439" t="s">
        <v>121</v>
      </c>
      <c r="Q54" s="440"/>
      <c r="R54" s="431" t="s">
        <v>398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267"/>
      <c r="D55" s="267"/>
      <c r="E55" s="267"/>
      <c r="F55" s="483"/>
      <c r="G55" s="484"/>
      <c r="H55" s="484"/>
      <c r="I55" s="484"/>
      <c r="J55" s="484"/>
      <c r="K55" s="484"/>
      <c r="L55" s="484"/>
      <c r="M55" s="485"/>
      <c r="N55" s="266" t="s">
        <v>115</v>
      </c>
      <c r="O55" s="124" t="s">
        <v>383</v>
      </c>
      <c r="P55" s="431"/>
      <c r="Q55" s="431"/>
      <c r="R55" s="431" t="s">
        <v>391</v>
      </c>
      <c r="S55" s="431"/>
      <c r="T55" s="431"/>
      <c r="U55" s="431"/>
      <c r="V55" s="422" t="s">
        <v>124</v>
      </c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267"/>
      <c r="D56" s="267"/>
      <c r="E56" s="267"/>
      <c r="F56" s="483"/>
      <c r="G56" s="484"/>
      <c r="H56" s="484"/>
      <c r="I56" s="484"/>
      <c r="J56" s="484"/>
      <c r="K56" s="484"/>
      <c r="L56" s="484"/>
      <c r="M56" s="485"/>
      <c r="N56" s="266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67"/>
      <c r="D57" s="267"/>
      <c r="E57" s="267"/>
      <c r="F57" s="422"/>
      <c r="G57" s="422"/>
      <c r="H57" s="422"/>
      <c r="I57" s="422"/>
      <c r="J57" s="422"/>
      <c r="K57" s="422"/>
      <c r="L57" s="422"/>
      <c r="M57" s="432"/>
      <c r="N57" s="266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67"/>
      <c r="D58" s="267"/>
      <c r="E58" s="267"/>
      <c r="F58" s="422"/>
      <c r="G58" s="422"/>
      <c r="H58" s="422"/>
      <c r="I58" s="422"/>
      <c r="J58" s="422"/>
      <c r="K58" s="422"/>
      <c r="L58" s="422"/>
      <c r="M58" s="432"/>
      <c r="N58" s="266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67"/>
      <c r="D59" s="267"/>
      <c r="E59" s="267"/>
      <c r="F59" s="422"/>
      <c r="G59" s="422"/>
      <c r="H59" s="422"/>
      <c r="I59" s="422"/>
      <c r="J59" s="422"/>
      <c r="K59" s="422"/>
      <c r="L59" s="422"/>
      <c r="M59" s="432"/>
      <c r="N59" s="266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269"/>
      <c r="D60" s="269"/>
      <c r="E60" s="269"/>
      <c r="F60" s="435"/>
      <c r="G60" s="435"/>
      <c r="H60" s="435"/>
      <c r="I60" s="435"/>
      <c r="J60" s="435"/>
      <c r="K60" s="435"/>
      <c r="L60" s="435"/>
      <c r="M60" s="436"/>
      <c r="N60" s="268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399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265" t="s">
        <v>2</v>
      </c>
      <c r="D62" s="265" t="s">
        <v>37</v>
      </c>
      <c r="E62" s="265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265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114</v>
      </c>
      <c r="D63" s="261"/>
      <c r="E63" s="264" t="s">
        <v>146</v>
      </c>
      <c r="F63" s="420" t="s">
        <v>245</v>
      </c>
      <c r="G63" s="412"/>
      <c r="H63" s="412"/>
      <c r="I63" s="412"/>
      <c r="J63" s="412"/>
      <c r="K63" s="412" t="s">
        <v>182</v>
      </c>
      <c r="L63" s="412"/>
      <c r="M63" s="54" t="s">
        <v>192</v>
      </c>
      <c r="N63" s="412">
        <v>11</v>
      </c>
      <c r="O63" s="412"/>
      <c r="P63" s="421">
        <v>50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114</v>
      </c>
      <c r="D64" s="261"/>
      <c r="E64" s="264" t="s">
        <v>148</v>
      </c>
      <c r="F64" s="420" t="s">
        <v>397</v>
      </c>
      <c r="G64" s="412"/>
      <c r="H64" s="412"/>
      <c r="I64" s="412"/>
      <c r="J64" s="412"/>
      <c r="K64" s="412" t="s">
        <v>128</v>
      </c>
      <c r="L64" s="412"/>
      <c r="M64" s="54" t="s">
        <v>192</v>
      </c>
      <c r="N64" s="412">
        <v>8</v>
      </c>
      <c r="O64" s="412"/>
      <c r="P64" s="421">
        <v>50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 t="s">
        <v>114</v>
      </c>
      <c r="D65" s="261"/>
      <c r="E65" s="264" t="s">
        <v>117</v>
      </c>
      <c r="F65" s="420" t="s">
        <v>364</v>
      </c>
      <c r="G65" s="412"/>
      <c r="H65" s="412"/>
      <c r="I65" s="412"/>
      <c r="J65" s="412"/>
      <c r="K65" s="412" t="s">
        <v>374</v>
      </c>
      <c r="L65" s="412"/>
      <c r="M65" s="54" t="s">
        <v>192</v>
      </c>
      <c r="N65" s="412">
        <v>4</v>
      </c>
      <c r="O65" s="412"/>
      <c r="P65" s="421">
        <v>50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 t="s">
        <v>114</v>
      </c>
      <c r="D66" s="261"/>
      <c r="E66" s="264" t="s">
        <v>148</v>
      </c>
      <c r="F66" s="420" t="s">
        <v>400</v>
      </c>
      <c r="G66" s="412"/>
      <c r="H66" s="412"/>
      <c r="I66" s="412"/>
      <c r="J66" s="412"/>
      <c r="K66" s="412" t="s">
        <v>122</v>
      </c>
      <c r="L66" s="412"/>
      <c r="M66" s="54" t="s">
        <v>192</v>
      </c>
      <c r="N66" s="412">
        <v>4</v>
      </c>
      <c r="O66" s="412"/>
      <c r="P66" s="421">
        <v>50</v>
      </c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 t="s">
        <v>118</v>
      </c>
      <c r="D67" s="261"/>
      <c r="E67" s="264" t="s">
        <v>117</v>
      </c>
      <c r="F67" s="420" t="s">
        <v>401</v>
      </c>
      <c r="G67" s="412"/>
      <c r="H67" s="412"/>
      <c r="I67" s="412"/>
      <c r="J67" s="412"/>
      <c r="K67" s="412" t="s">
        <v>128</v>
      </c>
      <c r="L67" s="412"/>
      <c r="M67" s="54" t="s">
        <v>192</v>
      </c>
      <c r="N67" s="412">
        <v>4</v>
      </c>
      <c r="O67" s="412"/>
      <c r="P67" s="421">
        <v>50</v>
      </c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 t="s">
        <v>118</v>
      </c>
      <c r="D68" s="261"/>
      <c r="E68" s="264" t="s">
        <v>146</v>
      </c>
      <c r="F68" s="420" t="s">
        <v>320</v>
      </c>
      <c r="G68" s="412"/>
      <c r="H68" s="412"/>
      <c r="I68" s="412"/>
      <c r="J68" s="412"/>
      <c r="K68" s="412" t="s">
        <v>128</v>
      </c>
      <c r="L68" s="412"/>
      <c r="M68" s="54" t="s">
        <v>192</v>
      </c>
      <c r="N68" s="412">
        <v>8</v>
      </c>
      <c r="O68" s="412"/>
      <c r="P68" s="421">
        <v>50</v>
      </c>
      <c r="Q68" s="421"/>
      <c r="R68" s="422" t="s">
        <v>402</v>
      </c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261"/>
      <c r="E69" s="264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261"/>
      <c r="E70" s="264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403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263" t="s">
        <v>2</v>
      </c>
      <c r="D72" s="263" t="s">
        <v>37</v>
      </c>
      <c r="E72" s="263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262" t="s">
        <v>114</v>
      </c>
      <c r="D73" s="262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261"/>
      <c r="D74" s="261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261"/>
      <c r="D75" s="261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261"/>
      <c r="D76" s="261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261"/>
      <c r="D77" s="261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261"/>
      <c r="D78" s="261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261"/>
      <c r="D79" s="261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261"/>
      <c r="D80" s="261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261"/>
      <c r="D81" s="261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404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AD65-0B1A-466F-8CB2-B437839646AE}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405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72" t="s">
        <v>17</v>
      </c>
      <c r="L5" s="272" t="s">
        <v>18</v>
      </c>
      <c r="M5" s="272" t="s">
        <v>19</v>
      </c>
      <c r="N5" s="27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0.6054763791393224</v>
      </c>
      <c r="AF6" s="93">
        <f t="shared" ref="AF6:AF22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0.6054763791393224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114</v>
      </c>
      <c r="D8" s="55" t="s">
        <v>149</v>
      </c>
      <c r="E8" s="57" t="s">
        <v>353</v>
      </c>
      <c r="F8" s="33" t="s">
        <v>184</v>
      </c>
      <c r="G8" s="36">
        <v>1</v>
      </c>
      <c r="H8" s="38">
        <v>25</v>
      </c>
      <c r="I8" s="7">
        <v>16000</v>
      </c>
      <c r="J8" s="5">
        <v>5214</v>
      </c>
      <c r="K8" s="15">
        <f>L8+266+2635+4733+4887</f>
        <v>17735</v>
      </c>
      <c r="L8" s="15">
        <f>2560+2654</f>
        <v>5214</v>
      </c>
      <c r="M8" s="16">
        <f t="shared" si="0"/>
        <v>5214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0.6054763791393224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146</v>
      </c>
      <c r="E9" s="57" t="s">
        <v>320</v>
      </c>
      <c r="F9" s="33" t="s">
        <v>128</v>
      </c>
      <c r="G9" s="36">
        <v>1</v>
      </c>
      <c r="H9" s="38">
        <v>25</v>
      </c>
      <c r="I9" s="7">
        <v>500</v>
      </c>
      <c r="J9" s="5">
        <v>998</v>
      </c>
      <c r="K9" s="15">
        <f>L9</f>
        <v>998</v>
      </c>
      <c r="L9" s="15">
        <v>998</v>
      </c>
      <c r="M9" s="16">
        <f t="shared" si="0"/>
        <v>998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9">
        <f t="shared" si="7"/>
        <v>0.6054763791393224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37" t="s">
        <v>118</v>
      </c>
      <c r="D10" s="55" t="s">
        <v>117</v>
      </c>
      <c r="E10" s="57" t="s">
        <v>401</v>
      </c>
      <c r="F10" s="33" t="s">
        <v>128</v>
      </c>
      <c r="G10" s="36">
        <v>1</v>
      </c>
      <c r="H10" s="38">
        <v>25</v>
      </c>
      <c r="I10" s="7">
        <v>500</v>
      </c>
      <c r="J10" s="5">
        <v>589</v>
      </c>
      <c r="K10" s="15">
        <f>L10</f>
        <v>589</v>
      </c>
      <c r="L10" s="15">
        <v>589</v>
      </c>
      <c r="M10" s="16">
        <f t="shared" ref="M10" si="9">L10-N10</f>
        <v>589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6</v>
      </c>
      <c r="Q10" s="43">
        <f t="shared" ref="Q10" si="12">SUM(R10:AA10)</f>
        <v>18</v>
      </c>
      <c r="R10" s="7"/>
      <c r="S10" s="6"/>
      <c r="T10" s="17"/>
      <c r="U10" s="17"/>
      <c r="V10" s="18"/>
      <c r="W10" s="19">
        <v>18</v>
      </c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0.25</v>
      </c>
      <c r="AD10" s="10">
        <f t="shared" ref="AD10" si="15">AC10*AB10*(1-O10)</f>
        <v>0.25</v>
      </c>
      <c r="AE10" s="39">
        <f t="shared" si="7"/>
        <v>0.6054763791393224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126</v>
      </c>
      <c r="D11" s="55" t="s">
        <v>120</v>
      </c>
      <c r="E11" s="57" t="s">
        <v>159</v>
      </c>
      <c r="F11" s="12">
        <v>7301</v>
      </c>
      <c r="G11" s="12">
        <v>1</v>
      </c>
      <c r="H11" s="13">
        <v>25</v>
      </c>
      <c r="I11" s="7">
        <v>20000</v>
      </c>
      <c r="J11" s="14">
        <v>960</v>
      </c>
      <c r="K11" s="15">
        <f>L11+3001+3031+5525+5760</f>
        <v>18277</v>
      </c>
      <c r="L11" s="15">
        <v>960</v>
      </c>
      <c r="M11" s="16">
        <f t="shared" si="0"/>
        <v>960</v>
      </c>
      <c r="N11" s="16">
        <v>0</v>
      </c>
      <c r="O11" s="62">
        <f t="shared" si="1"/>
        <v>0</v>
      </c>
      <c r="P11" s="42">
        <f t="shared" si="2"/>
        <v>5</v>
      </c>
      <c r="Q11" s="43">
        <f t="shared" si="3"/>
        <v>19</v>
      </c>
      <c r="R11" s="7"/>
      <c r="S11" s="6"/>
      <c r="T11" s="17"/>
      <c r="U11" s="17"/>
      <c r="V11" s="18"/>
      <c r="W11" s="19">
        <v>19</v>
      </c>
      <c r="X11" s="17"/>
      <c r="Y11" s="20"/>
      <c r="Z11" s="20"/>
      <c r="AA11" s="21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9">
        <f t="shared" si="7"/>
        <v>0.6054763791393224</v>
      </c>
      <c r="AF11" s="93">
        <f t="shared" si="8"/>
        <v>5</v>
      </c>
    </row>
    <row r="12" spans="1:32" ht="27" customHeight="1">
      <c r="A12" s="109">
        <v>5</v>
      </c>
      <c r="B12" s="11" t="s">
        <v>57</v>
      </c>
      <c r="C12" s="11" t="s">
        <v>126</v>
      </c>
      <c r="D12" s="55" t="s">
        <v>120</v>
      </c>
      <c r="E12" s="57" t="s">
        <v>396</v>
      </c>
      <c r="F12" s="12" t="s">
        <v>122</v>
      </c>
      <c r="G12" s="12">
        <v>1</v>
      </c>
      <c r="H12" s="13">
        <v>25</v>
      </c>
      <c r="I12" s="7">
        <v>70000</v>
      </c>
      <c r="J12" s="14">
        <v>4580</v>
      </c>
      <c r="K12" s="15">
        <f>L12</f>
        <v>4579</v>
      </c>
      <c r="L12" s="15">
        <f>1796+2783</f>
        <v>4579</v>
      </c>
      <c r="M12" s="16">
        <f t="shared" ref="M12" si="17">L12-N12</f>
        <v>4579</v>
      </c>
      <c r="N12" s="16">
        <v>0</v>
      </c>
      <c r="O12" s="62">
        <f t="shared" ref="O12" si="18">IF(L12=0,"0",N12/L12)</f>
        <v>0</v>
      </c>
      <c r="P12" s="42">
        <f t="shared" ref="P12" si="19">IF(L12=0,"0",(24-Q12))</f>
        <v>18</v>
      </c>
      <c r="Q12" s="43">
        <f t="shared" ref="Q12" si="20">SUM(R12:AA12)</f>
        <v>6</v>
      </c>
      <c r="R12" s="7"/>
      <c r="S12" s="6"/>
      <c r="T12" s="17">
        <v>6</v>
      </c>
      <c r="U12" s="17"/>
      <c r="V12" s="18"/>
      <c r="W12" s="19"/>
      <c r="X12" s="17"/>
      <c r="Y12" s="20"/>
      <c r="Z12" s="20"/>
      <c r="AA12" s="21"/>
      <c r="AB12" s="8">
        <f t="shared" ref="AB12" si="21">IF(J12=0,"0",(L12/J12))</f>
        <v>0.99978165938864627</v>
      </c>
      <c r="AC12" s="9">
        <f t="shared" ref="AC12" si="22">IF(P12=0,"0",(P12/24))</f>
        <v>0.75</v>
      </c>
      <c r="AD12" s="10">
        <f t="shared" ref="AD12" si="23">AC12*AB12*(1-O12)</f>
        <v>0.74983624454148468</v>
      </c>
      <c r="AE12" s="39">
        <f t="shared" si="7"/>
        <v>0.6054763791393224</v>
      </c>
      <c r="AF12" s="93">
        <f t="shared" ref="AF12" si="24">A12</f>
        <v>5</v>
      </c>
    </row>
    <row r="13" spans="1:32" ht="27" customHeight="1">
      <c r="A13" s="109">
        <v>6</v>
      </c>
      <c r="B13" s="11" t="s">
        <v>57</v>
      </c>
      <c r="C13" s="37" t="s">
        <v>126</v>
      </c>
      <c r="D13" s="55" t="s">
        <v>121</v>
      </c>
      <c r="E13" s="57" t="s">
        <v>337</v>
      </c>
      <c r="F13" s="12" t="s">
        <v>127</v>
      </c>
      <c r="G13" s="12">
        <v>1</v>
      </c>
      <c r="H13" s="13">
        <v>25</v>
      </c>
      <c r="I13" s="34">
        <v>30000</v>
      </c>
      <c r="J13" s="5">
        <v>5860</v>
      </c>
      <c r="K13" s="15">
        <f>L13+2806+1820+5637+5826</f>
        <v>21943</v>
      </c>
      <c r="L13" s="15">
        <f>3114+2740</f>
        <v>5854</v>
      </c>
      <c r="M13" s="16">
        <f t="shared" si="0"/>
        <v>5854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0.99897610921501712</v>
      </c>
      <c r="AC13" s="9">
        <f t="shared" si="5"/>
        <v>1</v>
      </c>
      <c r="AD13" s="10">
        <f t="shared" si="6"/>
        <v>0.99897610921501712</v>
      </c>
      <c r="AE13" s="39">
        <f t="shared" si="7"/>
        <v>0.6054763791393224</v>
      </c>
      <c r="AF13" s="93">
        <f t="shared" si="8"/>
        <v>6</v>
      </c>
    </row>
    <row r="14" spans="1:32" ht="27" customHeight="1">
      <c r="A14" s="109">
        <v>7</v>
      </c>
      <c r="B14" s="11" t="s">
        <v>57</v>
      </c>
      <c r="C14" s="11" t="s">
        <v>126</v>
      </c>
      <c r="D14" s="55" t="s">
        <v>117</v>
      </c>
      <c r="E14" s="57" t="s">
        <v>277</v>
      </c>
      <c r="F14" s="12" t="s">
        <v>284</v>
      </c>
      <c r="G14" s="12">
        <v>1</v>
      </c>
      <c r="H14" s="13">
        <v>25</v>
      </c>
      <c r="I14" s="7">
        <v>10000</v>
      </c>
      <c r="J14" s="14">
        <v>8336</v>
      </c>
      <c r="K14" s="15">
        <f>L14+7616</f>
        <v>15952</v>
      </c>
      <c r="L14" s="15">
        <f>1916*2+2252*2</f>
        <v>8336</v>
      </c>
      <c r="M14" s="16">
        <f t="shared" si="0"/>
        <v>8336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 t="shared" si="7"/>
        <v>0.6054763791393224</v>
      </c>
      <c r="AF14" s="93">
        <f t="shared" si="8"/>
        <v>7</v>
      </c>
    </row>
    <row r="15" spans="1:32" ht="27" customHeight="1">
      <c r="A15" s="109">
        <v>8</v>
      </c>
      <c r="B15" s="11" t="s">
        <v>57</v>
      </c>
      <c r="C15" s="11" t="s">
        <v>114</v>
      </c>
      <c r="D15" s="55" t="s">
        <v>148</v>
      </c>
      <c r="E15" s="57" t="s">
        <v>397</v>
      </c>
      <c r="F15" s="12" t="s">
        <v>128</v>
      </c>
      <c r="G15" s="12">
        <v>1</v>
      </c>
      <c r="H15" s="13">
        <v>25</v>
      </c>
      <c r="I15" s="7">
        <v>6000</v>
      </c>
      <c r="J15" s="14">
        <v>3302</v>
      </c>
      <c r="K15" s="15">
        <f>L15</f>
        <v>3302</v>
      </c>
      <c r="L15" s="15">
        <f>841+2461</f>
        <v>3302</v>
      </c>
      <c r="M15" s="16">
        <f t="shared" si="0"/>
        <v>3302</v>
      </c>
      <c r="N15" s="16">
        <v>0</v>
      </c>
      <c r="O15" s="62">
        <f t="shared" si="1"/>
        <v>0</v>
      </c>
      <c r="P15" s="42">
        <f t="shared" si="2"/>
        <v>19</v>
      </c>
      <c r="Q15" s="43">
        <f t="shared" si="3"/>
        <v>5</v>
      </c>
      <c r="R15" s="7"/>
      <c r="S15" s="6"/>
      <c r="T15" s="17">
        <v>5</v>
      </c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0.79166666666666663</v>
      </c>
      <c r="AD15" s="10">
        <f t="shared" si="6"/>
        <v>0.79166666666666663</v>
      </c>
      <c r="AE15" s="39">
        <f t="shared" si="7"/>
        <v>0.6054763791393224</v>
      </c>
      <c r="AF15" s="93">
        <f t="shared" si="8"/>
        <v>8</v>
      </c>
    </row>
    <row r="16" spans="1:32" ht="27" customHeight="1">
      <c r="A16" s="227">
        <v>9</v>
      </c>
      <c r="B16" s="11" t="s">
        <v>57</v>
      </c>
      <c r="C16" s="37" t="s">
        <v>118</v>
      </c>
      <c r="D16" s="55" t="s">
        <v>152</v>
      </c>
      <c r="E16" s="57" t="s">
        <v>187</v>
      </c>
      <c r="F16" s="33" t="s">
        <v>155</v>
      </c>
      <c r="G16" s="36">
        <v>1</v>
      </c>
      <c r="H16" s="38">
        <v>25</v>
      </c>
      <c r="I16" s="7">
        <v>300</v>
      </c>
      <c r="J16" s="5">
        <v>158</v>
      </c>
      <c r="K16" s="15">
        <f>L16</f>
        <v>158</v>
      </c>
      <c r="L16" s="15">
        <v>158</v>
      </c>
      <c r="M16" s="16">
        <f t="shared" si="0"/>
        <v>158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9">
        <f t="shared" si="7"/>
        <v>0.6054763791393224</v>
      </c>
      <c r="AF16" s="93">
        <f t="shared" si="8"/>
        <v>9</v>
      </c>
    </row>
    <row r="17" spans="1:32" ht="27" customHeight="1">
      <c r="A17" s="108">
        <v>10</v>
      </c>
      <c r="B17" s="11" t="s">
        <v>57</v>
      </c>
      <c r="C17" s="37" t="s">
        <v>150</v>
      </c>
      <c r="D17" s="55" t="s">
        <v>121</v>
      </c>
      <c r="E17" s="57" t="s">
        <v>163</v>
      </c>
      <c r="F17" s="12">
        <v>8301</v>
      </c>
      <c r="G17" s="12" t="s">
        <v>137</v>
      </c>
      <c r="H17" s="13">
        <v>24</v>
      </c>
      <c r="I17" s="34">
        <v>2000</v>
      </c>
      <c r="J17" s="14">
        <v>2505</v>
      </c>
      <c r="K17" s="15">
        <f>L17+2150+2505</f>
        <v>4655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0.6054763791393224</v>
      </c>
      <c r="AF17" s="93">
        <f t="shared" si="8"/>
        <v>10</v>
      </c>
    </row>
    <row r="18" spans="1:32" ht="27" customHeight="1">
      <c r="A18" s="108">
        <v>11</v>
      </c>
      <c r="B18" s="11" t="s">
        <v>57</v>
      </c>
      <c r="C18" s="37" t="s">
        <v>114</v>
      </c>
      <c r="D18" s="55" t="s">
        <v>146</v>
      </c>
      <c r="E18" s="57" t="s">
        <v>245</v>
      </c>
      <c r="F18" s="33" t="s">
        <v>182</v>
      </c>
      <c r="G18" s="36">
        <v>1</v>
      </c>
      <c r="H18" s="38">
        <v>24</v>
      </c>
      <c r="I18" s="7">
        <v>6000</v>
      </c>
      <c r="J18" s="5">
        <v>430</v>
      </c>
      <c r="K18" s="15">
        <f>L18</f>
        <v>430</v>
      </c>
      <c r="L18" s="15">
        <v>430</v>
      </c>
      <c r="M18" s="16">
        <f t="shared" si="0"/>
        <v>430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>
        <v>20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7"/>
        <v>0.6054763791393224</v>
      </c>
      <c r="AF18" s="93">
        <f t="shared" si="8"/>
        <v>11</v>
      </c>
    </row>
    <row r="19" spans="1:32" ht="27" customHeight="1">
      <c r="A19" s="108">
        <v>12</v>
      </c>
      <c r="B19" s="11" t="s">
        <v>57</v>
      </c>
      <c r="C19" s="37" t="s">
        <v>126</v>
      </c>
      <c r="D19" s="55" t="s">
        <v>133</v>
      </c>
      <c r="E19" s="57" t="s">
        <v>406</v>
      </c>
      <c r="F19" s="12" t="s">
        <v>407</v>
      </c>
      <c r="G19" s="12">
        <v>1</v>
      </c>
      <c r="H19" s="13">
        <v>24</v>
      </c>
      <c r="I19" s="34">
        <v>70000</v>
      </c>
      <c r="J19" s="14">
        <v>5530</v>
      </c>
      <c r="K19" s="15">
        <f>L19</f>
        <v>5530</v>
      </c>
      <c r="L19" s="15">
        <f>2952+2578</f>
        <v>5530</v>
      </c>
      <c r="M19" s="16">
        <f t="shared" si="0"/>
        <v>5530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0.6054763791393224</v>
      </c>
      <c r="AF19" s="93">
        <f t="shared" si="8"/>
        <v>12</v>
      </c>
    </row>
    <row r="20" spans="1:32" ht="27" customHeight="1">
      <c r="A20" s="109">
        <v>13</v>
      </c>
      <c r="B20" s="11" t="s">
        <v>57</v>
      </c>
      <c r="C20" s="37" t="s">
        <v>118</v>
      </c>
      <c r="D20" s="55" t="s">
        <v>121</v>
      </c>
      <c r="E20" s="57" t="s">
        <v>398</v>
      </c>
      <c r="F20" s="12" t="s">
        <v>122</v>
      </c>
      <c r="G20" s="36">
        <v>1</v>
      </c>
      <c r="H20" s="38">
        <v>24</v>
      </c>
      <c r="I20" s="7">
        <v>4000</v>
      </c>
      <c r="J20" s="5">
        <v>5270</v>
      </c>
      <c r="K20" s="15">
        <f>L20</f>
        <v>5270</v>
      </c>
      <c r="L20" s="15">
        <f>2692+2578</f>
        <v>5270</v>
      </c>
      <c r="M20" s="16">
        <f t="shared" si="0"/>
        <v>5270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0.6054763791393224</v>
      </c>
      <c r="AF20" s="93">
        <f t="shared" si="8"/>
        <v>13</v>
      </c>
    </row>
    <row r="21" spans="1:32" ht="27" customHeight="1">
      <c r="A21" s="109">
        <v>14</v>
      </c>
      <c r="B21" s="11" t="s">
        <v>57</v>
      </c>
      <c r="C21" s="11" t="s">
        <v>126</v>
      </c>
      <c r="D21" s="55" t="s">
        <v>117</v>
      </c>
      <c r="E21" s="57" t="s">
        <v>343</v>
      </c>
      <c r="F21" s="12" t="s">
        <v>355</v>
      </c>
      <c r="G21" s="36">
        <v>1</v>
      </c>
      <c r="H21" s="13">
        <v>24</v>
      </c>
      <c r="I21" s="7">
        <v>20000</v>
      </c>
      <c r="J21" s="14">
        <v>5337</v>
      </c>
      <c r="K21" s="15">
        <f>L21+2650+2688+5069+4266</f>
        <v>20010</v>
      </c>
      <c r="L21" s="15">
        <f>2857+2480</f>
        <v>5337</v>
      </c>
      <c r="M21" s="16">
        <f t="shared" si="0"/>
        <v>5337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0.6054763791393224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115</v>
      </c>
      <c r="D22" s="55"/>
      <c r="E22" s="56" t="s">
        <v>391</v>
      </c>
      <c r="F22" s="12" t="s">
        <v>116</v>
      </c>
      <c r="G22" s="12">
        <v>4</v>
      </c>
      <c r="H22" s="38">
        <v>20</v>
      </c>
      <c r="I22" s="7">
        <v>300000</v>
      </c>
      <c r="J22" s="14">
        <v>44972</v>
      </c>
      <c r="K22" s="15">
        <f>L22+15040</f>
        <v>60012</v>
      </c>
      <c r="L22" s="15">
        <f>11243*4</f>
        <v>44972</v>
      </c>
      <c r="M22" s="16">
        <f t="shared" si="0"/>
        <v>44972</v>
      </c>
      <c r="N22" s="16">
        <v>0</v>
      </c>
      <c r="O22" s="62">
        <f t="shared" si="1"/>
        <v>0</v>
      </c>
      <c r="P22" s="42">
        <f t="shared" si="2"/>
        <v>12</v>
      </c>
      <c r="Q22" s="43">
        <f t="shared" si="3"/>
        <v>12</v>
      </c>
      <c r="R22" s="7"/>
      <c r="S22" s="6"/>
      <c r="T22" s="17"/>
      <c r="U22" s="17"/>
      <c r="V22" s="18">
        <v>12</v>
      </c>
      <c r="W22" s="19"/>
      <c r="X22" s="17"/>
      <c r="Y22" s="20"/>
      <c r="Z22" s="20"/>
      <c r="AA22" s="21"/>
      <c r="AB22" s="8">
        <f t="shared" si="4"/>
        <v>1</v>
      </c>
      <c r="AC22" s="9">
        <f t="shared" si="5"/>
        <v>0.5</v>
      </c>
      <c r="AD22" s="10">
        <f t="shared" si="6"/>
        <v>0.5</v>
      </c>
      <c r="AE22" s="39">
        <f t="shared" si="7"/>
        <v>0.6054763791393224</v>
      </c>
      <c r="AF22" s="93">
        <f t="shared" si="8"/>
        <v>15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5">
        <f t="shared" ref="I23:N23" si="25">SUM(I6:I22)</f>
        <v>555300</v>
      </c>
      <c r="J23" s="22">
        <f t="shared" si="25"/>
        <v>94041</v>
      </c>
      <c r="K23" s="23">
        <f t="shared" si="25"/>
        <v>179440</v>
      </c>
      <c r="L23" s="24">
        <f t="shared" si="25"/>
        <v>91529</v>
      </c>
      <c r="M23" s="23">
        <f t="shared" si="25"/>
        <v>91529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218</v>
      </c>
      <c r="Q23" s="46">
        <f t="shared" si="26"/>
        <v>190</v>
      </c>
      <c r="R23" s="26">
        <f t="shared" si="26"/>
        <v>24</v>
      </c>
      <c r="S23" s="27">
        <f t="shared" si="26"/>
        <v>20</v>
      </c>
      <c r="T23" s="27">
        <f t="shared" si="26"/>
        <v>11</v>
      </c>
      <c r="U23" s="27">
        <f t="shared" si="26"/>
        <v>0</v>
      </c>
      <c r="V23" s="28">
        <f t="shared" si="26"/>
        <v>12</v>
      </c>
      <c r="W23" s="29">
        <f t="shared" si="26"/>
        <v>123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0.93325051790691094</v>
      </c>
      <c r="AC23" s="4">
        <f>SUM(AC6:AC22)/15</f>
        <v>0.60555555555555562</v>
      </c>
      <c r="AD23" s="4">
        <f>SUM(AD6:AD22)/15</f>
        <v>0.6054763791393224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47" t="s">
        <v>45</v>
      </c>
      <c r="B50" s="447"/>
      <c r="C50" s="447"/>
      <c r="D50" s="447"/>
      <c r="E50" s="447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48" t="s">
        <v>408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411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273" t="s">
        <v>46</v>
      </c>
      <c r="D52" s="273" t="s">
        <v>47</v>
      </c>
      <c r="E52" s="273" t="s">
        <v>108</v>
      </c>
      <c r="F52" s="455" t="s">
        <v>107</v>
      </c>
      <c r="G52" s="455"/>
      <c r="H52" s="455"/>
      <c r="I52" s="455"/>
      <c r="J52" s="455"/>
      <c r="K52" s="455"/>
      <c r="L52" s="455"/>
      <c r="M52" s="456"/>
      <c r="N52" s="73" t="s">
        <v>112</v>
      </c>
      <c r="O52" s="273" t="s">
        <v>46</v>
      </c>
      <c r="P52" s="457" t="s">
        <v>47</v>
      </c>
      <c r="Q52" s="458"/>
      <c r="R52" s="457" t="s">
        <v>38</v>
      </c>
      <c r="S52" s="459"/>
      <c r="T52" s="459"/>
      <c r="U52" s="458"/>
      <c r="V52" s="457" t="s">
        <v>48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30" t="s">
        <v>118</v>
      </c>
      <c r="B53" s="431"/>
      <c r="C53" s="275" t="s">
        <v>139</v>
      </c>
      <c r="D53" s="275" t="s">
        <v>146</v>
      </c>
      <c r="E53" s="275" t="s">
        <v>320</v>
      </c>
      <c r="F53" s="483" t="s">
        <v>359</v>
      </c>
      <c r="G53" s="484"/>
      <c r="H53" s="484"/>
      <c r="I53" s="484"/>
      <c r="J53" s="484"/>
      <c r="K53" s="484"/>
      <c r="L53" s="484"/>
      <c r="M53" s="485"/>
      <c r="N53" s="274" t="s">
        <v>126</v>
      </c>
      <c r="O53" s="124" t="s">
        <v>223</v>
      </c>
      <c r="P53" s="431" t="s">
        <v>146</v>
      </c>
      <c r="Q53" s="431"/>
      <c r="R53" s="431" t="s">
        <v>412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118</v>
      </c>
      <c r="B54" s="431"/>
      <c r="C54" s="275" t="s">
        <v>139</v>
      </c>
      <c r="D54" s="275" t="s">
        <v>117</v>
      </c>
      <c r="E54" s="275" t="s">
        <v>401</v>
      </c>
      <c r="F54" s="483" t="s">
        <v>359</v>
      </c>
      <c r="G54" s="484"/>
      <c r="H54" s="484"/>
      <c r="I54" s="484"/>
      <c r="J54" s="484"/>
      <c r="K54" s="484"/>
      <c r="L54" s="484"/>
      <c r="M54" s="485"/>
      <c r="N54" s="274" t="s">
        <v>118</v>
      </c>
      <c r="O54" s="124" t="s">
        <v>139</v>
      </c>
      <c r="P54" s="439" t="s">
        <v>121</v>
      </c>
      <c r="Q54" s="440"/>
      <c r="R54" s="431" t="s">
        <v>413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114</v>
      </c>
      <c r="B55" s="431"/>
      <c r="C55" s="275" t="s">
        <v>125</v>
      </c>
      <c r="D55" s="275" t="s">
        <v>148</v>
      </c>
      <c r="E55" s="275" t="s">
        <v>397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274" t="s">
        <v>114</v>
      </c>
      <c r="O55" s="124" t="s">
        <v>179</v>
      </c>
      <c r="P55" s="439" t="s">
        <v>146</v>
      </c>
      <c r="Q55" s="440"/>
      <c r="R55" s="431" t="s">
        <v>245</v>
      </c>
      <c r="S55" s="431"/>
      <c r="T55" s="431"/>
      <c r="U55" s="431"/>
      <c r="V55" s="422" t="s">
        <v>124</v>
      </c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 t="s">
        <v>114</v>
      </c>
      <c r="B56" s="431"/>
      <c r="C56" s="275" t="s">
        <v>179</v>
      </c>
      <c r="D56" s="275" t="s">
        <v>146</v>
      </c>
      <c r="E56" s="275" t="s">
        <v>409</v>
      </c>
      <c r="F56" s="483" t="s">
        <v>410</v>
      </c>
      <c r="G56" s="484"/>
      <c r="H56" s="484"/>
      <c r="I56" s="484"/>
      <c r="J56" s="484"/>
      <c r="K56" s="484"/>
      <c r="L56" s="484"/>
      <c r="M56" s="485"/>
      <c r="N56" s="274" t="s">
        <v>126</v>
      </c>
      <c r="O56" s="124" t="s">
        <v>208</v>
      </c>
      <c r="P56" s="439" t="s">
        <v>117</v>
      </c>
      <c r="Q56" s="440"/>
      <c r="R56" s="431" t="s">
        <v>231</v>
      </c>
      <c r="S56" s="431"/>
      <c r="T56" s="431"/>
      <c r="U56" s="431"/>
      <c r="V56" s="422" t="s">
        <v>119</v>
      </c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 t="s">
        <v>118</v>
      </c>
      <c r="B57" s="431"/>
      <c r="C57" s="275" t="s">
        <v>208</v>
      </c>
      <c r="D57" s="275" t="s">
        <v>121</v>
      </c>
      <c r="E57" s="275" t="s">
        <v>398</v>
      </c>
      <c r="F57" s="483" t="s">
        <v>119</v>
      </c>
      <c r="G57" s="484"/>
      <c r="H57" s="484"/>
      <c r="I57" s="484"/>
      <c r="J57" s="484"/>
      <c r="K57" s="484"/>
      <c r="L57" s="484"/>
      <c r="M57" s="485"/>
      <c r="N57" s="274" t="s">
        <v>126</v>
      </c>
      <c r="O57" s="124" t="s">
        <v>141</v>
      </c>
      <c r="P57" s="431" t="s">
        <v>133</v>
      </c>
      <c r="Q57" s="431"/>
      <c r="R57" s="431" t="s">
        <v>414</v>
      </c>
      <c r="S57" s="431"/>
      <c r="T57" s="431"/>
      <c r="U57" s="431"/>
      <c r="V57" s="422" t="s">
        <v>119</v>
      </c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75"/>
      <c r="D58" s="275"/>
      <c r="E58" s="275"/>
      <c r="F58" s="483"/>
      <c r="G58" s="484"/>
      <c r="H58" s="484"/>
      <c r="I58" s="484"/>
      <c r="J58" s="484"/>
      <c r="K58" s="484"/>
      <c r="L58" s="484"/>
      <c r="M58" s="485"/>
      <c r="N58" s="274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75"/>
      <c r="D59" s="275"/>
      <c r="E59" s="275"/>
      <c r="F59" s="422"/>
      <c r="G59" s="422"/>
      <c r="H59" s="422"/>
      <c r="I59" s="422"/>
      <c r="J59" s="422"/>
      <c r="K59" s="422"/>
      <c r="L59" s="422"/>
      <c r="M59" s="432"/>
      <c r="N59" s="274"/>
      <c r="O59" s="124"/>
      <c r="P59" s="439"/>
      <c r="Q59" s="440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</row>
    <row r="60" spans="1:32" ht="27" customHeight="1">
      <c r="A60" s="430"/>
      <c r="B60" s="431"/>
      <c r="C60" s="275"/>
      <c r="D60" s="275"/>
      <c r="E60" s="275"/>
      <c r="F60" s="422"/>
      <c r="G60" s="422"/>
      <c r="H60" s="422"/>
      <c r="I60" s="422"/>
      <c r="J60" s="422"/>
      <c r="K60" s="422"/>
      <c r="L60" s="422"/>
      <c r="M60" s="432"/>
      <c r="N60" s="274"/>
      <c r="O60" s="124"/>
      <c r="P60" s="439"/>
      <c r="Q60" s="440"/>
      <c r="R60" s="431"/>
      <c r="S60" s="431"/>
      <c r="T60" s="431"/>
      <c r="U60" s="431"/>
      <c r="V60" s="422"/>
      <c r="W60" s="422"/>
      <c r="X60" s="422"/>
      <c r="Y60" s="422"/>
      <c r="Z60" s="422"/>
      <c r="AA60" s="422"/>
      <c r="AB60" s="422"/>
      <c r="AC60" s="422"/>
      <c r="AD60" s="432"/>
    </row>
    <row r="61" spans="1:32" ht="27" customHeight="1">
      <c r="A61" s="430"/>
      <c r="B61" s="431"/>
      <c r="C61" s="275"/>
      <c r="D61" s="275"/>
      <c r="E61" s="275"/>
      <c r="F61" s="422"/>
      <c r="G61" s="422"/>
      <c r="H61" s="422"/>
      <c r="I61" s="422"/>
      <c r="J61" s="422"/>
      <c r="K61" s="422"/>
      <c r="L61" s="422"/>
      <c r="M61" s="432"/>
      <c r="N61" s="274"/>
      <c r="O61" s="124"/>
      <c r="P61" s="431"/>
      <c r="Q61" s="431"/>
      <c r="R61" s="431"/>
      <c r="S61" s="431"/>
      <c r="T61" s="431"/>
      <c r="U61" s="431"/>
      <c r="V61" s="422"/>
      <c r="W61" s="422"/>
      <c r="X61" s="422"/>
      <c r="Y61" s="422"/>
      <c r="Z61" s="422"/>
      <c r="AA61" s="422"/>
      <c r="AB61" s="422"/>
      <c r="AC61" s="422"/>
      <c r="AD61" s="432"/>
      <c r="AF61" s="93">
        <f>8*3000</f>
        <v>24000</v>
      </c>
    </row>
    <row r="62" spans="1:32" ht="27" customHeight="1" thickBot="1">
      <c r="A62" s="433"/>
      <c r="B62" s="434"/>
      <c r="C62" s="277"/>
      <c r="D62" s="277"/>
      <c r="E62" s="277"/>
      <c r="F62" s="435"/>
      <c r="G62" s="435"/>
      <c r="H62" s="435"/>
      <c r="I62" s="435"/>
      <c r="J62" s="435"/>
      <c r="K62" s="435"/>
      <c r="L62" s="435"/>
      <c r="M62" s="436"/>
      <c r="N62" s="276"/>
      <c r="O62" s="120"/>
      <c r="P62" s="434"/>
      <c r="Q62" s="434"/>
      <c r="R62" s="434"/>
      <c r="S62" s="434"/>
      <c r="T62" s="434"/>
      <c r="U62" s="434"/>
      <c r="V62" s="437"/>
      <c r="W62" s="437"/>
      <c r="X62" s="437"/>
      <c r="Y62" s="437"/>
      <c r="Z62" s="437"/>
      <c r="AA62" s="437"/>
      <c r="AB62" s="437"/>
      <c r="AC62" s="437"/>
      <c r="AD62" s="438"/>
      <c r="AF62" s="93">
        <f>16*3000</f>
        <v>48000</v>
      </c>
    </row>
    <row r="63" spans="1:32" ht="27.75" thickBot="1">
      <c r="A63" s="428" t="s">
        <v>415</v>
      </c>
      <c r="B63" s="428"/>
      <c r="C63" s="428"/>
      <c r="D63" s="428"/>
      <c r="E63" s="428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29" t="s">
        <v>113</v>
      </c>
      <c r="B64" s="426"/>
      <c r="C64" s="278" t="s">
        <v>2</v>
      </c>
      <c r="D64" s="278" t="s">
        <v>37</v>
      </c>
      <c r="E64" s="278" t="s">
        <v>3</v>
      </c>
      <c r="F64" s="426" t="s">
        <v>110</v>
      </c>
      <c r="G64" s="426"/>
      <c r="H64" s="426"/>
      <c r="I64" s="426"/>
      <c r="J64" s="426"/>
      <c r="K64" s="426" t="s">
        <v>39</v>
      </c>
      <c r="L64" s="426"/>
      <c r="M64" s="278" t="s">
        <v>40</v>
      </c>
      <c r="N64" s="426" t="s">
        <v>41</v>
      </c>
      <c r="O64" s="426"/>
      <c r="P64" s="423" t="s">
        <v>42</v>
      </c>
      <c r="Q64" s="425"/>
      <c r="R64" s="423" t="s">
        <v>43</v>
      </c>
      <c r="S64" s="424"/>
      <c r="T64" s="424"/>
      <c r="U64" s="424"/>
      <c r="V64" s="424"/>
      <c r="W64" s="424"/>
      <c r="X64" s="424"/>
      <c r="Y64" s="424"/>
      <c r="Z64" s="424"/>
      <c r="AA64" s="425"/>
      <c r="AB64" s="426" t="s">
        <v>44</v>
      </c>
      <c r="AC64" s="426"/>
      <c r="AD64" s="427"/>
      <c r="AF64" s="93">
        <f>SUM(AF61:AF63)</f>
        <v>96000</v>
      </c>
    </row>
    <row r="65" spans="1:32" ht="25.5" customHeight="1">
      <c r="A65" s="418">
        <v>1</v>
      </c>
      <c r="B65" s="419"/>
      <c r="C65" s="123" t="s">
        <v>118</v>
      </c>
      <c r="D65" s="281"/>
      <c r="E65" s="279" t="s">
        <v>146</v>
      </c>
      <c r="F65" s="420" t="s">
        <v>320</v>
      </c>
      <c r="G65" s="412"/>
      <c r="H65" s="412"/>
      <c r="I65" s="412"/>
      <c r="J65" s="412"/>
      <c r="K65" s="412" t="s">
        <v>128</v>
      </c>
      <c r="L65" s="412"/>
      <c r="M65" s="54" t="s">
        <v>192</v>
      </c>
      <c r="N65" s="412">
        <v>4</v>
      </c>
      <c r="O65" s="412"/>
      <c r="P65" s="421">
        <v>50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2</v>
      </c>
      <c r="B66" s="419"/>
      <c r="C66" s="123"/>
      <c r="D66" s="281"/>
      <c r="E66" s="279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3</v>
      </c>
      <c r="B67" s="419"/>
      <c r="C67" s="123"/>
      <c r="D67" s="281"/>
      <c r="E67" s="279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4</v>
      </c>
      <c r="B68" s="419"/>
      <c r="C68" s="123"/>
      <c r="D68" s="281"/>
      <c r="E68" s="279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5</v>
      </c>
      <c r="B69" s="419"/>
      <c r="C69" s="123"/>
      <c r="D69" s="281"/>
      <c r="E69" s="279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6</v>
      </c>
      <c r="B70" s="419"/>
      <c r="C70" s="123"/>
      <c r="D70" s="281"/>
      <c r="E70" s="279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5.5" customHeight="1">
      <c r="A71" s="418">
        <v>7</v>
      </c>
      <c r="B71" s="419"/>
      <c r="C71" s="123"/>
      <c r="D71" s="281"/>
      <c r="E71" s="279"/>
      <c r="F71" s="420"/>
      <c r="G71" s="412"/>
      <c r="H71" s="412"/>
      <c r="I71" s="412"/>
      <c r="J71" s="412"/>
      <c r="K71" s="412"/>
      <c r="L71" s="412"/>
      <c r="M71" s="54"/>
      <c r="N71" s="412"/>
      <c r="O71" s="412"/>
      <c r="P71" s="421"/>
      <c r="Q71" s="421"/>
      <c r="R71" s="422"/>
      <c r="S71" s="422"/>
      <c r="T71" s="422"/>
      <c r="U71" s="422"/>
      <c r="V71" s="422"/>
      <c r="W71" s="422"/>
      <c r="X71" s="422"/>
      <c r="Y71" s="422"/>
      <c r="Z71" s="422"/>
      <c r="AA71" s="422"/>
      <c r="AB71" s="412"/>
      <c r="AC71" s="412"/>
      <c r="AD71" s="413"/>
      <c r="AF71" s="53"/>
    </row>
    <row r="72" spans="1:32" ht="25.5" customHeight="1">
      <c r="A72" s="418">
        <v>8</v>
      </c>
      <c r="B72" s="419"/>
      <c r="C72" s="123"/>
      <c r="D72" s="281"/>
      <c r="E72" s="279"/>
      <c r="F72" s="420"/>
      <c r="G72" s="412"/>
      <c r="H72" s="412"/>
      <c r="I72" s="412"/>
      <c r="J72" s="412"/>
      <c r="K72" s="412"/>
      <c r="L72" s="412"/>
      <c r="M72" s="54"/>
      <c r="N72" s="412"/>
      <c r="O72" s="412"/>
      <c r="P72" s="421"/>
      <c r="Q72" s="421"/>
      <c r="R72" s="422"/>
      <c r="S72" s="422"/>
      <c r="T72" s="422"/>
      <c r="U72" s="422"/>
      <c r="V72" s="422"/>
      <c r="W72" s="422"/>
      <c r="X72" s="422"/>
      <c r="Y72" s="422"/>
      <c r="Z72" s="422"/>
      <c r="AA72" s="422"/>
      <c r="AB72" s="412"/>
      <c r="AC72" s="412"/>
      <c r="AD72" s="413"/>
      <c r="AF72" s="53"/>
    </row>
    <row r="73" spans="1:32" ht="26.25" customHeight="1" thickBot="1">
      <c r="A73" s="392" t="s">
        <v>416</v>
      </c>
      <c r="B73" s="392"/>
      <c r="C73" s="392"/>
      <c r="D73" s="392"/>
      <c r="E73" s="392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393" t="s">
        <v>113</v>
      </c>
      <c r="B74" s="394"/>
      <c r="C74" s="280" t="s">
        <v>2</v>
      </c>
      <c r="D74" s="280" t="s">
        <v>37</v>
      </c>
      <c r="E74" s="280" t="s">
        <v>3</v>
      </c>
      <c r="F74" s="394" t="s">
        <v>38</v>
      </c>
      <c r="G74" s="394"/>
      <c r="H74" s="394"/>
      <c r="I74" s="394"/>
      <c r="J74" s="394"/>
      <c r="K74" s="414" t="s">
        <v>58</v>
      </c>
      <c r="L74" s="415"/>
      <c r="M74" s="415"/>
      <c r="N74" s="415"/>
      <c r="O74" s="415"/>
      <c r="P74" s="415"/>
      <c r="Q74" s="415"/>
      <c r="R74" s="415"/>
      <c r="S74" s="416"/>
      <c r="T74" s="394" t="s">
        <v>49</v>
      </c>
      <c r="U74" s="394"/>
      <c r="V74" s="414" t="s">
        <v>50</v>
      </c>
      <c r="W74" s="416"/>
      <c r="X74" s="415" t="s">
        <v>51</v>
      </c>
      <c r="Y74" s="415"/>
      <c r="Z74" s="415"/>
      <c r="AA74" s="415"/>
      <c r="AB74" s="415"/>
      <c r="AC74" s="415"/>
      <c r="AD74" s="417"/>
      <c r="AF74" s="53"/>
    </row>
    <row r="75" spans="1:32" ht="33.75" customHeight="1">
      <c r="A75" s="386">
        <v>1</v>
      </c>
      <c r="B75" s="387"/>
      <c r="C75" s="282" t="s">
        <v>114</v>
      </c>
      <c r="D75" s="282"/>
      <c r="E75" s="71" t="s">
        <v>149</v>
      </c>
      <c r="F75" s="401" t="s">
        <v>147</v>
      </c>
      <c r="G75" s="402"/>
      <c r="H75" s="402"/>
      <c r="I75" s="402"/>
      <c r="J75" s="403"/>
      <c r="K75" s="404" t="s">
        <v>153</v>
      </c>
      <c r="L75" s="405"/>
      <c r="M75" s="405"/>
      <c r="N75" s="405"/>
      <c r="O75" s="405"/>
      <c r="P75" s="405"/>
      <c r="Q75" s="405"/>
      <c r="R75" s="405"/>
      <c r="S75" s="406"/>
      <c r="T75" s="407">
        <v>43384</v>
      </c>
      <c r="U75" s="408"/>
      <c r="V75" s="409"/>
      <c r="W75" s="409"/>
      <c r="X75" s="410"/>
      <c r="Y75" s="410"/>
      <c r="Z75" s="410"/>
      <c r="AA75" s="410"/>
      <c r="AB75" s="410"/>
      <c r="AC75" s="410"/>
      <c r="AD75" s="411"/>
      <c r="AF75" s="53"/>
    </row>
    <row r="76" spans="1:32" ht="30" customHeight="1">
      <c r="A76" s="379">
        <f>A75+1</f>
        <v>2</v>
      </c>
      <c r="B76" s="380"/>
      <c r="C76" s="281"/>
      <c r="D76" s="281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ref="A77:A83" si="27">A76+1</f>
        <v>3</v>
      </c>
      <c r="B77" s="380"/>
      <c r="C77" s="281"/>
      <c r="D77" s="281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27"/>
        <v>4</v>
      </c>
      <c r="B78" s="380"/>
      <c r="C78" s="281"/>
      <c r="D78" s="281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27"/>
        <v>5</v>
      </c>
      <c r="B79" s="380"/>
      <c r="C79" s="281"/>
      <c r="D79" s="281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27"/>
        <v>6</v>
      </c>
      <c r="B80" s="380"/>
      <c r="C80" s="281"/>
      <c r="D80" s="281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27"/>
        <v>7</v>
      </c>
      <c r="B81" s="380"/>
      <c r="C81" s="281"/>
      <c r="D81" s="281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0" customHeight="1">
      <c r="A82" s="379">
        <f t="shared" si="27"/>
        <v>8</v>
      </c>
      <c r="B82" s="380"/>
      <c r="C82" s="281"/>
      <c r="D82" s="281"/>
      <c r="E82" s="35"/>
      <c r="F82" s="380"/>
      <c r="G82" s="380"/>
      <c r="H82" s="380"/>
      <c r="I82" s="380"/>
      <c r="J82" s="380"/>
      <c r="K82" s="395"/>
      <c r="L82" s="396"/>
      <c r="M82" s="396"/>
      <c r="N82" s="396"/>
      <c r="O82" s="396"/>
      <c r="P82" s="396"/>
      <c r="Q82" s="396"/>
      <c r="R82" s="396"/>
      <c r="S82" s="397"/>
      <c r="T82" s="398"/>
      <c r="U82" s="398"/>
      <c r="V82" s="398"/>
      <c r="W82" s="398"/>
      <c r="X82" s="399"/>
      <c r="Y82" s="399"/>
      <c r="Z82" s="399"/>
      <c r="AA82" s="399"/>
      <c r="AB82" s="399"/>
      <c r="AC82" s="399"/>
      <c r="AD82" s="400"/>
      <c r="AF82" s="53"/>
    </row>
    <row r="83" spans="1:32" ht="30" customHeight="1">
      <c r="A83" s="379">
        <f t="shared" si="27"/>
        <v>9</v>
      </c>
      <c r="B83" s="380"/>
      <c r="C83" s="281"/>
      <c r="D83" s="281"/>
      <c r="E83" s="35"/>
      <c r="F83" s="380"/>
      <c r="G83" s="380"/>
      <c r="H83" s="380"/>
      <c r="I83" s="380"/>
      <c r="J83" s="380"/>
      <c r="K83" s="395"/>
      <c r="L83" s="396"/>
      <c r="M83" s="396"/>
      <c r="N83" s="396"/>
      <c r="O83" s="396"/>
      <c r="P83" s="396"/>
      <c r="Q83" s="396"/>
      <c r="R83" s="396"/>
      <c r="S83" s="397"/>
      <c r="T83" s="398"/>
      <c r="U83" s="398"/>
      <c r="V83" s="398"/>
      <c r="W83" s="398"/>
      <c r="X83" s="399"/>
      <c r="Y83" s="399"/>
      <c r="Z83" s="399"/>
      <c r="AA83" s="399"/>
      <c r="AB83" s="399"/>
      <c r="AC83" s="399"/>
      <c r="AD83" s="400"/>
      <c r="AF83" s="53"/>
    </row>
    <row r="84" spans="1:32" ht="36" thickBot="1">
      <c r="A84" s="392" t="s">
        <v>417</v>
      </c>
      <c r="B84" s="392"/>
      <c r="C84" s="392"/>
      <c r="D84" s="392"/>
      <c r="E84" s="392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393" t="s">
        <v>113</v>
      </c>
      <c r="B85" s="394"/>
      <c r="C85" s="384" t="s">
        <v>52</v>
      </c>
      <c r="D85" s="384"/>
      <c r="E85" s="384" t="s">
        <v>53</v>
      </c>
      <c r="F85" s="384"/>
      <c r="G85" s="384"/>
      <c r="H85" s="384"/>
      <c r="I85" s="384"/>
      <c r="J85" s="384"/>
      <c r="K85" s="384" t="s">
        <v>54</v>
      </c>
      <c r="L85" s="384"/>
      <c r="M85" s="384"/>
      <c r="N85" s="384"/>
      <c r="O85" s="384"/>
      <c r="P85" s="384"/>
      <c r="Q85" s="384"/>
      <c r="R85" s="384"/>
      <c r="S85" s="384"/>
      <c r="T85" s="384" t="s">
        <v>55</v>
      </c>
      <c r="U85" s="384"/>
      <c r="V85" s="384" t="s">
        <v>56</v>
      </c>
      <c r="W85" s="384"/>
      <c r="X85" s="384"/>
      <c r="Y85" s="384" t="s">
        <v>51</v>
      </c>
      <c r="Z85" s="384"/>
      <c r="AA85" s="384"/>
      <c r="AB85" s="384"/>
      <c r="AC85" s="384"/>
      <c r="AD85" s="385"/>
      <c r="AF85" s="53"/>
    </row>
    <row r="86" spans="1:32" ht="30.75" customHeight="1">
      <c r="A86" s="386">
        <v>1</v>
      </c>
      <c r="B86" s="387"/>
      <c r="C86" s="388"/>
      <c r="D86" s="388"/>
      <c r="E86" s="388"/>
      <c r="F86" s="388"/>
      <c r="G86" s="388"/>
      <c r="H86" s="388"/>
      <c r="I86" s="388"/>
      <c r="J86" s="388"/>
      <c r="K86" s="388"/>
      <c r="L86" s="388"/>
      <c r="M86" s="388"/>
      <c r="N86" s="388"/>
      <c r="O86" s="388"/>
      <c r="P86" s="388"/>
      <c r="Q86" s="388"/>
      <c r="R86" s="388"/>
      <c r="S86" s="388"/>
      <c r="T86" s="388"/>
      <c r="U86" s="388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  <row r="87" spans="1:32" ht="30.75" customHeight="1">
      <c r="A87" s="379">
        <v>2</v>
      </c>
      <c r="B87" s="380"/>
      <c r="C87" s="381"/>
      <c r="D87" s="381"/>
      <c r="E87" s="381"/>
      <c r="F87" s="381"/>
      <c r="G87" s="381"/>
      <c r="H87" s="381"/>
      <c r="I87" s="381"/>
      <c r="J87" s="381"/>
      <c r="K87" s="381"/>
      <c r="L87" s="381"/>
      <c r="M87" s="381"/>
      <c r="N87" s="381"/>
      <c r="O87" s="381"/>
      <c r="P87" s="381"/>
      <c r="Q87" s="381"/>
      <c r="R87" s="381"/>
      <c r="S87" s="381"/>
      <c r="T87" s="382"/>
      <c r="U87" s="382"/>
      <c r="V87" s="383"/>
      <c r="W87" s="383"/>
      <c r="X87" s="383"/>
      <c r="Y87" s="372"/>
      <c r="Z87" s="372"/>
      <c r="AA87" s="372"/>
      <c r="AB87" s="372"/>
      <c r="AC87" s="372"/>
      <c r="AD87" s="373"/>
      <c r="AF87" s="53"/>
    </row>
    <row r="88" spans="1:32" ht="30.75" customHeight="1" thickBot="1">
      <c r="A88" s="374">
        <v>3</v>
      </c>
      <c r="B88" s="375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7"/>
      <c r="Z88" s="377"/>
      <c r="AA88" s="377"/>
      <c r="AB88" s="377"/>
      <c r="AC88" s="377"/>
      <c r="AD88" s="378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537D-F91B-46F9-BC6C-A29EA7AD20BC}">
  <sheetPr>
    <pageSetUpPr fitToPage="1"/>
  </sheetPr>
  <dimension ref="A1:AF86"/>
  <sheetViews>
    <sheetView zoomScale="72" zoomScaleNormal="72" zoomScaleSheetLayoutView="70" workbookViewId="0">
      <selection activeCell="S12" sqref="S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418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0.60552249770431588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0.60552249770431588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4226</v>
      </c>
      <c r="K8" s="15">
        <f>L8</f>
        <v>4226</v>
      </c>
      <c r="L8" s="15">
        <f>1160+3066</f>
        <v>4226</v>
      </c>
      <c r="M8" s="16">
        <f t="shared" si="0"/>
        <v>4226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9">
        <f t="shared" si="7"/>
        <v>0.60552249770431588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121</v>
      </c>
      <c r="E9" s="57" t="s">
        <v>413</v>
      </c>
      <c r="F9" s="33" t="s">
        <v>181</v>
      </c>
      <c r="G9" s="36">
        <v>1</v>
      </c>
      <c r="H9" s="38">
        <v>25</v>
      </c>
      <c r="I9" s="7">
        <v>500</v>
      </c>
      <c r="J9" s="5">
        <v>998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0.60552249770431588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396</v>
      </c>
      <c r="F10" s="12" t="s">
        <v>122</v>
      </c>
      <c r="G10" s="12">
        <v>1</v>
      </c>
      <c r="H10" s="13">
        <v>25</v>
      </c>
      <c r="I10" s="7">
        <v>70000</v>
      </c>
      <c r="J10" s="14">
        <v>6050</v>
      </c>
      <c r="K10" s="15">
        <f>L10+4579</f>
        <v>10626</v>
      </c>
      <c r="L10" s="15">
        <f>3083+2964</f>
        <v>6047</v>
      </c>
      <c r="M10" s="16">
        <f t="shared" si="0"/>
        <v>6047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0.999504132231405</v>
      </c>
      <c r="AC10" s="9">
        <f t="shared" si="5"/>
        <v>1</v>
      </c>
      <c r="AD10" s="10">
        <f t="shared" si="6"/>
        <v>0.999504132231405</v>
      </c>
      <c r="AE10" s="39">
        <f t="shared" si="7"/>
        <v>0.60552249770431588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337</v>
      </c>
      <c r="F11" s="12" t="s">
        <v>127</v>
      </c>
      <c r="G11" s="12">
        <v>1</v>
      </c>
      <c r="H11" s="13">
        <v>25</v>
      </c>
      <c r="I11" s="34">
        <v>30000</v>
      </c>
      <c r="J11" s="5">
        <v>5950</v>
      </c>
      <c r="K11" s="15">
        <f>L11+2806+1820+5637+5826+5854</f>
        <v>27893</v>
      </c>
      <c r="L11" s="15">
        <f>3018+2932</f>
        <v>5950</v>
      </c>
      <c r="M11" s="16">
        <f t="shared" si="0"/>
        <v>5950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0.60552249770431588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277</v>
      </c>
      <c r="F12" s="12" t="s">
        <v>284</v>
      </c>
      <c r="G12" s="12">
        <v>1</v>
      </c>
      <c r="H12" s="13">
        <v>25</v>
      </c>
      <c r="I12" s="7">
        <v>10000</v>
      </c>
      <c r="J12" s="14">
        <v>2888</v>
      </c>
      <c r="K12" s="15">
        <f>L12+7616+8336</f>
        <v>18840</v>
      </c>
      <c r="L12" s="15">
        <f>1444*2</f>
        <v>2888</v>
      </c>
      <c r="M12" s="16">
        <f t="shared" si="0"/>
        <v>2888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/>
      <c r="T12" s="17"/>
      <c r="U12" s="17"/>
      <c r="V12" s="18"/>
      <c r="W12" s="19">
        <v>18</v>
      </c>
      <c r="X12" s="17"/>
      <c r="Y12" s="20"/>
      <c r="Z12" s="20"/>
      <c r="AA12" s="21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9">
        <f t="shared" si="7"/>
        <v>0.60552249770431588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148</v>
      </c>
      <c r="E13" s="57" t="s">
        <v>397</v>
      </c>
      <c r="F13" s="12" t="s">
        <v>128</v>
      </c>
      <c r="G13" s="12">
        <v>1</v>
      </c>
      <c r="H13" s="13">
        <v>25</v>
      </c>
      <c r="I13" s="7">
        <v>6000</v>
      </c>
      <c r="J13" s="14">
        <v>5734</v>
      </c>
      <c r="K13" s="15">
        <f>L13+3302</f>
        <v>9036</v>
      </c>
      <c r="L13" s="15">
        <f>2721+373+2640</f>
        <v>5734</v>
      </c>
      <c r="M13" s="16">
        <f t="shared" si="0"/>
        <v>5734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0.60552249770431588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300</v>
      </c>
      <c r="J14" s="5">
        <v>158</v>
      </c>
      <c r="K14" s="15">
        <f>L14+158</f>
        <v>158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0.60552249770431588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133</v>
      </c>
      <c r="E15" s="57" t="s">
        <v>414</v>
      </c>
      <c r="F15" s="12" t="s">
        <v>407</v>
      </c>
      <c r="G15" s="12">
        <v>1</v>
      </c>
      <c r="H15" s="13">
        <v>24</v>
      </c>
      <c r="I15" s="34">
        <v>70000</v>
      </c>
      <c r="J15" s="14">
        <v>4017</v>
      </c>
      <c r="K15" s="15">
        <f>L15</f>
        <v>4017</v>
      </c>
      <c r="L15" s="15">
        <f>846+3171</f>
        <v>4017</v>
      </c>
      <c r="M15" s="16">
        <f t="shared" si="0"/>
        <v>4017</v>
      </c>
      <c r="N15" s="16">
        <v>0</v>
      </c>
      <c r="O15" s="62">
        <f t="shared" si="1"/>
        <v>0</v>
      </c>
      <c r="P15" s="42">
        <f t="shared" si="2"/>
        <v>19</v>
      </c>
      <c r="Q15" s="43">
        <f t="shared" si="3"/>
        <v>5</v>
      </c>
      <c r="R15" s="7"/>
      <c r="S15" s="6">
        <v>5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0.79166666666666663</v>
      </c>
      <c r="AD15" s="10">
        <f t="shared" si="6"/>
        <v>0.79166666666666663</v>
      </c>
      <c r="AE15" s="39">
        <f t="shared" si="7"/>
        <v>0.60552249770431588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146</v>
      </c>
      <c r="E16" s="57" t="s">
        <v>245</v>
      </c>
      <c r="F16" s="33" t="s">
        <v>182</v>
      </c>
      <c r="G16" s="36">
        <v>1</v>
      </c>
      <c r="H16" s="38">
        <v>24</v>
      </c>
      <c r="I16" s="7">
        <v>6000</v>
      </c>
      <c r="J16" s="5">
        <v>5436</v>
      </c>
      <c r="K16" s="15">
        <f>L16+430</f>
        <v>5866</v>
      </c>
      <c r="L16" s="15">
        <f>3029+2407</f>
        <v>5436</v>
      </c>
      <c r="M16" s="16">
        <f t="shared" si="0"/>
        <v>5436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0.60552249770431588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133</v>
      </c>
      <c r="E17" s="57" t="s">
        <v>406</v>
      </c>
      <c r="F17" s="12" t="s">
        <v>407</v>
      </c>
      <c r="G17" s="12">
        <v>1</v>
      </c>
      <c r="H17" s="13">
        <v>24</v>
      </c>
      <c r="I17" s="34">
        <v>70000</v>
      </c>
      <c r="J17" s="14">
        <v>6591</v>
      </c>
      <c r="K17" s="15">
        <f>L17+5530</f>
        <v>12121</v>
      </c>
      <c r="L17" s="15">
        <f>3353+3238</f>
        <v>6591</v>
      </c>
      <c r="M17" s="16">
        <f t="shared" si="0"/>
        <v>6591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0.60552249770431588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231</v>
      </c>
      <c r="F18" s="12" t="s">
        <v>122</v>
      </c>
      <c r="G18" s="36">
        <v>1</v>
      </c>
      <c r="H18" s="38">
        <v>24</v>
      </c>
      <c r="I18" s="7">
        <v>70000</v>
      </c>
      <c r="J18" s="5">
        <v>3442</v>
      </c>
      <c r="K18" s="15">
        <f>L18</f>
        <v>3442</v>
      </c>
      <c r="L18" s="15">
        <f>2292+1150</f>
        <v>3442</v>
      </c>
      <c r="M18" s="16">
        <f t="shared" si="0"/>
        <v>3442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>
        <v>6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9">
        <f t="shared" si="7"/>
        <v>0.60552249770431588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343</v>
      </c>
      <c r="F19" s="12" t="s">
        <v>355</v>
      </c>
      <c r="G19" s="36">
        <v>1</v>
      </c>
      <c r="H19" s="13">
        <v>24</v>
      </c>
      <c r="I19" s="7">
        <v>20000</v>
      </c>
      <c r="J19" s="14">
        <v>5404</v>
      </c>
      <c r="K19" s="15">
        <f>L19+2650+2688+5069+4266+5337</f>
        <v>25414</v>
      </c>
      <c r="L19" s="15">
        <f>2644+2760</f>
        <v>5404</v>
      </c>
      <c r="M19" s="16">
        <f t="shared" si="0"/>
        <v>5404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0.60552249770431588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391</v>
      </c>
      <c r="F20" s="12" t="s">
        <v>116</v>
      </c>
      <c r="G20" s="12">
        <v>4</v>
      </c>
      <c r="H20" s="38">
        <v>20</v>
      </c>
      <c r="I20" s="7">
        <v>300000</v>
      </c>
      <c r="J20" s="14">
        <v>37804</v>
      </c>
      <c r="K20" s="15">
        <f>L20+15040+44972</f>
        <v>97816</v>
      </c>
      <c r="L20" s="15">
        <f>9451*4</f>
        <v>37804</v>
      </c>
      <c r="M20" s="16">
        <f t="shared" si="0"/>
        <v>37804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>
        <v>12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0.60552249770431588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722800</v>
      </c>
      <c r="J21" s="22">
        <f t="shared" si="9"/>
        <v>88698</v>
      </c>
      <c r="K21" s="23">
        <f t="shared" si="9"/>
        <v>219455</v>
      </c>
      <c r="L21" s="24">
        <f t="shared" si="9"/>
        <v>87539</v>
      </c>
      <c r="M21" s="23">
        <f t="shared" si="9"/>
        <v>87539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218</v>
      </c>
      <c r="Q21" s="46">
        <f t="shared" si="10"/>
        <v>142</v>
      </c>
      <c r="R21" s="26">
        <f t="shared" si="10"/>
        <v>24</v>
      </c>
      <c r="S21" s="27">
        <f t="shared" si="10"/>
        <v>40</v>
      </c>
      <c r="T21" s="27">
        <f t="shared" si="10"/>
        <v>0</v>
      </c>
      <c r="U21" s="27">
        <f t="shared" si="10"/>
        <v>0</v>
      </c>
      <c r="V21" s="28">
        <f t="shared" si="10"/>
        <v>12</v>
      </c>
      <c r="W21" s="29">
        <f t="shared" si="10"/>
        <v>66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0.73330027548209364</v>
      </c>
      <c r="AC21" s="4">
        <f>SUM(AC6:AC20)/15</f>
        <v>0.60555555555555551</v>
      </c>
      <c r="AD21" s="4">
        <f>SUM(AD6:AD20)/15</f>
        <v>0.60552249770431588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419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423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292" t="s">
        <v>46</v>
      </c>
      <c r="D50" s="292" t="s">
        <v>47</v>
      </c>
      <c r="E50" s="292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292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126</v>
      </c>
      <c r="B51" s="431"/>
      <c r="C51" s="289" t="s">
        <v>223</v>
      </c>
      <c r="D51" s="289" t="s">
        <v>146</v>
      </c>
      <c r="E51" s="289" t="s">
        <v>420</v>
      </c>
      <c r="F51" s="483" t="s">
        <v>421</v>
      </c>
      <c r="G51" s="484"/>
      <c r="H51" s="484"/>
      <c r="I51" s="484"/>
      <c r="J51" s="484"/>
      <c r="K51" s="484"/>
      <c r="L51" s="484"/>
      <c r="M51" s="485"/>
      <c r="N51" s="288" t="s">
        <v>118</v>
      </c>
      <c r="O51" s="124" t="s">
        <v>139</v>
      </c>
      <c r="P51" s="439" t="s">
        <v>121</v>
      </c>
      <c r="Q51" s="440"/>
      <c r="R51" s="431" t="s">
        <v>413</v>
      </c>
      <c r="S51" s="431"/>
      <c r="T51" s="431"/>
      <c r="U51" s="431"/>
      <c r="V51" s="422" t="s">
        <v>124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289" t="s">
        <v>139</v>
      </c>
      <c r="D52" s="289" t="s">
        <v>121</v>
      </c>
      <c r="E52" s="289" t="s">
        <v>413</v>
      </c>
      <c r="F52" s="483" t="s">
        <v>422</v>
      </c>
      <c r="G52" s="484"/>
      <c r="H52" s="484"/>
      <c r="I52" s="484"/>
      <c r="J52" s="484"/>
      <c r="K52" s="484"/>
      <c r="L52" s="484"/>
      <c r="M52" s="485"/>
      <c r="N52" s="288" t="s">
        <v>126</v>
      </c>
      <c r="O52" s="124" t="s">
        <v>225</v>
      </c>
      <c r="P52" s="439" t="s">
        <v>425</v>
      </c>
      <c r="Q52" s="440"/>
      <c r="R52" s="431" t="s">
        <v>424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126</v>
      </c>
      <c r="B53" s="431"/>
      <c r="C53" s="289" t="s">
        <v>141</v>
      </c>
      <c r="D53" s="289" t="s">
        <v>133</v>
      </c>
      <c r="E53" s="289" t="s">
        <v>414</v>
      </c>
      <c r="F53" s="483" t="s">
        <v>119</v>
      </c>
      <c r="G53" s="484"/>
      <c r="H53" s="484"/>
      <c r="I53" s="484"/>
      <c r="J53" s="484"/>
      <c r="K53" s="484"/>
      <c r="L53" s="484"/>
      <c r="M53" s="485"/>
      <c r="N53" s="288" t="s">
        <v>126</v>
      </c>
      <c r="O53" s="124" t="s">
        <v>125</v>
      </c>
      <c r="P53" s="439" t="s">
        <v>117</v>
      </c>
      <c r="Q53" s="440"/>
      <c r="R53" s="431" t="s">
        <v>426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114</v>
      </c>
      <c r="B54" s="431"/>
      <c r="C54" s="289" t="s">
        <v>179</v>
      </c>
      <c r="D54" s="289" t="s">
        <v>146</v>
      </c>
      <c r="E54" s="289" t="s">
        <v>409</v>
      </c>
      <c r="F54" s="483" t="s">
        <v>124</v>
      </c>
      <c r="G54" s="484"/>
      <c r="H54" s="484"/>
      <c r="I54" s="484"/>
      <c r="J54" s="484"/>
      <c r="K54" s="484"/>
      <c r="L54" s="484"/>
      <c r="M54" s="485"/>
      <c r="N54" s="288" t="s">
        <v>126</v>
      </c>
      <c r="O54" s="124" t="s">
        <v>208</v>
      </c>
      <c r="P54" s="439" t="s">
        <v>117</v>
      </c>
      <c r="Q54" s="440"/>
      <c r="R54" s="431" t="s">
        <v>231</v>
      </c>
      <c r="S54" s="431"/>
      <c r="T54" s="431"/>
      <c r="U54" s="431"/>
      <c r="V54" s="422" t="s">
        <v>124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126</v>
      </c>
      <c r="B55" s="431"/>
      <c r="C55" s="289" t="s">
        <v>208</v>
      </c>
      <c r="D55" s="289" t="s">
        <v>117</v>
      </c>
      <c r="E55" s="289" t="s">
        <v>231</v>
      </c>
      <c r="F55" s="483" t="s">
        <v>151</v>
      </c>
      <c r="G55" s="484"/>
      <c r="H55" s="484"/>
      <c r="I55" s="484"/>
      <c r="J55" s="484"/>
      <c r="K55" s="484"/>
      <c r="L55" s="484"/>
      <c r="M55" s="485"/>
      <c r="N55" s="288" t="s">
        <v>427</v>
      </c>
      <c r="O55" s="124" t="s">
        <v>174</v>
      </c>
      <c r="P55" s="431" t="s">
        <v>131</v>
      </c>
      <c r="Q55" s="431"/>
      <c r="R55" s="431" t="s">
        <v>428</v>
      </c>
      <c r="S55" s="431"/>
      <c r="T55" s="431"/>
      <c r="U55" s="431"/>
      <c r="V55" s="422" t="s">
        <v>119</v>
      </c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289"/>
      <c r="D56" s="289"/>
      <c r="E56" s="289"/>
      <c r="F56" s="483"/>
      <c r="G56" s="484"/>
      <c r="H56" s="484"/>
      <c r="I56" s="484"/>
      <c r="J56" s="484"/>
      <c r="K56" s="484"/>
      <c r="L56" s="484"/>
      <c r="M56" s="485"/>
      <c r="N56" s="288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89"/>
      <c r="D57" s="289"/>
      <c r="E57" s="289"/>
      <c r="F57" s="422"/>
      <c r="G57" s="422"/>
      <c r="H57" s="422"/>
      <c r="I57" s="422"/>
      <c r="J57" s="422"/>
      <c r="K57" s="422"/>
      <c r="L57" s="422"/>
      <c r="M57" s="432"/>
      <c r="N57" s="288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89"/>
      <c r="D58" s="289"/>
      <c r="E58" s="289"/>
      <c r="F58" s="422"/>
      <c r="G58" s="422"/>
      <c r="H58" s="422"/>
      <c r="I58" s="422"/>
      <c r="J58" s="422"/>
      <c r="K58" s="422"/>
      <c r="L58" s="422"/>
      <c r="M58" s="432"/>
      <c r="N58" s="288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89"/>
      <c r="D59" s="289"/>
      <c r="E59" s="289"/>
      <c r="F59" s="422"/>
      <c r="G59" s="422"/>
      <c r="H59" s="422"/>
      <c r="I59" s="422"/>
      <c r="J59" s="422"/>
      <c r="K59" s="422"/>
      <c r="L59" s="422"/>
      <c r="M59" s="432"/>
      <c r="N59" s="288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291"/>
      <c r="D60" s="291"/>
      <c r="E60" s="291"/>
      <c r="F60" s="435"/>
      <c r="G60" s="435"/>
      <c r="H60" s="435"/>
      <c r="I60" s="435"/>
      <c r="J60" s="435"/>
      <c r="K60" s="435"/>
      <c r="L60" s="435"/>
      <c r="M60" s="436"/>
      <c r="N60" s="290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429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287" t="s">
        <v>2</v>
      </c>
      <c r="D62" s="287" t="s">
        <v>37</v>
      </c>
      <c r="E62" s="287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287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/>
      <c r="D63" s="283"/>
      <c r="E63" s="286"/>
      <c r="F63" s="420"/>
      <c r="G63" s="412"/>
      <c r="H63" s="412"/>
      <c r="I63" s="412"/>
      <c r="J63" s="412"/>
      <c r="K63" s="412"/>
      <c r="L63" s="412"/>
      <c r="M63" s="54"/>
      <c r="N63" s="412"/>
      <c r="O63" s="412"/>
      <c r="P63" s="421"/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283"/>
      <c r="E64" s="286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283"/>
      <c r="E65" s="286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283"/>
      <c r="E66" s="286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283"/>
      <c r="E67" s="286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283"/>
      <c r="E68" s="286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283"/>
      <c r="E69" s="286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283"/>
      <c r="E70" s="286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430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285" t="s">
        <v>2</v>
      </c>
      <c r="D72" s="285" t="s">
        <v>37</v>
      </c>
      <c r="E72" s="285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284" t="s">
        <v>114</v>
      </c>
      <c r="D73" s="284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283"/>
      <c r="D74" s="283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283"/>
      <c r="D75" s="283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283"/>
      <c r="D76" s="283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283"/>
      <c r="D77" s="283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283"/>
      <c r="D78" s="283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283"/>
      <c r="D79" s="283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283"/>
      <c r="D80" s="283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283"/>
      <c r="D81" s="283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431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E059-2C87-4A8F-BC91-7328E84C68BE}">
  <sheetPr>
    <pageSetUpPr fitToPage="1"/>
  </sheetPr>
  <dimension ref="A1:AF87"/>
  <sheetViews>
    <sheetView zoomScale="72" zoomScaleNormal="72" zoomScaleSheetLayoutView="70" workbookViewId="0">
      <selection activeCell="J11" sqref="J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432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0.63050923860269836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0.63050923860269836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6836</v>
      </c>
      <c r="K8" s="15">
        <f>L8+4226</f>
        <v>11062</v>
      </c>
      <c r="L8" s="15">
        <f>3669+3167</f>
        <v>6836</v>
      </c>
      <c r="M8" s="16">
        <f t="shared" si="0"/>
        <v>6836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0.63050923860269836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121</v>
      </c>
      <c r="E9" s="57" t="s">
        <v>413</v>
      </c>
      <c r="F9" s="33" t="s">
        <v>181</v>
      </c>
      <c r="G9" s="36">
        <v>1</v>
      </c>
      <c r="H9" s="38">
        <v>25</v>
      </c>
      <c r="I9" s="7">
        <v>4500</v>
      </c>
      <c r="J9" s="5">
        <v>4472</v>
      </c>
      <c r="K9" s="15">
        <f>L9</f>
        <v>4472</v>
      </c>
      <c r="L9" s="15">
        <f>2570+1902</f>
        <v>4472</v>
      </c>
      <c r="M9" s="16">
        <f t="shared" si="0"/>
        <v>4472</v>
      </c>
      <c r="N9" s="16">
        <v>0</v>
      </c>
      <c r="O9" s="62">
        <f t="shared" si="1"/>
        <v>0</v>
      </c>
      <c r="P9" s="42">
        <f t="shared" si="2"/>
        <v>21</v>
      </c>
      <c r="Q9" s="43">
        <f t="shared" si="3"/>
        <v>3</v>
      </c>
      <c r="R9" s="7"/>
      <c r="S9" s="6">
        <v>3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9">
        <f t="shared" si="7"/>
        <v>0.63050923860269836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396</v>
      </c>
      <c r="F10" s="12" t="s">
        <v>122</v>
      </c>
      <c r="G10" s="12">
        <v>1</v>
      </c>
      <c r="H10" s="13">
        <v>25</v>
      </c>
      <c r="I10" s="7">
        <v>70000</v>
      </c>
      <c r="J10" s="14">
        <v>6324</v>
      </c>
      <c r="K10" s="15">
        <f>L10+4579+6047</f>
        <v>16950</v>
      </c>
      <c r="L10" s="15">
        <f>3288+3036</f>
        <v>6324</v>
      </c>
      <c r="M10" s="16">
        <f t="shared" si="0"/>
        <v>6324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0.63050923860269836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337</v>
      </c>
      <c r="F11" s="12" t="s">
        <v>127</v>
      </c>
      <c r="G11" s="12">
        <v>1</v>
      </c>
      <c r="H11" s="13">
        <v>25</v>
      </c>
      <c r="I11" s="34">
        <v>30000</v>
      </c>
      <c r="J11" s="5">
        <v>5806</v>
      </c>
      <c r="K11" s="15">
        <f>L11+2806+1820+5637+5826+5854+5950</f>
        <v>33699</v>
      </c>
      <c r="L11" s="15">
        <f>3017+2789</f>
        <v>5806</v>
      </c>
      <c r="M11" s="16">
        <f t="shared" si="0"/>
        <v>5806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0.63050923860269836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425</v>
      </c>
      <c r="E12" s="57" t="s">
        <v>424</v>
      </c>
      <c r="F12" s="12" t="s">
        <v>129</v>
      </c>
      <c r="G12" s="12">
        <v>1</v>
      </c>
      <c r="H12" s="13">
        <v>25</v>
      </c>
      <c r="I12" s="7">
        <v>1000</v>
      </c>
      <c r="J12" s="14">
        <v>2289</v>
      </c>
      <c r="K12" s="15">
        <f>L12</f>
        <v>2289</v>
      </c>
      <c r="L12" s="15">
        <f>1335+954</f>
        <v>2289</v>
      </c>
      <c r="M12" s="16">
        <f t="shared" si="0"/>
        <v>2289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/>
      <c r="T12" s="17">
        <v>2</v>
      </c>
      <c r="U12" s="17"/>
      <c r="V12" s="18"/>
      <c r="W12" s="19">
        <v>8</v>
      </c>
      <c r="X12" s="17"/>
      <c r="Y12" s="20"/>
      <c r="Z12" s="20"/>
      <c r="AA12" s="21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9">
        <f t="shared" si="7"/>
        <v>0.63050923860269836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433</v>
      </c>
      <c r="E13" s="57" t="s">
        <v>426</v>
      </c>
      <c r="F13" s="12">
        <v>7301</v>
      </c>
      <c r="G13" s="12">
        <v>1</v>
      </c>
      <c r="H13" s="13">
        <v>25</v>
      </c>
      <c r="I13" s="7">
        <v>1000</v>
      </c>
      <c r="J13" s="14">
        <v>1410</v>
      </c>
      <c r="K13" s="15">
        <f>L13</f>
        <v>1410</v>
      </c>
      <c r="L13" s="15">
        <f>305+1105</f>
        <v>1410</v>
      </c>
      <c r="M13" s="16">
        <f t="shared" si="0"/>
        <v>1410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>
        <v>6</v>
      </c>
      <c r="T13" s="17"/>
      <c r="U13" s="17"/>
      <c r="V13" s="18"/>
      <c r="W13" s="19">
        <v>4</v>
      </c>
      <c r="X13" s="17"/>
      <c r="Y13" s="20"/>
      <c r="Z13" s="20"/>
      <c r="AA13" s="21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9">
        <f t="shared" si="7"/>
        <v>0.63050923860269836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300</v>
      </c>
      <c r="J14" s="5">
        <v>158</v>
      </c>
      <c r="K14" s="15">
        <f>L14+158</f>
        <v>158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0.63050923860269836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133</v>
      </c>
      <c r="E15" s="57" t="s">
        <v>414</v>
      </c>
      <c r="F15" s="12" t="s">
        <v>407</v>
      </c>
      <c r="G15" s="12">
        <v>1</v>
      </c>
      <c r="H15" s="13">
        <v>24</v>
      </c>
      <c r="I15" s="34">
        <v>70000</v>
      </c>
      <c r="J15" s="14">
        <v>6170</v>
      </c>
      <c r="K15" s="15">
        <f>L15+4017</f>
        <v>10186</v>
      </c>
      <c r="L15" s="15">
        <f>3010+3159</f>
        <v>6169</v>
      </c>
      <c r="M15" s="16">
        <f t="shared" si="0"/>
        <v>6169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0.99983792544570504</v>
      </c>
      <c r="AC15" s="9">
        <f t="shared" si="5"/>
        <v>1</v>
      </c>
      <c r="AD15" s="10">
        <f t="shared" si="6"/>
        <v>0.99983792544570504</v>
      </c>
      <c r="AE15" s="39">
        <f t="shared" si="7"/>
        <v>0.63050923860269836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146</v>
      </c>
      <c r="E16" s="57" t="s">
        <v>245</v>
      </c>
      <c r="F16" s="33" t="s">
        <v>182</v>
      </c>
      <c r="G16" s="36">
        <v>1</v>
      </c>
      <c r="H16" s="38">
        <v>24</v>
      </c>
      <c r="I16" s="7">
        <v>6000</v>
      </c>
      <c r="J16" s="5">
        <v>3000</v>
      </c>
      <c r="K16" s="15">
        <f>L16+430+5436</f>
        <v>8864</v>
      </c>
      <c r="L16" s="15">
        <f>2889+109</f>
        <v>2998</v>
      </c>
      <c r="M16" s="16">
        <f t="shared" si="0"/>
        <v>2998</v>
      </c>
      <c r="N16" s="16">
        <v>0</v>
      </c>
      <c r="O16" s="62">
        <f t="shared" si="1"/>
        <v>0</v>
      </c>
      <c r="P16" s="42">
        <f t="shared" si="2"/>
        <v>13</v>
      </c>
      <c r="Q16" s="43">
        <f t="shared" si="3"/>
        <v>11</v>
      </c>
      <c r="R16" s="7"/>
      <c r="S16" s="6"/>
      <c r="T16" s="17"/>
      <c r="U16" s="17"/>
      <c r="V16" s="18"/>
      <c r="W16" s="19">
        <v>11</v>
      </c>
      <c r="X16" s="17"/>
      <c r="Y16" s="20"/>
      <c r="Z16" s="20"/>
      <c r="AA16" s="21"/>
      <c r="AB16" s="8">
        <f t="shared" si="4"/>
        <v>0.9993333333333333</v>
      </c>
      <c r="AC16" s="9">
        <f t="shared" si="5"/>
        <v>0.54166666666666663</v>
      </c>
      <c r="AD16" s="10">
        <f t="shared" si="6"/>
        <v>0.54130555555555548</v>
      </c>
      <c r="AE16" s="39">
        <f t="shared" si="7"/>
        <v>0.63050923860269836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133</v>
      </c>
      <c r="E17" s="57" t="s">
        <v>406</v>
      </c>
      <c r="F17" s="12" t="s">
        <v>407</v>
      </c>
      <c r="G17" s="12">
        <v>1</v>
      </c>
      <c r="H17" s="13">
        <v>24</v>
      </c>
      <c r="I17" s="34">
        <v>70000</v>
      </c>
      <c r="J17" s="14">
        <v>6555</v>
      </c>
      <c r="K17" s="15">
        <f>L17+5530+6591</f>
        <v>18676</v>
      </c>
      <c r="L17" s="15">
        <f>3208+3347</f>
        <v>6555</v>
      </c>
      <c r="M17" s="16">
        <f t="shared" si="0"/>
        <v>6555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0.63050923860269836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231</v>
      </c>
      <c r="F18" s="12" t="s">
        <v>122</v>
      </c>
      <c r="G18" s="36">
        <v>1</v>
      </c>
      <c r="H18" s="38">
        <v>24</v>
      </c>
      <c r="I18" s="7">
        <v>70000</v>
      </c>
      <c r="J18" s="5">
        <v>4857</v>
      </c>
      <c r="K18" s="15">
        <f>L18+3442</f>
        <v>8299</v>
      </c>
      <c r="L18" s="15">
        <f>1851+3006</f>
        <v>4857</v>
      </c>
      <c r="M18" s="16">
        <f t="shared" si="0"/>
        <v>4857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9">
        <f t="shared" si="7"/>
        <v>0.63050923860269836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120</v>
      </c>
      <c r="E19" s="57" t="s">
        <v>434</v>
      </c>
      <c r="F19" s="12" t="s">
        <v>355</v>
      </c>
      <c r="G19" s="36">
        <v>4</v>
      </c>
      <c r="H19" s="13">
        <v>24</v>
      </c>
      <c r="I19" s="7">
        <v>10000</v>
      </c>
      <c r="J19" s="14">
        <v>10540</v>
      </c>
      <c r="K19" s="15">
        <f>L19</f>
        <v>10540</v>
      </c>
      <c r="L19" s="15">
        <f>2635*4</f>
        <v>10540</v>
      </c>
      <c r="M19" s="16">
        <f t="shared" ref="M19" si="9">L19-N19</f>
        <v>10540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16</v>
      </c>
      <c r="Q19" s="43">
        <f t="shared" ref="Q19" si="12">SUM(R19:AA19)</f>
        <v>8</v>
      </c>
      <c r="R19" s="7"/>
      <c r="S19" s="6"/>
      <c r="T19" s="17"/>
      <c r="U19" s="17"/>
      <c r="V19" s="18"/>
      <c r="W19" s="19">
        <v>8</v>
      </c>
      <c r="X19" s="17"/>
      <c r="Y19" s="20"/>
      <c r="Z19" s="20"/>
      <c r="AA19" s="21"/>
      <c r="AB19" s="8">
        <f t="shared" ref="AB19" si="13">IF(J19=0,"0",(L19/J19))</f>
        <v>1</v>
      </c>
      <c r="AC19" s="9">
        <f t="shared" ref="AC19" si="14">IF(P19=0,"0",(P19/24))</f>
        <v>0.66666666666666663</v>
      </c>
      <c r="AD19" s="10">
        <f t="shared" ref="AD19" si="15">AC19*AB19*(1-O19)</f>
        <v>0.66666666666666663</v>
      </c>
      <c r="AE19" s="39">
        <f t="shared" si="7"/>
        <v>0.63050923860269836</v>
      </c>
      <c r="AF19" s="93">
        <f t="shared" ref="AF19" si="16">A19</f>
        <v>14</v>
      </c>
    </row>
    <row r="20" spans="1:32" ht="27" customHeight="1">
      <c r="A20" s="109">
        <v>14</v>
      </c>
      <c r="B20" s="11" t="s">
        <v>57</v>
      </c>
      <c r="C20" s="11" t="s">
        <v>427</v>
      </c>
      <c r="D20" s="55" t="s">
        <v>131</v>
      </c>
      <c r="E20" s="57" t="s">
        <v>428</v>
      </c>
      <c r="F20" s="12" t="s">
        <v>435</v>
      </c>
      <c r="G20" s="36">
        <v>2</v>
      </c>
      <c r="H20" s="13">
        <v>24</v>
      </c>
      <c r="I20" s="7">
        <v>500</v>
      </c>
      <c r="J20" s="14">
        <v>3400</v>
      </c>
      <c r="K20" s="15">
        <f>L20</f>
        <v>3398</v>
      </c>
      <c r="L20" s="15">
        <f>1699*2</f>
        <v>3398</v>
      </c>
      <c r="M20" s="16">
        <f t="shared" si="0"/>
        <v>3398</v>
      </c>
      <c r="N20" s="16">
        <v>0</v>
      </c>
      <c r="O20" s="62">
        <f t="shared" si="1"/>
        <v>0</v>
      </c>
      <c r="P20" s="42">
        <f t="shared" si="2"/>
        <v>7</v>
      </c>
      <c r="Q20" s="43">
        <f t="shared" si="3"/>
        <v>17</v>
      </c>
      <c r="R20" s="7"/>
      <c r="S20" s="6"/>
      <c r="T20" s="17"/>
      <c r="U20" s="17"/>
      <c r="V20" s="18"/>
      <c r="W20" s="19">
        <v>17</v>
      </c>
      <c r="X20" s="17"/>
      <c r="Y20" s="20"/>
      <c r="Z20" s="20"/>
      <c r="AA20" s="21"/>
      <c r="AB20" s="8">
        <f t="shared" si="4"/>
        <v>0.99941176470588233</v>
      </c>
      <c r="AC20" s="9">
        <f t="shared" si="5"/>
        <v>0.29166666666666669</v>
      </c>
      <c r="AD20" s="10">
        <f t="shared" si="6"/>
        <v>0.29149509803921569</v>
      </c>
      <c r="AE20" s="39">
        <f t="shared" si="7"/>
        <v>0.63050923860269836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391</v>
      </c>
      <c r="F21" s="12" t="s">
        <v>116</v>
      </c>
      <c r="G21" s="12">
        <v>4</v>
      </c>
      <c r="H21" s="38">
        <v>20</v>
      </c>
      <c r="I21" s="7">
        <v>300000</v>
      </c>
      <c r="J21" s="14">
        <v>37804</v>
      </c>
      <c r="K21" s="15">
        <f>L21+15040+44972+37804</f>
        <v>97816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>
        <v>24</v>
      </c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0.63050923860269836</v>
      </c>
      <c r="AF21" s="93">
        <f t="shared" si="8"/>
        <v>15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5">
        <f t="shared" ref="I22:N22" si="17">SUM(I6:I21)</f>
        <v>703300</v>
      </c>
      <c r="J22" s="22">
        <f t="shared" si="17"/>
        <v>99621</v>
      </c>
      <c r="K22" s="23">
        <f t="shared" si="17"/>
        <v>227819</v>
      </c>
      <c r="L22" s="24">
        <f t="shared" si="17"/>
        <v>61654</v>
      </c>
      <c r="M22" s="23">
        <f t="shared" si="17"/>
        <v>61654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227</v>
      </c>
      <c r="Q22" s="46">
        <f t="shared" si="18"/>
        <v>157</v>
      </c>
      <c r="R22" s="26">
        <f t="shared" si="18"/>
        <v>48</v>
      </c>
      <c r="S22" s="27">
        <f t="shared" si="18"/>
        <v>11</v>
      </c>
      <c r="T22" s="27">
        <f t="shared" si="18"/>
        <v>2</v>
      </c>
      <c r="U22" s="27">
        <f t="shared" si="18"/>
        <v>0</v>
      </c>
      <c r="V22" s="28">
        <f t="shared" si="18"/>
        <v>0</v>
      </c>
      <c r="W22" s="29">
        <f t="shared" si="18"/>
        <v>96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0.79990553489899485</v>
      </c>
      <c r="AC22" s="4">
        <f>SUM(AC6:AC21)/15</f>
        <v>0.63055555555555542</v>
      </c>
      <c r="AD22" s="4">
        <f>SUM(AD6:AD21)/15</f>
        <v>0.63050923860269836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47" t="s">
        <v>45</v>
      </c>
      <c r="B49" s="447"/>
      <c r="C49" s="447"/>
      <c r="D49" s="447"/>
      <c r="E49" s="447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48" t="s">
        <v>436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438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295" t="s">
        <v>46</v>
      </c>
      <c r="D51" s="295" t="s">
        <v>47</v>
      </c>
      <c r="E51" s="295" t="s">
        <v>108</v>
      </c>
      <c r="F51" s="455" t="s">
        <v>107</v>
      </c>
      <c r="G51" s="455"/>
      <c r="H51" s="455"/>
      <c r="I51" s="455"/>
      <c r="J51" s="455"/>
      <c r="K51" s="455"/>
      <c r="L51" s="455"/>
      <c r="M51" s="456"/>
      <c r="N51" s="73" t="s">
        <v>112</v>
      </c>
      <c r="O51" s="295" t="s">
        <v>46</v>
      </c>
      <c r="P51" s="457" t="s">
        <v>47</v>
      </c>
      <c r="Q51" s="458"/>
      <c r="R51" s="457" t="s">
        <v>38</v>
      </c>
      <c r="S51" s="459"/>
      <c r="T51" s="459"/>
      <c r="U51" s="458"/>
      <c r="V51" s="457" t="s">
        <v>48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30" t="s">
        <v>118</v>
      </c>
      <c r="B52" s="431"/>
      <c r="C52" s="297" t="s">
        <v>139</v>
      </c>
      <c r="D52" s="297" t="s">
        <v>121</v>
      </c>
      <c r="E52" s="297" t="s">
        <v>413</v>
      </c>
      <c r="F52" s="483" t="s">
        <v>124</v>
      </c>
      <c r="G52" s="484"/>
      <c r="H52" s="484"/>
      <c r="I52" s="484"/>
      <c r="J52" s="484"/>
      <c r="K52" s="484"/>
      <c r="L52" s="484"/>
      <c r="M52" s="485"/>
      <c r="N52" s="296" t="s">
        <v>118</v>
      </c>
      <c r="O52" s="124" t="s">
        <v>139</v>
      </c>
      <c r="P52" s="439" t="s">
        <v>117</v>
      </c>
      <c r="Q52" s="440"/>
      <c r="R52" s="431" t="s">
        <v>401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126</v>
      </c>
      <c r="B53" s="431"/>
      <c r="C53" s="297" t="s">
        <v>225</v>
      </c>
      <c r="D53" s="297" t="s">
        <v>425</v>
      </c>
      <c r="E53" s="297" t="s">
        <v>424</v>
      </c>
      <c r="F53" s="483" t="s">
        <v>119</v>
      </c>
      <c r="G53" s="484"/>
      <c r="H53" s="484"/>
      <c r="I53" s="484"/>
      <c r="J53" s="484"/>
      <c r="K53" s="484"/>
      <c r="L53" s="484"/>
      <c r="M53" s="485"/>
      <c r="N53" s="296" t="s">
        <v>118</v>
      </c>
      <c r="O53" s="124" t="s">
        <v>225</v>
      </c>
      <c r="P53" s="439" t="s">
        <v>146</v>
      </c>
      <c r="Q53" s="440"/>
      <c r="R53" s="431" t="s">
        <v>320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297" t="s">
        <v>125</v>
      </c>
      <c r="D54" s="297" t="s">
        <v>117</v>
      </c>
      <c r="E54" s="297" t="s">
        <v>426</v>
      </c>
      <c r="F54" s="483" t="s">
        <v>437</v>
      </c>
      <c r="G54" s="484"/>
      <c r="H54" s="484"/>
      <c r="I54" s="484"/>
      <c r="J54" s="484"/>
      <c r="K54" s="484"/>
      <c r="L54" s="484"/>
      <c r="M54" s="485"/>
      <c r="N54" s="296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126</v>
      </c>
      <c r="B55" s="431"/>
      <c r="C55" s="297" t="s">
        <v>174</v>
      </c>
      <c r="D55" s="297" t="s">
        <v>120</v>
      </c>
      <c r="E55" s="297" t="s">
        <v>434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296"/>
      <c r="O55" s="124"/>
      <c r="P55" s="439"/>
      <c r="Q55" s="440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 t="s">
        <v>427</v>
      </c>
      <c r="B56" s="431"/>
      <c r="C56" s="297" t="s">
        <v>174</v>
      </c>
      <c r="D56" s="297" t="s">
        <v>131</v>
      </c>
      <c r="E56" s="297" t="s">
        <v>428</v>
      </c>
      <c r="F56" s="483" t="s">
        <v>119</v>
      </c>
      <c r="G56" s="484"/>
      <c r="H56" s="484"/>
      <c r="I56" s="484"/>
      <c r="J56" s="484"/>
      <c r="K56" s="484"/>
      <c r="L56" s="484"/>
      <c r="M56" s="485"/>
      <c r="N56" s="296"/>
      <c r="O56" s="124"/>
      <c r="P56" s="431"/>
      <c r="Q56" s="431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297"/>
      <c r="D57" s="297"/>
      <c r="E57" s="297"/>
      <c r="F57" s="483"/>
      <c r="G57" s="484"/>
      <c r="H57" s="484"/>
      <c r="I57" s="484"/>
      <c r="J57" s="484"/>
      <c r="K57" s="484"/>
      <c r="L57" s="484"/>
      <c r="M57" s="485"/>
      <c r="N57" s="296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297"/>
      <c r="D58" s="297"/>
      <c r="E58" s="297"/>
      <c r="F58" s="422"/>
      <c r="G58" s="422"/>
      <c r="H58" s="422"/>
      <c r="I58" s="422"/>
      <c r="J58" s="422"/>
      <c r="K58" s="422"/>
      <c r="L58" s="422"/>
      <c r="M58" s="432"/>
      <c r="N58" s="296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297"/>
      <c r="D59" s="297"/>
      <c r="E59" s="297"/>
      <c r="F59" s="422"/>
      <c r="G59" s="422"/>
      <c r="H59" s="422"/>
      <c r="I59" s="422"/>
      <c r="J59" s="422"/>
      <c r="K59" s="422"/>
      <c r="L59" s="422"/>
      <c r="M59" s="432"/>
      <c r="N59" s="296"/>
      <c r="O59" s="124"/>
      <c r="P59" s="439"/>
      <c r="Q59" s="440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</row>
    <row r="60" spans="1:32" ht="27" customHeight="1">
      <c r="A60" s="430"/>
      <c r="B60" s="431"/>
      <c r="C60" s="297"/>
      <c r="D60" s="297"/>
      <c r="E60" s="297"/>
      <c r="F60" s="422"/>
      <c r="G60" s="422"/>
      <c r="H60" s="422"/>
      <c r="I60" s="422"/>
      <c r="J60" s="422"/>
      <c r="K60" s="422"/>
      <c r="L60" s="422"/>
      <c r="M60" s="432"/>
      <c r="N60" s="296"/>
      <c r="O60" s="124"/>
      <c r="P60" s="431"/>
      <c r="Q60" s="431"/>
      <c r="R60" s="431"/>
      <c r="S60" s="431"/>
      <c r="T60" s="431"/>
      <c r="U60" s="431"/>
      <c r="V60" s="422"/>
      <c r="W60" s="422"/>
      <c r="X60" s="422"/>
      <c r="Y60" s="422"/>
      <c r="Z60" s="422"/>
      <c r="AA60" s="422"/>
      <c r="AB60" s="422"/>
      <c r="AC60" s="422"/>
      <c r="AD60" s="432"/>
      <c r="AF60" s="93">
        <f>8*3000</f>
        <v>24000</v>
      </c>
    </row>
    <row r="61" spans="1:32" ht="27" customHeight="1" thickBot="1">
      <c r="A61" s="433"/>
      <c r="B61" s="434"/>
      <c r="C61" s="299"/>
      <c r="D61" s="299"/>
      <c r="E61" s="299"/>
      <c r="F61" s="435"/>
      <c r="G61" s="435"/>
      <c r="H61" s="435"/>
      <c r="I61" s="435"/>
      <c r="J61" s="435"/>
      <c r="K61" s="435"/>
      <c r="L61" s="435"/>
      <c r="M61" s="436"/>
      <c r="N61" s="298"/>
      <c r="O61" s="120"/>
      <c r="P61" s="434"/>
      <c r="Q61" s="434"/>
      <c r="R61" s="434"/>
      <c r="S61" s="434"/>
      <c r="T61" s="434"/>
      <c r="U61" s="434"/>
      <c r="V61" s="437"/>
      <c r="W61" s="437"/>
      <c r="X61" s="437"/>
      <c r="Y61" s="437"/>
      <c r="Z61" s="437"/>
      <c r="AA61" s="437"/>
      <c r="AB61" s="437"/>
      <c r="AC61" s="437"/>
      <c r="AD61" s="438"/>
      <c r="AF61" s="93">
        <f>16*3000</f>
        <v>48000</v>
      </c>
    </row>
    <row r="62" spans="1:32" ht="27.75" thickBot="1">
      <c r="A62" s="428" t="s">
        <v>439</v>
      </c>
      <c r="B62" s="428"/>
      <c r="C62" s="428"/>
      <c r="D62" s="428"/>
      <c r="E62" s="428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29" t="s">
        <v>113</v>
      </c>
      <c r="B63" s="426"/>
      <c r="C63" s="300" t="s">
        <v>2</v>
      </c>
      <c r="D63" s="300" t="s">
        <v>37</v>
      </c>
      <c r="E63" s="300" t="s">
        <v>3</v>
      </c>
      <c r="F63" s="426" t="s">
        <v>110</v>
      </c>
      <c r="G63" s="426"/>
      <c r="H63" s="426"/>
      <c r="I63" s="426"/>
      <c r="J63" s="426"/>
      <c r="K63" s="426" t="s">
        <v>39</v>
      </c>
      <c r="L63" s="426"/>
      <c r="M63" s="300" t="s">
        <v>40</v>
      </c>
      <c r="N63" s="426" t="s">
        <v>41</v>
      </c>
      <c r="O63" s="426"/>
      <c r="P63" s="423" t="s">
        <v>42</v>
      </c>
      <c r="Q63" s="425"/>
      <c r="R63" s="423" t="s">
        <v>43</v>
      </c>
      <c r="S63" s="424"/>
      <c r="T63" s="424"/>
      <c r="U63" s="424"/>
      <c r="V63" s="424"/>
      <c r="W63" s="424"/>
      <c r="X63" s="424"/>
      <c r="Y63" s="424"/>
      <c r="Z63" s="424"/>
      <c r="AA63" s="425"/>
      <c r="AB63" s="426" t="s">
        <v>44</v>
      </c>
      <c r="AC63" s="426"/>
      <c r="AD63" s="427"/>
      <c r="AF63" s="93">
        <f>SUM(AF60:AF62)</f>
        <v>96000</v>
      </c>
    </row>
    <row r="64" spans="1:32" ht="25.5" customHeight="1">
      <c r="A64" s="418">
        <v>1</v>
      </c>
      <c r="B64" s="419"/>
      <c r="C64" s="123"/>
      <c r="D64" s="303"/>
      <c r="E64" s="301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2</v>
      </c>
      <c r="B65" s="419"/>
      <c r="C65" s="123"/>
      <c r="D65" s="303"/>
      <c r="E65" s="301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3</v>
      </c>
      <c r="B66" s="419"/>
      <c r="C66" s="123"/>
      <c r="D66" s="303"/>
      <c r="E66" s="301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4</v>
      </c>
      <c r="B67" s="419"/>
      <c r="C67" s="123"/>
      <c r="D67" s="303"/>
      <c r="E67" s="301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5</v>
      </c>
      <c r="B68" s="419"/>
      <c r="C68" s="123"/>
      <c r="D68" s="303"/>
      <c r="E68" s="301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6</v>
      </c>
      <c r="B69" s="419"/>
      <c r="C69" s="123"/>
      <c r="D69" s="303"/>
      <c r="E69" s="301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7</v>
      </c>
      <c r="B70" s="419"/>
      <c r="C70" s="123"/>
      <c r="D70" s="303"/>
      <c r="E70" s="301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5.5" customHeight="1">
      <c r="A71" s="418">
        <v>8</v>
      </c>
      <c r="B71" s="419"/>
      <c r="C71" s="123"/>
      <c r="D71" s="303"/>
      <c r="E71" s="301"/>
      <c r="F71" s="420"/>
      <c r="G71" s="412"/>
      <c r="H71" s="412"/>
      <c r="I71" s="412"/>
      <c r="J71" s="412"/>
      <c r="K71" s="412"/>
      <c r="L71" s="412"/>
      <c r="M71" s="54"/>
      <c r="N71" s="412"/>
      <c r="O71" s="412"/>
      <c r="P71" s="421"/>
      <c r="Q71" s="421"/>
      <c r="R71" s="422"/>
      <c r="S71" s="422"/>
      <c r="T71" s="422"/>
      <c r="U71" s="422"/>
      <c r="V71" s="422"/>
      <c r="W71" s="422"/>
      <c r="X71" s="422"/>
      <c r="Y71" s="422"/>
      <c r="Z71" s="422"/>
      <c r="AA71" s="422"/>
      <c r="AB71" s="412"/>
      <c r="AC71" s="412"/>
      <c r="AD71" s="413"/>
      <c r="AF71" s="53"/>
    </row>
    <row r="72" spans="1:32" ht="26.25" customHeight="1" thickBot="1">
      <c r="A72" s="392" t="s">
        <v>440</v>
      </c>
      <c r="B72" s="392"/>
      <c r="C72" s="392"/>
      <c r="D72" s="392"/>
      <c r="E72" s="39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3" t="s">
        <v>113</v>
      </c>
      <c r="B73" s="394"/>
      <c r="C73" s="302" t="s">
        <v>2</v>
      </c>
      <c r="D73" s="302" t="s">
        <v>37</v>
      </c>
      <c r="E73" s="302" t="s">
        <v>3</v>
      </c>
      <c r="F73" s="394" t="s">
        <v>38</v>
      </c>
      <c r="G73" s="394"/>
      <c r="H73" s="394"/>
      <c r="I73" s="394"/>
      <c r="J73" s="394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394" t="s">
        <v>49</v>
      </c>
      <c r="U73" s="394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3"/>
    </row>
    <row r="74" spans="1:32" ht="33.75" customHeight="1">
      <c r="A74" s="386">
        <v>1</v>
      </c>
      <c r="B74" s="387"/>
      <c r="C74" s="304" t="s">
        <v>114</v>
      </c>
      <c r="D74" s="304"/>
      <c r="E74" s="71" t="s">
        <v>149</v>
      </c>
      <c r="F74" s="401" t="s">
        <v>147</v>
      </c>
      <c r="G74" s="402"/>
      <c r="H74" s="402"/>
      <c r="I74" s="402"/>
      <c r="J74" s="403"/>
      <c r="K74" s="404" t="s">
        <v>153</v>
      </c>
      <c r="L74" s="405"/>
      <c r="M74" s="405"/>
      <c r="N74" s="405"/>
      <c r="O74" s="405"/>
      <c r="P74" s="405"/>
      <c r="Q74" s="405"/>
      <c r="R74" s="405"/>
      <c r="S74" s="406"/>
      <c r="T74" s="407">
        <v>43384</v>
      </c>
      <c r="U74" s="408"/>
      <c r="V74" s="409"/>
      <c r="W74" s="409"/>
      <c r="X74" s="410"/>
      <c r="Y74" s="410"/>
      <c r="Z74" s="410"/>
      <c r="AA74" s="410"/>
      <c r="AB74" s="410"/>
      <c r="AC74" s="410"/>
      <c r="AD74" s="411"/>
      <c r="AF74" s="53"/>
    </row>
    <row r="75" spans="1:32" ht="30" customHeight="1">
      <c r="A75" s="379">
        <f>A74+1</f>
        <v>2</v>
      </c>
      <c r="B75" s="380"/>
      <c r="C75" s="303"/>
      <c r="D75" s="303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ref="A76:A82" si="19">A75+1</f>
        <v>3</v>
      </c>
      <c r="B76" s="380"/>
      <c r="C76" s="303"/>
      <c r="D76" s="303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9"/>
        <v>4</v>
      </c>
      <c r="B77" s="380"/>
      <c r="C77" s="303"/>
      <c r="D77" s="303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9"/>
        <v>5</v>
      </c>
      <c r="B78" s="380"/>
      <c r="C78" s="303"/>
      <c r="D78" s="303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9"/>
        <v>6</v>
      </c>
      <c r="B79" s="380"/>
      <c r="C79" s="303"/>
      <c r="D79" s="303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9"/>
        <v>7</v>
      </c>
      <c r="B80" s="380"/>
      <c r="C80" s="303"/>
      <c r="D80" s="303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9"/>
        <v>8</v>
      </c>
      <c r="B81" s="380"/>
      <c r="C81" s="303"/>
      <c r="D81" s="303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0" customHeight="1">
      <c r="A82" s="379">
        <f t="shared" si="19"/>
        <v>9</v>
      </c>
      <c r="B82" s="380"/>
      <c r="C82" s="303"/>
      <c r="D82" s="303"/>
      <c r="E82" s="35"/>
      <c r="F82" s="380"/>
      <c r="G82" s="380"/>
      <c r="H82" s="380"/>
      <c r="I82" s="380"/>
      <c r="J82" s="380"/>
      <c r="K82" s="395"/>
      <c r="L82" s="396"/>
      <c r="M82" s="396"/>
      <c r="N82" s="396"/>
      <c r="O82" s="396"/>
      <c r="P82" s="396"/>
      <c r="Q82" s="396"/>
      <c r="R82" s="396"/>
      <c r="S82" s="397"/>
      <c r="T82" s="398"/>
      <c r="U82" s="398"/>
      <c r="V82" s="398"/>
      <c r="W82" s="398"/>
      <c r="X82" s="399"/>
      <c r="Y82" s="399"/>
      <c r="Z82" s="399"/>
      <c r="AA82" s="399"/>
      <c r="AB82" s="399"/>
      <c r="AC82" s="399"/>
      <c r="AD82" s="400"/>
      <c r="AF82" s="53"/>
    </row>
    <row r="83" spans="1:32" ht="36" thickBot="1">
      <c r="A83" s="392" t="s">
        <v>441</v>
      </c>
      <c r="B83" s="392"/>
      <c r="C83" s="392"/>
      <c r="D83" s="392"/>
      <c r="E83" s="39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3" t="s">
        <v>113</v>
      </c>
      <c r="B84" s="394"/>
      <c r="C84" s="384" t="s">
        <v>52</v>
      </c>
      <c r="D84" s="384"/>
      <c r="E84" s="384" t="s">
        <v>53</v>
      </c>
      <c r="F84" s="384"/>
      <c r="G84" s="384"/>
      <c r="H84" s="384"/>
      <c r="I84" s="384"/>
      <c r="J84" s="384"/>
      <c r="K84" s="384" t="s">
        <v>54</v>
      </c>
      <c r="L84" s="384"/>
      <c r="M84" s="384"/>
      <c r="N84" s="384"/>
      <c r="O84" s="384"/>
      <c r="P84" s="384"/>
      <c r="Q84" s="384"/>
      <c r="R84" s="384"/>
      <c r="S84" s="384"/>
      <c r="T84" s="384" t="s">
        <v>55</v>
      </c>
      <c r="U84" s="384"/>
      <c r="V84" s="384" t="s">
        <v>56</v>
      </c>
      <c r="W84" s="384"/>
      <c r="X84" s="384"/>
      <c r="Y84" s="384" t="s">
        <v>51</v>
      </c>
      <c r="Z84" s="384"/>
      <c r="AA84" s="384"/>
      <c r="AB84" s="384"/>
      <c r="AC84" s="384"/>
      <c r="AD84" s="385"/>
      <c r="AF84" s="53"/>
    </row>
    <row r="85" spans="1:32" ht="30.75" customHeight="1">
      <c r="A85" s="386">
        <v>1</v>
      </c>
      <c r="B85" s="387"/>
      <c r="C85" s="388"/>
      <c r="D85" s="388"/>
      <c r="E85" s="388"/>
      <c r="F85" s="388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88"/>
      <c r="V85" s="389"/>
      <c r="W85" s="389"/>
      <c r="X85" s="389"/>
      <c r="Y85" s="390"/>
      <c r="Z85" s="390"/>
      <c r="AA85" s="390"/>
      <c r="AB85" s="390"/>
      <c r="AC85" s="390"/>
      <c r="AD85" s="391"/>
      <c r="AF85" s="53"/>
    </row>
    <row r="86" spans="1:32" ht="30.75" customHeight="1">
      <c r="A86" s="379">
        <v>2</v>
      </c>
      <c r="B86" s="380"/>
      <c r="C86" s="381"/>
      <c r="D86" s="381"/>
      <c r="E86" s="381"/>
      <c r="F86" s="381"/>
      <c r="G86" s="381"/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  <c r="T86" s="382"/>
      <c r="U86" s="382"/>
      <c r="V86" s="383"/>
      <c r="W86" s="383"/>
      <c r="X86" s="383"/>
      <c r="Y86" s="372"/>
      <c r="Z86" s="372"/>
      <c r="AA86" s="372"/>
      <c r="AB86" s="372"/>
      <c r="AC86" s="372"/>
      <c r="AD86" s="373"/>
      <c r="AF86" s="53"/>
    </row>
    <row r="87" spans="1:32" ht="30.75" customHeight="1" thickBot="1">
      <c r="A87" s="374">
        <v>3</v>
      </c>
      <c r="B87" s="375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7"/>
      <c r="Z87" s="377"/>
      <c r="AA87" s="377"/>
      <c r="AB87" s="377"/>
      <c r="AC87" s="377"/>
      <c r="AD87" s="378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03D4-AF20-4746-B003-441BD9D2D457}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442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315" t="s">
        <v>17</v>
      </c>
      <c r="L5" s="315" t="s">
        <v>18</v>
      </c>
      <c r="M5" s="315" t="s">
        <v>19</v>
      </c>
      <c r="N5" s="31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0.54440136420750318</v>
      </c>
      <c r="AF6" s="93">
        <f t="shared" ref="AF6:AF22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0.54440136420750318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7688</v>
      </c>
      <c r="K8" s="15">
        <f>L8+4226+6836</f>
        <v>18750</v>
      </c>
      <c r="L8" s="15">
        <f>4331+3357</f>
        <v>7688</v>
      </c>
      <c r="M8" s="16">
        <f t="shared" si="0"/>
        <v>7688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0.54440136420750318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121</v>
      </c>
      <c r="E9" s="57" t="s">
        <v>413</v>
      </c>
      <c r="F9" s="33" t="s">
        <v>181</v>
      </c>
      <c r="G9" s="36">
        <v>1</v>
      </c>
      <c r="H9" s="38">
        <v>25</v>
      </c>
      <c r="I9" s="7">
        <v>4500</v>
      </c>
      <c r="J9" s="5">
        <v>1083</v>
      </c>
      <c r="K9" s="15">
        <f>L9+4472</f>
        <v>5555</v>
      </c>
      <c r="L9" s="15">
        <v>1083</v>
      </c>
      <c r="M9" s="16">
        <f t="shared" si="0"/>
        <v>1083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/>
      <c r="T9" s="17"/>
      <c r="U9" s="17"/>
      <c r="V9" s="18"/>
      <c r="W9" s="19">
        <v>18</v>
      </c>
      <c r="X9" s="17"/>
      <c r="Y9" s="20"/>
      <c r="Z9" s="20"/>
      <c r="AA9" s="21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9">
        <f t="shared" si="7"/>
        <v>0.54440136420750318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37" t="s">
        <v>118</v>
      </c>
      <c r="D10" s="55" t="s">
        <v>117</v>
      </c>
      <c r="E10" s="57" t="s">
        <v>401</v>
      </c>
      <c r="F10" s="33" t="s">
        <v>128</v>
      </c>
      <c r="G10" s="36">
        <v>1</v>
      </c>
      <c r="H10" s="38">
        <v>25</v>
      </c>
      <c r="I10" s="7">
        <v>4500</v>
      </c>
      <c r="J10" s="5">
        <v>2849</v>
      </c>
      <c r="K10" s="15">
        <f>L10</f>
        <v>2849</v>
      </c>
      <c r="L10" s="15">
        <f>2318+531</f>
        <v>2849</v>
      </c>
      <c r="M10" s="16">
        <f t="shared" ref="M10" si="9">L10-N10</f>
        <v>2849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16</v>
      </c>
      <c r="Q10" s="43">
        <f t="shared" ref="Q10" si="12">SUM(R10:AA10)</f>
        <v>8</v>
      </c>
      <c r="R10" s="7"/>
      <c r="S10" s="6"/>
      <c r="T10" s="17">
        <v>8</v>
      </c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0.66666666666666663</v>
      </c>
      <c r="AD10" s="10">
        <f t="shared" ref="AD10" si="15">AC10*AB10*(1-O10)</f>
        <v>0.66666666666666663</v>
      </c>
      <c r="AE10" s="39">
        <f t="shared" si="7"/>
        <v>0.54440136420750318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126</v>
      </c>
      <c r="D11" s="55" t="s">
        <v>120</v>
      </c>
      <c r="E11" s="57" t="s">
        <v>396</v>
      </c>
      <c r="F11" s="12" t="s">
        <v>122</v>
      </c>
      <c r="G11" s="12">
        <v>1</v>
      </c>
      <c r="H11" s="13">
        <v>25</v>
      </c>
      <c r="I11" s="7">
        <v>70000</v>
      </c>
      <c r="J11" s="14">
        <v>6911</v>
      </c>
      <c r="K11" s="15">
        <f>L11+4579+6047+6324</f>
        <v>23861</v>
      </c>
      <c r="L11" s="15">
        <f>3898+3013</f>
        <v>6911</v>
      </c>
      <c r="M11" s="16">
        <f t="shared" si="0"/>
        <v>6911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0.54440136420750318</v>
      </c>
      <c r="AF11" s="93">
        <f t="shared" si="8"/>
        <v>5</v>
      </c>
    </row>
    <row r="12" spans="1:32" ht="27" customHeight="1">
      <c r="A12" s="109">
        <v>6</v>
      </c>
      <c r="B12" s="11" t="s">
        <v>57</v>
      </c>
      <c r="C12" s="37" t="s">
        <v>126</v>
      </c>
      <c r="D12" s="55" t="s">
        <v>121</v>
      </c>
      <c r="E12" s="57" t="s">
        <v>337</v>
      </c>
      <c r="F12" s="12" t="s">
        <v>127</v>
      </c>
      <c r="G12" s="12">
        <v>1</v>
      </c>
      <c r="H12" s="13">
        <v>25</v>
      </c>
      <c r="I12" s="34">
        <v>30000</v>
      </c>
      <c r="J12" s="5">
        <v>1603</v>
      </c>
      <c r="K12" s="15">
        <f>L12+2806+1820+5637+5826+5854+5950+5806</f>
        <v>35302</v>
      </c>
      <c r="L12" s="15">
        <v>1603</v>
      </c>
      <c r="M12" s="16">
        <f t="shared" si="0"/>
        <v>1603</v>
      </c>
      <c r="N12" s="16">
        <v>0</v>
      </c>
      <c r="O12" s="62">
        <f t="shared" si="1"/>
        <v>0</v>
      </c>
      <c r="P12" s="42">
        <f t="shared" si="2"/>
        <v>9</v>
      </c>
      <c r="Q12" s="43">
        <f t="shared" si="3"/>
        <v>15</v>
      </c>
      <c r="R12" s="7"/>
      <c r="S12" s="6"/>
      <c r="T12" s="17"/>
      <c r="U12" s="17"/>
      <c r="V12" s="18"/>
      <c r="W12" s="19">
        <v>15</v>
      </c>
      <c r="X12" s="17"/>
      <c r="Y12" s="20"/>
      <c r="Z12" s="20"/>
      <c r="AA12" s="21"/>
      <c r="AB12" s="8">
        <f t="shared" si="4"/>
        <v>1</v>
      </c>
      <c r="AC12" s="9">
        <f t="shared" si="5"/>
        <v>0.375</v>
      </c>
      <c r="AD12" s="10">
        <f t="shared" si="6"/>
        <v>0.375</v>
      </c>
      <c r="AE12" s="39">
        <f t="shared" si="7"/>
        <v>0.54440136420750318</v>
      </c>
      <c r="AF12" s="93">
        <f t="shared" si="8"/>
        <v>6</v>
      </c>
    </row>
    <row r="13" spans="1:32" ht="27" customHeight="1">
      <c r="A13" s="109">
        <v>7</v>
      </c>
      <c r="B13" s="11" t="s">
        <v>57</v>
      </c>
      <c r="C13" s="11" t="s">
        <v>118</v>
      </c>
      <c r="D13" s="55" t="s">
        <v>146</v>
      </c>
      <c r="E13" s="57" t="s">
        <v>320</v>
      </c>
      <c r="F13" s="12" t="s">
        <v>128</v>
      </c>
      <c r="G13" s="12">
        <v>1</v>
      </c>
      <c r="H13" s="13">
        <v>25</v>
      </c>
      <c r="I13" s="7">
        <v>5000</v>
      </c>
      <c r="J13" s="14">
        <v>4555</v>
      </c>
      <c r="K13" s="15">
        <f>L13</f>
        <v>4555</v>
      </c>
      <c r="L13" s="15">
        <f>1900+2655</f>
        <v>4555</v>
      </c>
      <c r="M13" s="16">
        <f t="shared" si="0"/>
        <v>4555</v>
      </c>
      <c r="N13" s="16">
        <v>0</v>
      </c>
      <c r="O13" s="62">
        <f t="shared" si="1"/>
        <v>0</v>
      </c>
      <c r="P13" s="42">
        <f t="shared" si="2"/>
        <v>22</v>
      </c>
      <c r="Q13" s="43">
        <f t="shared" si="3"/>
        <v>2</v>
      </c>
      <c r="R13" s="7"/>
      <c r="S13" s="6"/>
      <c r="T13" s="17">
        <v>2</v>
      </c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0.91666666666666663</v>
      </c>
      <c r="AD13" s="10">
        <f t="shared" si="6"/>
        <v>0.91666666666666663</v>
      </c>
      <c r="AE13" s="39">
        <f t="shared" si="7"/>
        <v>0.54440136420750318</v>
      </c>
      <c r="AF13" s="93">
        <f t="shared" si="8"/>
        <v>7</v>
      </c>
    </row>
    <row r="14" spans="1:32" ht="27" customHeight="1">
      <c r="A14" s="109">
        <v>8</v>
      </c>
      <c r="B14" s="11" t="s">
        <v>57</v>
      </c>
      <c r="C14" s="11" t="s">
        <v>126</v>
      </c>
      <c r="D14" s="55" t="s">
        <v>433</v>
      </c>
      <c r="E14" s="57" t="s">
        <v>426</v>
      </c>
      <c r="F14" s="12">
        <v>7301</v>
      </c>
      <c r="G14" s="12">
        <v>1</v>
      </c>
      <c r="H14" s="13">
        <v>25</v>
      </c>
      <c r="I14" s="7">
        <v>1000</v>
      </c>
      <c r="J14" s="14">
        <v>1410</v>
      </c>
      <c r="K14" s="15">
        <f>L14+1410</f>
        <v>1410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0.54440136420750318</v>
      </c>
      <c r="AF14" s="93">
        <f t="shared" si="8"/>
        <v>8</v>
      </c>
    </row>
    <row r="15" spans="1:32" ht="27" customHeight="1">
      <c r="A15" s="227">
        <v>9</v>
      </c>
      <c r="B15" s="11" t="s">
        <v>57</v>
      </c>
      <c r="C15" s="37" t="s">
        <v>118</v>
      </c>
      <c r="D15" s="55" t="s">
        <v>152</v>
      </c>
      <c r="E15" s="57" t="s">
        <v>187</v>
      </c>
      <c r="F15" s="33" t="s">
        <v>155</v>
      </c>
      <c r="G15" s="36">
        <v>1</v>
      </c>
      <c r="H15" s="38">
        <v>25</v>
      </c>
      <c r="I15" s="7">
        <v>5000</v>
      </c>
      <c r="J15" s="5">
        <v>158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0.54440136420750318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126</v>
      </c>
      <c r="D16" s="55" t="s">
        <v>133</v>
      </c>
      <c r="E16" s="57" t="s">
        <v>414</v>
      </c>
      <c r="F16" s="12" t="s">
        <v>407</v>
      </c>
      <c r="G16" s="12">
        <v>1</v>
      </c>
      <c r="H16" s="13">
        <v>24</v>
      </c>
      <c r="I16" s="34">
        <v>70000</v>
      </c>
      <c r="J16" s="14">
        <v>6190</v>
      </c>
      <c r="K16" s="15">
        <f>L16+4017+6169</f>
        <v>16372</v>
      </c>
      <c r="L16" s="15">
        <f>3276+2910</f>
        <v>6186</v>
      </c>
      <c r="M16" s="16">
        <f t="shared" si="0"/>
        <v>6186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0.9993537964458804</v>
      </c>
      <c r="AC16" s="9">
        <f t="shared" si="5"/>
        <v>1</v>
      </c>
      <c r="AD16" s="10">
        <f t="shared" si="6"/>
        <v>0.9993537964458804</v>
      </c>
      <c r="AE16" s="39">
        <f t="shared" si="7"/>
        <v>0.54440136420750318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114</v>
      </c>
      <c r="D17" s="55" t="s">
        <v>146</v>
      </c>
      <c r="E17" s="57" t="s">
        <v>245</v>
      </c>
      <c r="F17" s="33" t="s">
        <v>182</v>
      </c>
      <c r="G17" s="36">
        <v>1</v>
      </c>
      <c r="H17" s="38">
        <v>24</v>
      </c>
      <c r="I17" s="7">
        <v>6000</v>
      </c>
      <c r="J17" s="5">
        <v>3000</v>
      </c>
      <c r="K17" s="15">
        <f>L17+430+5436+2998</f>
        <v>8864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0.54440136420750318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126</v>
      </c>
      <c r="D18" s="55" t="s">
        <v>133</v>
      </c>
      <c r="E18" s="57" t="s">
        <v>406</v>
      </c>
      <c r="F18" s="12" t="s">
        <v>407</v>
      </c>
      <c r="G18" s="12">
        <v>1</v>
      </c>
      <c r="H18" s="13">
        <v>24</v>
      </c>
      <c r="I18" s="34">
        <v>70000</v>
      </c>
      <c r="J18" s="14">
        <v>7009</v>
      </c>
      <c r="K18" s="15">
        <f>L18+5530+6591+6555</f>
        <v>25685</v>
      </c>
      <c r="L18" s="15">
        <f>3931+3078</f>
        <v>7009</v>
      </c>
      <c r="M18" s="16">
        <f t="shared" si="0"/>
        <v>7009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0.54440136420750318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126</v>
      </c>
      <c r="D19" s="55" t="s">
        <v>117</v>
      </c>
      <c r="E19" s="57" t="s">
        <v>231</v>
      </c>
      <c r="F19" s="12" t="s">
        <v>122</v>
      </c>
      <c r="G19" s="36">
        <v>1</v>
      </c>
      <c r="H19" s="38">
        <v>24</v>
      </c>
      <c r="I19" s="7">
        <v>70000</v>
      </c>
      <c r="J19" s="5">
        <v>6103</v>
      </c>
      <c r="K19" s="15">
        <f>L19+3442+4857</f>
        <v>14402</v>
      </c>
      <c r="L19" s="15">
        <f>3350+2753</f>
        <v>6103</v>
      </c>
      <c r="M19" s="16">
        <f t="shared" si="0"/>
        <v>6103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0.54440136420750318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131</v>
      </c>
      <c r="E20" s="57" t="s">
        <v>443</v>
      </c>
      <c r="F20" s="12" t="s">
        <v>129</v>
      </c>
      <c r="G20" s="36">
        <v>2</v>
      </c>
      <c r="H20" s="13">
        <v>24</v>
      </c>
      <c r="I20" s="7">
        <v>8000</v>
      </c>
      <c r="J20" s="14">
        <v>9394</v>
      </c>
      <c r="K20" s="15">
        <f>L20</f>
        <v>9394</v>
      </c>
      <c r="L20" s="15">
        <f>857*2+3840*2</f>
        <v>9394</v>
      </c>
      <c r="M20" s="16">
        <f t="shared" si="0"/>
        <v>9394</v>
      </c>
      <c r="N20" s="16">
        <v>0</v>
      </c>
      <c r="O20" s="62">
        <f t="shared" si="1"/>
        <v>0</v>
      </c>
      <c r="P20" s="42">
        <f t="shared" si="2"/>
        <v>19</v>
      </c>
      <c r="Q20" s="43">
        <f t="shared" si="3"/>
        <v>5</v>
      </c>
      <c r="R20" s="7"/>
      <c r="S20" s="6"/>
      <c r="T20" s="17">
        <v>5</v>
      </c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9">
        <f t="shared" si="7"/>
        <v>0.54440136420750318</v>
      </c>
      <c r="AF20" s="93">
        <f t="shared" si="8"/>
        <v>14</v>
      </c>
    </row>
    <row r="21" spans="1:32" ht="27" customHeight="1">
      <c r="A21" s="109">
        <v>14</v>
      </c>
      <c r="B21" s="11" t="s">
        <v>57</v>
      </c>
      <c r="C21" s="11" t="s">
        <v>114</v>
      </c>
      <c r="D21" s="55" t="s">
        <v>133</v>
      </c>
      <c r="E21" s="57" t="s">
        <v>444</v>
      </c>
      <c r="F21" s="12" t="s">
        <v>122</v>
      </c>
      <c r="G21" s="36">
        <v>1</v>
      </c>
      <c r="H21" s="13">
        <v>24</v>
      </c>
      <c r="I21" s="7">
        <v>700</v>
      </c>
      <c r="J21" s="14">
        <v>748</v>
      </c>
      <c r="K21" s="15">
        <f>L21</f>
        <v>748</v>
      </c>
      <c r="L21" s="15">
        <v>748</v>
      </c>
      <c r="M21" s="16">
        <f t="shared" si="0"/>
        <v>748</v>
      </c>
      <c r="N21" s="16">
        <v>0</v>
      </c>
      <c r="O21" s="62">
        <f t="shared" si="1"/>
        <v>0</v>
      </c>
      <c r="P21" s="42">
        <f t="shared" si="2"/>
        <v>4</v>
      </c>
      <c r="Q21" s="43">
        <f t="shared" si="3"/>
        <v>20</v>
      </c>
      <c r="R21" s="7"/>
      <c r="S21" s="6"/>
      <c r="T21" s="17"/>
      <c r="U21" s="17"/>
      <c r="V21" s="18"/>
      <c r="W21" s="19">
        <v>20</v>
      </c>
      <c r="X21" s="17"/>
      <c r="Y21" s="20"/>
      <c r="Z21" s="20"/>
      <c r="AA21" s="21"/>
      <c r="AB21" s="8">
        <f t="shared" si="4"/>
        <v>1</v>
      </c>
      <c r="AC21" s="9">
        <f t="shared" si="5"/>
        <v>0.16666666666666666</v>
      </c>
      <c r="AD21" s="10">
        <f t="shared" si="6"/>
        <v>0.16666666666666666</v>
      </c>
      <c r="AE21" s="39">
        <f t="shared" si="7"/>
        <v>0.54440136420750318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115</v>
      </c>
      <c r="D22" s="55"/>
      <c r="E22" s="56" t="s">
        <v>391</v>
      </c>
      <c r="F22" s="12" t="s">
        <v>116</v>
      </c>
      <c r="G22" s="12">
        <v>4</v>
      </c>
      <c r="H22" s="38">
        <v>20</v>
      </c>
      <c r="I22" s="7">
        <v>300000</v>
      </c>
      <c r="J22" s="14">
        <v>37804</v>
      </c>
      <c r="K22" s="15">
        <f>L22+15040+44972+37804</f>
        <v>97816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>
        <v>24</v>
      </c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0.54440136420750318</v>
      </c>
      <c r="AF22" s="93">
        <f t="shared" si="8"/>
        <v>15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5">
        <f t="shared" ref="I23:N23" si="17">SUM(I6:I22)</f>
        <v>714700</v>
      </c>
      <c r="J23" s="22">
        <f t="shared" si="17"/>
        <v>96505</v>
      </c>
      <c r="K23" s="23">
        <f t="shared" si="17"/>
        <v>265563</v>
      </c>
      <c r="L23" s="24">
        <f t="shared" si="17"/>
        <v>54129</v>
      </c>
      <c r="M23" s="23">
        <f t="shared" si="17"/>
        <v>54129</v>
      </c>
      <c r="N23" s="24">
        <f t="shared" si="17"/>
        <v>0</v>
      </c>
      <c r="O23" s="44">
        <f t="shared" si="1"/>
        <v>0</v>
      </c>
      <c r="P23" s="45">
        <f t="shared" ref="P23:AA23" si="18">SUM(P6:P22)</f>
        <v>196</v>
      </c>
      <c r="Q23" s="46">
        <f t="shared" si="18"/>
        <v>212</v>
      </c>
      <c r="R23" s="26">
        <f t="shared" si="18"/>
        <v>48</v>
      </c>
      <c r="S23" s="27">
        <f t="shared" si="18"/>
        <v>24</v>
      </c>
      <c r="T23" s="27">
        <f t="shared" si="18"/>
        <v>15</v>
      </c>
      <c r="U23" s="27">
        <f t="shared" si="18"/>
        <v>0</v>
      </c>
      <c r="V23" s="28">
        <f t="shared" si="18"/>
        <v>0</v>
      </c>
      <c r="W23" s="29">
        <f t="shared" si="18"/>
        <v>125</v>
      </c>
      <c r="X23" s="30">
        <f t="shared" si="18"/>
        <v>0</v>
      </c>
      <c r="Y23" s="30">
        <f t="shared" si="18"/>
        <v>0</v>
      </c>
      <c r="Z23" s="30">
        <f t="shared" si="18"/>
        <v>0</v>
      </c>
      <c r="AA23" s="30">
        <f t="shared" si="18"/>
        <v>0</v>
      </c>
      <c r="AB23" s="31">
        <f>SUM(AB6:AB22)/15</f>
        <v>0.73329025309639206</v>
      </c>
      <c r="AC23" s="4">
        <f>SUM(AC6:AC22)/15</f>
        <v>0.5444444444444444</v>
      </c>
      <c r="AD23" s="4">
        <f>SUM(AD6:AD22)/15</f>
        <v>0.54440136420750318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47" t="s">
        <v>45</v>
      </c>
      <c r="B50" s="447"/>
      <c r="C50" s="447"/>
      <c r="D50" s="447"/>
      <c r="E50" s="447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48" t="s">
        <v>445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446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314" t="s">
        <v>46</v>
      </c>
      <c r="D52" s="314" t="s">
        <v>47</v>
      </c>
      <c r="E52" s="314" t="s">
        <v>108</v>
      </c>
      <c r="F52" s="455" t="s">
        <v>107</v>
      </c>
      <c r="G52" s="455"/>
      <c r="H52" s="455"/>
      <c r="I52" s="455"/>
      <c r="J52" s="455"/>
      <c r="K52" s="455"/>
      <c r="L52" s="455"/>
      <c r="M52" s="456"/>
      <c r="N52" s="73" t="s">
        <v>112</v>
      </c>
      <c r="O52" s="314" t="s">
        <v>46</v>
      </c>
      <c r="P52" s="457" t="s">
        <v>47</v>
      </c>
      <c r="Q52" s="458"/>
      <c r="R52" s="457" t="s">
        <v>38</v>
      </c>
      <c r="S52" s="459"/>
      <c r="T52" s="459"/>
      <c r="U52" s="458"/>
      <c r="V52" s="457" t="s">
        <v>48</v>
      </c>
      <c r="W52" s="459"/>
      <c r="X52" s="459"/>
      <c r="Y52" s="459"/>
      <c r="Z52" s="459"/>
      <c r="AA52" s="459"/>
      <c r="AB52" s="459"/>
      <c r="AC52" s="459"/>
      <c r="AD52" s="460"/>
    </row>
    <row r="53" spans="1:32" ht="27" customHeight="1">
      <c r="A53" s="430" t="s">
        <v>118</v>
      </c>
      <c r="B53" s="431"/>
      <c r="C53" s="311" t="s">
        <v>139</v>
      </c>
      <c r="D53" s="311" t="s">
        <v>117</v>
      </c>
      <c r="E53" s="311" t="s">
        <v>401</v>
      </c>
      <c r="F53" s="483" t="s">
        <v>437</v>
      </c>
      <c r="G53" s="484"/>
      <c r="H53" s="484"/>
      <c r="I53" s="484"/>
      <c r="J53" s="484"/>
      <c r="K53" s="484"/>
      <c r="L53" s="484"/>
      <c r="M53" s="485"/>
      <c r="N53" s="310" t="s">
        <v>118</v>
      </c>
      <c r="O53" s="124" t="s">
        <v>225</v>
      </c>
      <c r="P53" s="439" t="s">
        <v>120</v>
      </c>
      <c r="Q53" s="440"/>
      <c r="R53" s="431" t="s">
        <v>447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118</v>
      </c>
      <c r="B54" s="431"/>
      <c r="C54" s="311" t="s">
        <v>225</v>
      </c>
      <c r="D54" s="311" t="s">
        <v>146</v>
      </c>
      <c r="E54" s="311" t="s">
        <v>320</v>
      </c>
      <c r="F54" s="483" t="s">
        <v>119</v>
      </c>
      <c r="G54" s="484"/>
      <c r="H54" s="484"/>
      <c r="I54" s="484"/>
      <c r="J54" s="484"/>
      <c r="K54" s="484"/>
      <c r="L54" s="484"/>
      <c r="M54" s="485"/>
      <c r="N54" s="310" t="s">
        <v>126</v>
      </c>
      <c r="O54" s="124" t="s">
        <v>125</v>
      </c>
      <c r="P54" s="439" t="s">
        <v>117</v>
      </c>
      <c r="Q54" s="440"/>
      <c r="R54" s="431" t="s">
        <v>448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118</v>
      </c>
      <c r="B55" s="431"/>
      <c r="C55" s="311" t="s">
        <v>174</v>
      </c>
      <c r="D55" s="311" t="s">
        <v>131</v>
      </c>
      <c r="E55" s="311" t="s">
        <v>443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310" t="s">
        <v>126</v>
      </c>
      <c r="O55" s="124" t="s">
        <v>202</v>
      </c>
      <c r="P55" s="439" t="s">
        <v>121</v>
      </c>
      <c r="Q55" s="440"/>
      <c r="R55" s="431" t="s">
        <v>449</v>
      </c>
      <c r="S55" s="431"/>
      <c r="T55" s="431"/>
      <c r="U55" s="431"/>
      <c r="V55" s="422" t="s">
        <v>119</v>
      </c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 t="s">
        <v>114</v>
      </c>
      <c r="B56" s="431"/>
      <c r="C56" s="311" t="s">
        <v>174</v>
      </c>
      <c r="D56" s="311" t="s">
        <v>133</v>
      </c>
      <c r="E56" s="311" t="s">
        <v>444</v>
      </c>
      <c r="F56" s="483" t="s">
        <v>119</v>
      </c>
      <c r="G56" s="484"/>
      <c r="H56" s="484"/>
      <c r="I56" s="484"/>
      <c r="J56" s="484"/>
      <c r="K56" s="484"/>
      <c r="L56" s="484"/>
      <c r="M56" s="485"/>
      <c r="N56" s="310" t="s">
        <v>118</v>
      </c>
      <c r="O56" s="124" t="s">
        <v>301</v>
      </c>
      <c r="P56" s="439" t="s">
        <v>152</v>
      </c>
      <c r="Q56" s="440"/>
      <c r="R56" s="431" t="s">
        <v>187</v>
      </c>
      <c r="S56" s="431"/>
      <c r="T56" s="431"/>
      <c r="U56" s="431"/>
      <c r="V56" s="422" t="s">
        <v>119</v>
      </c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311"/>
      <c r="D57" s="311"/>
      <c r="E57" s="311"/>
      <c r="F57" s="483"/>
      <c r="G57" s="484"/>
      <c r="H57" s="484"/>
      <c r="I57" s="484"/>
      <c r="J57" s="484"/>
      <c r="K57" s="484"/>
      <c r="L57" s="484"/>
      <c r="M57" s="485"/>
      <c r="N57" s="310"/>
      <c r="O57" s="124"/>
      <c r="P57" s="431"/>
      <c r="Q57" s="431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311"/>
      <c r="D58" s="311"/>
      <c r="E58" s="311"/>
      <c r="F58" s="483"/>
      <c r="G58" s="484"/>
      <c r="H58" s="484"/>
      <c r="I58" s="484"/>
      <c r="J58" s="484"/>
      <c r="K58" s="484"/>
      <c r="L58" s="484"/>
      <c r="M58" s="485"/>
      <c r="N58" s="310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311"/>
      <c r="D59" s="311"/>
      <c r="E59" s="311"/>
      <c r="F59" s="422"/>
      <c r="G59" s="422"/>
      <c r="H59" s="422"/>
      <c r="I59" s="422"/>
      <c r="J59" s="422"/>
      <c r="K59" s="422"/>
      <c r="L59" s="422"/>
      <c r="M59" s="432"/>
      <c r="N59" s="310"/>
      <c r="O59" s="124"/>
      <c r="P59" s="439"/>
      <c r="Q59" s="440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</row>
    <row r="60" spans="1:32" ht="27" customHeight="1">
      <c r="A60" s="430"/>
      <c r="B60" s="431"/>
      <c r="C60" s="311"/>
      <c r="D60" s="311"/>
      <c r="E60" s="311"/>
      <c r="F60" s="422"/>
      <c r="G60" s="422"/>
      <c r="H60" s="422"/>
      <c r="I60" s="422"/>
      <c r="J60" s="422"/>
      <c r="K60" s="422"/>
      <c r="L60" s="422"/>
      <c r="M60" s="432"/>
      <c r="N60" s="310"/>
      <c r="O60" s="124"/>
      <c r="P60" s="439"/>
      <c r="Q60" s="440"/>
      <c r="R60" s="431"/>
      <c r="S60" s="431"/>
      <c r="T60" s="431"/>
      <c r="U60" s="431"/>
      <c r="V60" s="422"/>
      <c r="W60" s="422"/>
      <c r="X60" s="422"/>
      <c r="Y60" s="422"/>
      <c r="Z60" s="422"/>
      <c r="AA60" s="422"/>
      <c r="AB60" s="422"/>
      <c r="AC60" s="422"/>
      <c r="AD60" s="432"/>
    </row>
    <row r="61" spans="1:32" ht="27" customHeight="1">
      <c r="A61" s="430"/>
      <c r="B61" s="431"/>
      <c r="C61" s="311"/>
      <c r="D61" s="311"/>
      <c r="E61" s="311"/>
      <c r="F61" s="422"/>
      <c r="G61" s="422"/>
      <c r="H61" s="422"/>
      <c r="I61" s="422"/>
      <c r="J61" s="422"/>
      <c r="K61" s="422"/>
      <c r="L61" s="422"/>
      <c r="M61" s="432"/>
      <c r="N61" s="310"/>
      <c r="O61" s="124"/>
      <c r="P61" s="431"/>
      <c r="Q61" s="431"/>
      <c r="R61" s="431"/>
      <c r="S61" s="431"/>
      <c r="T61" s="431"/>
      <c r="U61" s="431"/>
      <c r="V61" s="422"/>
      <c r="W61" s="422"/>
      <c r="X61" s="422"/>
      <c r="Y61" s="422"/>
      <c r="Z61" s="422"/>
      <c r="AA61" s="422"/>
      <c r="AB61" s="422"/>
      <c r="AC61" s="422"/>
      <c r="AD61" s="432"/>
      <c r="AF61" s="93">
        <f>8*3000</f>
        <v>24000</v>
      </c>
    </row>
    <row r="62" spans="1:32" ht="27" customHeight="1" thickBot="1">
      <c r="A62" s="433"/>
      <c r="B62" s="434"/>
      <c r="C62" s="313"/>
      <c r="D62" s="313"/>
      <c r="E62" s="313"/>
      <c r="F62" s="435"/>
      <c r="G62" s="435"/>
      <c r="H62" s="435"/>
      <c r="I62" s="435"/>
      <c r="J62" s="435"/>
      <c r="K62" s="435"/>
      <c r="L62" s="435"/>
      <c r="M62" s="436"/>
      <c r="N62" s="312"/>
      <c r="O62" s="120"/>
      <c r="P62" s="434"/>
      <c r="Q62" s="434"/>
      <c r="R62" s="434"/>
      <c r="S62" s="434"/>
      <c r="T62" s="434"/>
      <c r="U62" s="434"/>
      <c r="V62" s="437"/>
      <c r="W62" s="437"/>
      <c r="X62" s="437"/>
      <c r="Y62" s="437"/>
      <c r="Z62" s="437"/>
      <c r="AA62" s="437"/>
      <c r="AB62" s="437"/>
      <c r="AC62" s="437"/>
      <c r="AD62" s="438"/>
      <c r="AF62" s="93">
        <f>16*3000</f>
        <v>48000</v>
      </c>
    </row>
    <row r="63" spans="1:32" ht="27.75" thickBot="1">
      <c r="A63" s="428" t="s">
        <v>450</v>
      </c>
      <c r="B63" s="428"/>
      <c r="C63" s="428"/>
      <c r="D63" s="428"/>
      <c r="E63" s="428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29" t="s">
        <v>113</v>
      </c>
      <c r="B64" s="426"/>
      <c r="C64" s="309" t="s">
        <v>2</v>
      </c>
      <c r="D64" s="309" t="s">
        <v>37</v>
      </c>
      <c r="E64" s="309" t="s">
        <v>3</v>
      </c>
      <c r="F64" s="426" t="s">
        <v>110</v>
      </c>
      <c r="G64" s="426"/>
      <c r="H64" s="426"/>
      <c r="I64" s="426"/>
      <c r="J64" s="426"/>
      <c r="K64" s="426" t="s">
        <v>39</v>
      </c>
      <c r="L64" s="426"/>
      <c r="M64" s="309" t="s">
        <v>40</v>
      </c>
      <c r="N64" s="426" t="s">
        <v>41</v>
      </c>
      <c r="O64" s="426"/>
      <c r="P64" s="423" t="s">
        <v>42</v>
      </c>
      <c r="Q64" s="425"/>
      <c r="R64" s="423" t="s">
        <v>43</v>
      </c>
      <c r="S64" s="424"/>
      <c r="T64" s="424"/>
      <c r="U64" s="424"/>
      <c r="V64" s="424"/>
      <c r="W64" s="424"/>
      <c r="X64" s="424"/>
      <c r="Y64" s="424"/>
      <c r="Z64" s="424"/>
      <c r="AA64" s="425"/>
      <c r="AB64" s="426" t="s">
        <v>44</v>
      </c>
      <c r="AC64" s="426"/>
      <c r="AD64" s="427"/>
      <c r="AF64" s="93">
        <f>SUM(AF61:AF63)</f>
        <v>96000</v>
      </c>
    </row>
    <row r="65" spans="1:32" ht="25.5" customHeight="1">
      <c r="A65" s="418">
        <v>1</v>
      </c>
      <c r="B65" s="419"/>
      <c r="C65" s="123"/>
      <c r="D65" s="305"/>
      <c r="E65" s="308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2</v>
      </c>
      <c r="B66" s="419"/>
      <c r="C66" s="123"/>
      <c r="D66" s="305"/>
      <c r="E66" s="308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3</v>
      </c>
      <c r="B67" s="419"/>
      <c r="C67" s="123"/>
      <c r="D67" s="305"/>
      <c r="E67" s="308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4</v>
      </c>
      <c r="B68" s="419"/>
      <c r="C68" s="123"/>
      <c r="D68" s="305"/>
      <c r="E68" s="308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5</v>
      </c>
      <c r="B69" s="419"/>
      <c r="C69" s="123"/>
      <c r="D69" s="305"/>
      <c r="E69" s="308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6</v>
      </c>
      <c r="B70" s="419"/>
      <c r="C70" s="123"/>
      <c r="D70" s="305"/>
      <c r="E70" s="308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5.5" customHeight="1">
      <c r="A71" s="418">
        <v>7</v>
      </c>
      <c r="B71" s="419"/>
      <c r="C71" s="123"/>
      <c r="D71" s="305"/>
      <c r="E71" s="308"/>
      <c r="F71" s="420"/>
      <c r="G71" s="412"/>
      <c r="H71" s="412"/>
      <c r="I71" s="412"/>
      <c r="J71" s="412"/>
      <c r="K71" s="412"/>
      <c r="L71" s="412"/>
      <c r="M71" s="54"/>
      <c r="N71" s="412"/>
      <c r="O71" s="412"/>
      <c r="P71" s="421"/>
      <c r="Q71" s="421"/>
      <c r="R71" s="422"/>
      <c r="S71" s="422"/>
      <c r="T71" s="422"/>
      <c r="U71" s="422"/>
      <c r="V71" s="422"/>
      <c r="W71" s="422"/>
      <c r="X71" s="422"/>
      <c r="Y71" s="422"/>
      <c r="Z71" s="422"/>
      <c r="AA71" s="422"/>
      <c r="AB71" s="412"/>
      <c r="AC71" s="412"/>
      <c r="AD71" s="413"/>
      <c r="AF71" s="53"/>
    </row>
    <row r="72" spans="1:32" ht="25.5" customHeight="1">
      <c r="A72" s="418">
        <v>8</v>
      </c>
      <c r="B72" s="419"/>
      <c r="C72" s="123"/>
      <c r="D72" s="305"/>
      <c r="E72" s="308"/>
      <c r="F72" s="420"/>
      <c r="G72" s="412"/>
      <c r="H72" s="412"/>
      <c r="I72" s="412"/>
      <c r="J72" s="412"/>
      <c r="K72" s="412"/>
      <c r="L72" s="412"/>
      <c r="M72" s="54"/>
      <c r="N72" s="412"/>
      <c r="O72" s="412"/>
      <c r="P72" s="421"/>
      <c r="Q72" s="421"/>
      <c r="R72" s="422"/>
      <c r="S72" s="422"/>
      <c r="T72" s="422"/>
      <c r="U72" s="422"/>
      <c r="V72" s="422"/>
      <c r="W72" s="422"/>
      <c r="X72" s="422"/>
      <c r="Y72" s="422"/>
      <c r="Z72" s="422"/>
      <c r="AA72" s="422"/>
      <c r="AB72" s="412"/>
      <c r="AC72" s="412"/>
      <c r="AD72" s="413"/>
      <c r="AF72" s="53"/>
    </row>
    <row r="73" spans="1:32" ht="26.25" customHeight="1" thickBot="1">
      <c r="A73" s="392" t="s">
        <v>451</v>
      </c>
      <c r="B73" s="392"/>
      <c r="C73" s="392"/>
      <c r="D73" s="392"/>
      <c r="E73" s="392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393" t="s">
        <v>113</v>
      </c>
      <c r="B74" s="394"/>
      <c r="C74" s="307" t="s">
        <v>2</v>
      </c>
      <c r="D74" s="307" t="s">
        <v>37</v>
      </c>
      <c r="E74" s="307" t="s">
        <v>3</v>
      </c>
      <c r="F74" s="394" t="s">
        <v>38</v>
      </c>
      <c r="G74" s="394"/>
      <c r="H74" s="394"/>
      <c r="I74" s="394"/>
      <c r="J74" s="394"/>
      <c r="K74" s="414" t="s">
        <v>58</v>
      </c>
      <c r="L74" s="415"/>
      <c r="M74" s="415"/>
      <c r="N74" s="415"/>
      <c r="O74" s="415"/>
      <c r="P74" s="415"/>
      <c r="Q74" s="415"/>
      <c r="R74" s="415"/>
      <c r="S74" s="416"/>
      <c r="T74" s="394" t="s">
        <v>49</v>
      </c>
      <c r="U74" s="394"/>
      <c r="V74" s="414" t="s">
        <v>50</v>
      </c>
      <c r="W74" s="416"/>
      <c r="X74" s="415" t="s">
        <v>51</v>
      </c>
      <c r="Y74" s="415"/>
      <c r="Z74" s="415"/>
      <c r="AA74" s="415"/>
      <c r="AB74" s="415"/>
      <c r="AC74" s="415"/>
      <c r="AD74" s="417"/>
      <c r="AF74" s="53"/>
    </row>
    <row r="75" spans="1:32" ht="33.75" customHeight="1">
      <c r="A75" s="386">
        <v>1</v>
      </c>
      <c r="B75" s="387"/>
      <c r="C75" s="306" t="s">
        <v>114</v>
      </c>
      <c r="D75" s="306"/>
      <c r="E75" s="71" t="s">
        <v>149</v>
      </c>
      <c r="F75" s="401" t="s">
        <v>147</v>
      </c>
      <c r="G75" s="402"/>
      <c r="H75" s="402"/>
      <c r="I75" s="402"/>
      <c r="J75" s="403"/>
      <c r="K75" s="404" t="s">
        <v>153</v>
      </c>
      <c r="L75" s="405"/>
      <c r="M75" s="405"/>
      <c r="N75" s="405"/>
      <c r="O75" s="405"/>
      <c r="P75" s="405"/>
      <c r="Q75" s="405"/>
      <c r="R75" s="405"/>
      <c r="S75" s="406"/>
      <c r="T75" s="407">
        <v>43384</v>
      </c>
      <c r="U75" s="408"/>
      <c r="V75" s="409"/>
      <c r="W75" s="409"/>
      <c r="X75" s="410"/>
      <c r="Y75" s="410"/>
      <c r="Z75" s="410"/>
      <c r="AA75" s="410"/>
      <c r="AB75" s="410"/>
      <c r="AC75" s="410"/>
      <c r="AD75" s="411"/>
      <c r="AF75" s="53"/>
    </row>
    <row r="76" spans="1:32" ht="30" customHeight="1">
      <c r="A76" s="379">
        <f>A75+1</f>
        <v>2</v>
      </c>
      <c r="B76" s="380"/>
      <c r="C76" s="305"/>
      <c r="D76" s="305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ref="A77:A83" si="19">A76+1</f>
        <v>3</v>
      </c>
      <c r="B77" s="380"/>
      <c r="C77" s="305"/>
      <c r="D77" s="305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9"/>
        <v>4</v>
      </c>
      <c r="B78" s="380"/>
      <c r="C78" s="305"/>
      <c r="D78" s="305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9"/>
        <v>5</v>
      </c>
      <c r="B79" s="380"/>
      <c r="C79" s="305"/>
      <c r="D79" s="305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9"/>
        <v>6</v>
      </c>
      <c r="B80" s="380"/>
      <c r="C80" s="305"/>
      <c r="D80" s="305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9"/>
        <v>7</v>
      </c>
      <c r="B81" s="380"/>
      <c r="C81" s="305"/>
      <c r="D81" s="305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0" customHeight="1">
      <c r="A82" s="379">
        <f t="shared" si="19"/>
        <v>8</v>
      </c>
      <c r="B82" s="380"/>
      <c r="C82" s="305"/>
      <c r="D82" s="305"/>
      <c r="E82" s="35"/>
      <c r="F82" s="380"/>
      <c r="G82" s="380"/>
      <c r="H82" s="380"/>
      <c r="I82" s="380"/>
      <c r="J82" s="380"/>
      <c r="K82" s="395"/>
      <c r="L82" s="396"/>
      <c r="M82" s="396"/>
      <c r="N82" s="396"/>
      <c r="O82" s="396"/>
      <c r="P82" s="396"/>
      <c r="Q82" s="396"/>
      <c r="R82" s="396"/>
      <c r="S82" s="397"/>
      <c r="T82" s="398"/>
      <c r="U82" s="398"/>
      <c r="V82" s="398"/>
      <c r="W82" s="398"/>
      <c r="X82" s="399"/>
      <c r="Y82" s="399"/>
      <c r="Z82" s="399"/>
      <c r="AA82" s="399"/>
      <c r="AB82" s="399"/>
      <c r="AC82" s="399"/>
      <c r="AD82" s="400"/>
      <c r="AF82" s="53"/>
    </row>
    <row r="83" spans="1:32" ht="30" customHeight="1">
      <c r="A83" s="379">
        <f t="shared" si="19"/>
        <v>9</v>
      </c>
      <c r="B83" s="380"/>
      <c r="C83" s="305"/>
      <c r="D83" s="305"/>
      <c r="E83" s="35"/>
      <c r="F83" s="380"/>
      <c r="G83" s="380"/>
      <c r="H83" s="380"/>
      <c r="I83" s="380"/>
      <c r="J83" s="380"/>
      <c r="K83" s="395"/>
      <c r="L83" s="396"/>
      <c r="M83" s="396"/>
      <c r="N83" s="396"/>
      <c r="O83" s="396"/>
      <c r="P83" s="396"/>
      <c r="Q83" s="396"/>
      <c r="R83" s="396"/>
      <c r="S83" s="397"/>
      <c r="T83" s="398"/>
      <c r="U83" s="398"/>
      <c r="V83" s="398"/>
      <c r="W83" s="398"/>
      <c r="X83" s="399"/>
      <c r="Y83" s="399"/>
      <c r="Z83" s="399"/>
      <c r="AA83" s="399"/>
      <c r="AB83" s="399"/>
      <c r="AC83" s="399"/>
      <c r="AD83" s="400"/>
      <c r="AF83" s="53"/>
    </row>
    <row r="84" spans="1:32" ht="36" thickBot="1">
      <c r="A84" s="392" t="s">
        <v>452</v>
      </c>
      <c r="B84" s="392"/>
      <c r="C84" s="392"/>
      <c r="D84" s="392"/>
      <c r="E84" s="392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393" t="s">
        <v>113</v>
      </c>
      <c r="B85" s="394"/>
      <c r="C85" s="384" t="s">
        <v>52</v>
      </c>
      <c r="D85" s="384"/>
      <c r="E85" s="384" t="s">
        <v>53</v>
      </c>
      <c r="F85" s="384"/>
      <c r="G85" s="384"/>
      <c r="H85" s="384"/>
      <c r="I85" s="384"/>
      <c r="J85" s="384"/>
      <c r="K85" s="384" t="s">
        <v>54</v>
      </c>
      <c r="L85" s="384"/>
      <c r="M85" s="384"/>
      <c r="N85" s="384"/>
      <c r="O85" s="384"/>
      <c r="P85" s="384"/>
      <c r="Q85" s="384"/>
      <c r="R85" s="384"/>
      <c r="S85" s="384"/>
      <c r="T85" s="384" t="s">
        <v>55</v>
      </c>
      <c r="U85" s="384"/>
      <c r="V85" s="384" t="s">
        <v>56</v>
      </c>
      <c r="W85" s="384"/>
      <c r="X85" s="384"/>
      <c r="Y85" s="384" t="s">
        <v>51</v>
      </c>
      <c r="Z85" s="384"/>
      <c r="AA85" s="384"/>
      <c r="AB85" s="384"/>
      <c r="AC85" s="384"/>
      <c r="AD85" s="385"/>
      <c r="AF85" s="53"/>
    </row>
    <row r="86" spans="1:32" ht="30.75" customHeight="1">
      <c r="A86" s="386">
        <v>1</v>
      </c>
      <c r="B86" s="387"/>
      <c r="C86" s="388"/>
      <c r="D86" s="388"/>
      <c r="E86" s="388"/>
      <c r="F86" s="388"/>
      <c r="G86" s="388"/>
      <c r="H86" s="388"/>
      <c r="I86" s="388"/>
      <c r="J86" s="388"/>
      <c r="K86" s="388"/>
      <c r="L86" s="388"/>
      <c r="M86" s="388"/>
      <c r="N86" s="388"/>
      <c r="O86" s="388"/>
      <c r="P86" s="388"/>
      <c r="Q86" s="388"/>
      <c r="R86" s="388"/>
      <c r="S86" s="388"/>
      <c r="T86" s="388"/>
      <c r="U86" s="388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  <row r="87" spans="1:32" ht="30.75" customHeight="1">
      <c r="A87" s="379">
        <v>2</v>
      </c>
      <c r="B87" s="380"/>
      <c r="C87" s="381"/>
      <c r="D87" s="381"/>
      <c r="E87" s="381"/>
      <c r="F87" s="381"/>
      <c r="G87" s="381"/>
      <c r="H87" s="381"/>
      <c r="I87" s="381"/>
      <c r="J87" s="381"/>
      <c r="K87" s="381"/>
      <c r="L87" s="381"/>
      <c r="M87" s="381"/>
      <c r="N87" s="381"/>
      <c r="O87" s="381"/>
      <c r="P87" s="381"/>
      <c r="Q87" s="381"/>
      <c r="R87" s="381"/>
      <c r="S87" s="381"/>
      <c r="T87" s="382"/>
      <c r="U87" s="382"/>
      <c r="V87" s="383"/>
      <c r="W87" s="383"/>
      <c r="X87" s="383"/>
      <c r="Y87" s="372"/>
      <c r="Z87" s="372"/>
      <c r="AA87" s="372"/>
      <c r="AB87" s="372"/>
      <c r="AC87" s="372"/>
      <c r="AD87" s="373"/>
      <c r="AF87" s="53"/>
    </row>
    <row r="88" spans="1:32" ht="30.75" customHeight="1" thickBot="1">
      <c r="A88" s="374">
        <v>3</v>
      </c>
      <c r="B88" s="375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7"/>
      <c r="Z88" s="377"/>
      <c r="AA88" s="377"/>
      <c r="AB88" s="377"/>
      <c r="AC88" s="377"/>
      <c r="AD88" s="378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9F77-DCFC-4EF4-9F71-B0B06EFC6827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453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316" t="s">
        <v>17</v>
      </c>
      <c r="L5" s="316" t="s">
        <v>18</v>
      </c>
      <c r="M5" s="316" t="s">
        <v>19</v>
      </c>
      <c r="N5" s="31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0.46385572139303477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0.46385572139303477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6790</v>
      </c>
      <c r="K8" s="15">
        <f>L8+4226+6836+7688</f>
        <v>25540</v>
      </c>
      <c r="L8" s="15">
        <f>3796+2994</f>
        <v>6790</v>
      </c>
      <c r="M8" s="16">
        <f t="shared" si="0"/>
        <v>6790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0.46385572139303477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401</v>
      </c>
      <c r="F9" s="33" t="s">
        <v>128</v>
      </c>
      <c r="G9" s="36">
        <v>1</v>
      </c>
      <c r="H9" s="38">
        <v>25</v>
      </c>
      <c r="I9" s="7">
        <v>4500</v>
      </c>
      <c r="J9" s="5">
        <v>2849</v>
      </c>
      <c r="K9" s="15">
        <f>L9+2849</f>
        <v>2849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0.46385572139303477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396</v>
      </c>
      <c r="F10" s="12" t="s">
        <v>122</v>
      </c>
      <c r="G10" s="12">
        <v>1</v>
      </c>
      <c r="H10" s="13">
        <v>25</v>
      </c>
      <c r="I10" s="7">
        <v>70000</v>
      </c>
      <c r="J10" s="14">
        <v>6030</v>
      </c>
      <c r="K10" s="15">
        <f>L10+4579+6047+6324+6911</f>
        <v>29888</v>
      </c>
      <c r="L10" s="15">
        <f>3415+2612</f>
        <v>6027</v>
      </c>
      <c r="M10" s="16">
        <f t="shared" si="0"/>
        <v>6027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0.99950248756218907</v>
      </c>
      <c r="AC10" s="9">
        <f t="shared" si="5"/>
        <v>1</v>
      </c>
      <c r="AD10" s="10">
        <f t="shared" si="6"/>
        <v>0.99950248756218907</v>
      </c>
      <c r="AE10" s="39">
        <f t="shared" si="7"/>
        <v>0.46385572139303477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449</v>
      </c>
      <c r="F11" s="12" t="s">
        <v>407</v>
      </c>
      <c r="G11" s="12">
        <v>3</v>
      </c>
      <c r="H11" s="13">
        <v>25</v>
      </c>
      <c r="I11" s="34">
        <v>10000</v>
      </c>
      <c r="J11" s="5">
        <v>11556</v>
      </c>
      <c r="K11" s="15">
        <f>L11</f>
        <v>11556</v>
      </c>
      <c r="L11" s="15">
        <f>2147*3+1705*3</f>
        <v>11556</v>
      </c>
      <c r="M11" s="16">
        <f t="shared" si="0"/>
        <v>11556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/>
      <c r="T11" s="17">
        <v>2</v>
      </c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9">
        <f t="shared" si="7"/>
        <v>0.46385572139303477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146</v>
      </c>
      <c r="E12" s="57" t="s">
        <v>320</v>
      </c>
      <c r="F12" s="12" t="s">
        <v>128</v>
      </c>
      <c r="G12" s="12">
        <v>1</v>
      </c>
      <c r="H12" s="13">
        <v>25</v>
      </c>
      <c r="I12" s="7">
        <v>5000</v>
      </c>
      <c r="J12" s="14">
        <v>1271</v>
      </c>
      <c r="K12" s="15">
        <f>L12+4555</f>
        <v>5826</v>
      </c>
      <c r="L12" s="15">
        <v>1271</v>
      </c>
      <c r="M12" s="16">
        <f t="shared" si="0"/>
        <v>1271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/>
      <c r="T12" s="17"/>
      <c r="U12" s="17"/>
      <c r="V12" s="18"/>
      <c r="W12" s="19">
        <v>17</v>
      </c>
      <c r="X12" s="17"/>
      <c r="Y12" s="20"/>
      <c r="Z12" s="20"/>
      <c r="AA12" s="21"/>
      <c r="AB12" s="8">
        <f t="shared" si="4"/>
        <v>1</v>
      </c>
      <c r="AC12" s="9">
        <f t="shared" si="5"/>
        <v>0.29166666666666669</v>
      </c>
      <c r="AD12" s="10">
        <f t="shared" si="6"/>
        <v>0.29166666666666669</v>
      </c>
      <c r="AE12" s="39">
        <f t="shared" si="7"/>
        <v>0.46385572139303477</v>
      </c>
      <c r="AF12" s="93">
        <f t="shared" si="8"/>
        <v>7</v>
      </c>
    </row>
    <row r="13" spans="1:32" ht="27" customHeight="1">
      <c r="A13" s="109">
        <v>7</v>
      </c>
      <c r="B13" s="11" t="s">
        <v>57</v>
      </c>
      <c r="C13" s="11" t="s">
        <v>118</v>
      </c>
      <c r="D13" s="55" t="s">
        <v>120</v>
      </c>
      <c r="E13" s="57" t="s">
        <v>447</v>
      </c>
      <c r="F13" s="12" t="s">
        <v>122</v>
      </c>
      <c r="G13" s="12">
        <v>1</v>
      </c>
      <c r="H13" s="13">
        <v>25</v>
      </c>
      <c r="I13" s="7">
        <v>4000</v>
      </c>
      <c r="J13" s="14">
        <v>3230</v>
      </c>
      <c r="K13" s="15">
        <f>L13</f>
        <v>3230</v>
      </c>
      <c r="L13" s="15">
        <f>463+2767</f>
        <v>3230</v>
      </c>
      <c r="M13" s="16">
        <f t="shared" ref="M13" si="9">L13-N13</f>
        <v>3230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15</v>
      </c>
      <c r="Q13" s="43">
        <f t="shared" ref="Q13" si="12">SUM(R13:AA13)</f>
        <v>9</v>
      </c>
      <c r="R13" s="7"/>
      <c r="S13" s="6"/>
      <c r="T13" s="17">
        <v>9</v>
      </c>
      <c r="U13" s="17"/>
      <c r="V13" s="18"/>
      <c r="W13" s="19"/>
      <c r="X13" s="17"/>
      <c r="Y13" s="20"/>
      <c r="Z13" s="20"/>
      <c r="AA13" s="21"/>
      <c r="AB13" s="8">
        <f t="shared" ref="AB13" si="13">IF(J13=0,"0",(L13/J13))</f>
        <v>1</v>
      </c>
      <c r="AC13" s="9">
        <f t="shared" ref="AC13" si="14">IF(P13=0,"0",(P13/24))</f>
        <v>0.625</v>
      </c>
      <c r="AD13" s="10">
        <f t="shared" ref="AD13" si="15">AC13*AB13*(1-O13)</f>
        <v>0.625</v>
      </c>
      <c r="AE13" s="39">
        <f t="shared" si="7"/>
        <v>0.46385572139303477</v>
      </c>
      <c r="AF13" s="93">
        <f t="shared" ref="AF13" si="16">A13</f>
        <v>7</v>
      </c>
    </row>
    <row r="14" spans="1:32" ht="27" customHeight="1">
      <c r="A14" s="109">
        <v>8</v>
      </c>
      <c r="B14" s="11" t="s">
        <v>57</v>
      </c>
      <c r="C14" s="11" t="s">
        <v>126</v>
      </c>
      <c r="D14" s="55" t="s">
        <v>117</v>
      </c>
      <c r="E14" s="57" t="s">
        <v>448</v>
      </c>
      <c r="F14" s="12" t="s">
        <v>284</v>
      </c>
      <c r="G14" s="12">
        <v>3</v>
      </c>
      <c r="H14" s="13">
        <v>25</v>
      </c>
      <c r="I14" s="7">
        <v>1000</v>
      </c>
      <c r="J14" s="14">
        <v>8364</v>
      </c>
      <c r="K14" s="15">
        <f>L14</f>
        <v>8364</v>
      </c>
      <c r="L14" s="15">
        <f>419*3+2369*3</f>
        <v>8364</v>
      </c>
      <c r="M14" s="16">
        <f t="shared" si="0"/>
        <v>8364</v>
      </c>
      <c r="N14" s="16">
        <v>0</v>
      </c>
      <c r="O14" s="62">
        <f t="shared" si="1"/>
        <v>0</v>
      </c>
      <c r="P14" s="42">
        <f t="shared" si="2"/>
        <v>18</v>
      </c>
      <c r="Q14" s="43">
        <f t="shared" si="3"/>
        <v>6</v>
      </c>
      <c r="R14" s="7"/>
      <c r="S14" s="6">
        <v>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0.75</v>
      </c>
      <c r="AD14" s="10">
        <f t="shared" si="6"/>
        <v>0.75</v>
      </c>
      <c r="AE14" s="39">
        <f t="shared" si="7"/>
        <v>0.46385572139303477</v>
      </c>
      <c r="AF14" s="93">
        <f t="shared" si="8"/>
        <v>8</v>
      </c>
    </row>
    <row r="15" spans="1:32" ht="27" customHeight="1">
      <c r="A15" s="227">
        <v>9</v>
      </c>
      <c r="B15" s="11" t="s">
        <v>57</v>
      </c>
      <c r="C15" s="37" t="s">
        <v>118</v>
      </c>
      <c r="D15" s="55" t="s">
        <v>152</v>
      </c>
      <c r="E15" s="57" t="s">
        <v>187</v>
      </c>
      <c r="F15" s="33" t="s">
        <v>155</v>
      </c>
      <c r="G15" s="36">
        <v>1</v>
      </c>
      <c r="H15" s="38">
        <v>25</v>
      </c>
      <c r="I15" s="7">
        <v>5000</v>
      </c>
      <c r="J15" s="5">
        <v>158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0.46385572139303477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126</v>
      </c>
      <c r="D16" s="55" t="s">
        <v>133</v>
      </c>
      <c r="E16" s="57" t="s">
        <v>414</v>
      </c>
      <c r="F16" s="12" t="s">
        <v>407</v>
      </c>
      <c r="G16" s="12">
        <v>1</v>
      </c>
      <c r="H16" s="13">
        <v>24</v>
      </c>
      <c r="I16" s="34">
        <v>70000</v>
      </c>
      <c r="J16" s="14">
        <v>3488</v>
      </c>
      <c r="K16" s="15">
        <f>L16+4017+6169+6186</f>
        <v>19860</v>
      </c>
      <c r="L16" s="15">
        <f>3258+230</f>
        <v>3488</v>
      </c>
      <c r="M16" s="16">
        <f t="shared" si="0"/>
        <v>3488</v>
      </c>
      <c r="N16" s="16">
        <v>0</v>
      </c>
      <c r="O16" s="62">
        <f t="shared" si="1"/>
        <v>0</v>
      </c>
      <c r="P16" s="42">
        <f t="shared" si="2"/>
        <v>16</v>
      </c>
      <c r="Q16" s="43">
        <f t="shared" si="3"/>
        <v>8</v>
      </c>
      <c r="R16" s="7"/>
      <c r="S16" s="6">
        <v>8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9">
        <f t="shared" si="7"/>
        <v>0.46385572139303477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114</v>
      </c>
      <c r="D17" s="55" t="s">
        <v>146</v>
      </c>
      <c r="E17" s="57" t="s">
        <v>245</v>
      </c>
      <c r="F17" s="33" t="s">
        <v>182</v>
      </c>
      <c r="G17" s="36">
        <v>1</v>
      </c>
      <c r="H17" s="38">
        <v>24</v>
      </c>
      <c r="I17" s="7">
        <v>6000</v>
      </c>
      <c r="J17" s="5">
        <v>3000</v>
      </c>
      <c r="K17" s="15">
        <f>L17+430+5436+2998</f>
        <v>8864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0.46385572139303477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126</v>
      </c>
      <c r="D18" s="55" t="s">
        <v>133</v>
      </c>
      <c r="E18" s="57" t="s">
        <v>406</v>
      </c>
      <c r="F18" s="12" t="s">
        <v>407</v>
      </c>
      <c r="G18" s="12">
        <v>1</v>
      </c>
      <c r="H18" s="13">
        <v>24</v>
      </c>
      <c r="I18" s="34">
        <v>70000</v>
      </c>
      <c r="J18" s="14">
        <v>6234</v>
      </c>
      <c r="K18" s="15">
        <f>L18+5530+6591+6555+7009</f>
        <v>31919</v>
      </c>
      <c r="L18" s="15">
        <f>3454+2780</f>
        <v>6234</v>
      </c>
      <c r="M18" s="16">
        <f t="shared" si="0"/>
        <v>6234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0.46385572139303477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126</v>
      </c>
      <c r="D19" s="55" t="s">
        <v>117</v>
      </c>
      <c r="E19" s="57" t="s">
        <v>231</v>
      </c>
      <c r="F19" s="12" t="s">
        <v>122</v>
      </c>
      <c r="G19" s="36">
        <v>1</v>
      </c>
      <c r="H19" s="38">
        <v>24</v>
      </c>
      <c r="I19" s="7">
        <v>70000</v>
      </c>
      <c r="J19" s="5">
        <v>3605</v>
      </c>
      <c r="K19" s="15">
        <f>L19+3442+4857+6103</f>
        <v>18007</v>
      </c>
      <c r="L19" s="15">
        <f>2579+1026</f>
        <v>3605</v>
      </c>
      <c r="M19" s="16">
        <f t="shared" si="0"/>
        <v>3605</v>
      </c>
      <c r="N19" s="16">
        <v>0</v>
      </c>
      <c r="O19" s="62">
        <f t="shared" si="1"/>
        <v>0</v>
      </c>
      <c r="P19" s="42">
        <f t="shared" si="2"/>
        <v>17</v>
      </c>
      <c r="Q19" s="43">
        <f t="shared" si="3"/>
        <v>7</v>
      </c>
      <c r="R19" s="7"/>
      <c r="S19" s="6">
        <v>7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9">
        <f t="shared" si="7"/>
        <v>0.46385572139303477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114</v>
      </c>
      <c r="D20" s="55" t="s">
        <v>133</v>
      </c>
      <c r="E20" s="57" t="s">
        <v>444</v>
      </c>
      <c r="F20" s="12" t="s">
        <v>122</v>
      </c>
      <c r="G20" s="36">
        <v>1</v>
      </c>
      <c r="H20" s="13">
        <v>24</v>
      </c>
      <c r="I20" s="7">
        <v>700</v>
      </c>
      <c r="J20" s="14">
        <v>748</v>
      </c>
      <c r="K20" s="15">
        <f>L20+748</f>
        <v>748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0.46385572139303477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391</v>
      </c>
      <c r="F21" s="12" t="s">
        <v>116</v>
      </c>
      <c r="G21" s="12">
        <v>4</v>
      </c>
      <c r="H21" s="38">
        <v>20</v>
      </c>
      <c r="I21" s="7">
        <v>300000</v>
      </c>
      <c r="J21" s="14">
        <v>37804</v>
      </c>
      <c r="K21" s="15">
        <f>L21+15040+44972+37804</f>
        <v>97816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>
        <v>24</v>
      </c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0.46385572139303477</v>
      </c>
      <c r="AF21" s="93">
        <f t="shared" si="8"/>
        <v>15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5">
        <f t="shared" ref="I22:N22" si="17">SUM(I6:I21)</f>
        <v>686200</v>
      </c>
      <c r="J22" s="22">
        <f t="shared" si="17"/>
        <v>95127</v>
      </c>
      <c r="K22" s="23">
        <f t="shared" si="17"/>
        <v>264467</v>
      </c>
      <c r="L22" s="24">
        <f t="shared" si="17"/>
        <v>50565</v>
      </c>
      <c r="M22" s="23">
        <f t="shared" si="17"/>
        <v>50565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167</v>
      </c>
      <c r="Q22" s="46">
        <f t="shared" si="18"/>
        <v>217</v>
      </c>
      <c r="R22" s="26">
        <f t="shared" si="18"/>
        <v>48</v>
      </c>
      <c r="S22" s="27">
        <f t="shared" si="18"/>
        <v>69</v>
      </c>
      <c r="T22" s="27">
        <f t="shared" si="18"/>
        <v>11</v>
      </c>
      <c r="U22" s="27">
        <f t="shared" si="18"/>
        <v>0</v>
      </c>
      <c r="V22" s="28">
        <f t="shared" si="18"/>
        <v>0</v>
      </c>
      <c r="W22" s="29">
        <f t="shared" si="18"/>
        <v>89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0.59996683250414595</v>
      </c>
      <c r="AC22" s="4">
        <f>SUM(AC6:AC21)/15</f>
        <v>0.46388888888888885</v>
      </c>
      <c r="AD22" s="4">
        <f>SUM(AD6:AD21)/15</f>
        <v>0.46385572139303477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47" t="s">
        <v>45</v>
      </c>
      <c r="B49" s="447"/>
      <c r="C49" s="447"/>
      <c r="D49" s="447"/>
      <c r="E49" s="447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48" t="s">
        <v>454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459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17" t="s">
        <v>46</v>
      </c>
      <c r="D51" s="317" t="s">
        <v>47</v>
      </c>
      <c r="E51" s="317" t="s">
        <v>108</v>
      </c>
      <c r="F51" s="455" t="s">
        <v>107</v>
      </c>
      <c r="G51" s="455"/>
      <c r="H51" s="455"/>
      <c r="I51" s="455"/>
      <c r="J51" s="455"/>
      <c r="K51" s="455"/>
      <c r="L51" s="455"/>
      <c r="M51" s="456"/>
      <c r="N51" s="73" t="s">
        <v>112</v>
      </c>
      <c r="O51" s="317" t="s">
        <v>46</v>
      </c>
      <c r="P51" s="457" t="s">
        <v>47</v>
      </c>
      <c r="Q51" s="458"/>
      <c r="R51" s="457" t="s">
        <v>38</v>
      </c>
      <c r="S51" s="459"/>
      <c r="T51" s="459"/>
      <c r="U51" s="458"/>
      <c r="V51" s="457" t="s">
        <v>48</v>
      </c>
      <c r="W51" s="459"/>
      <c r="X51" s="459"/>
      <c r="Y51" s="459"/>
      <c r="Z51" s="459"/>
      <c r="AA51" s="459"/>
      <c r="AB51" s="459"/>
      <c r="AC51" s="459"/>
      <c r="AD51" s="460"/>
    </row>
    <row r="52" spans="1:32" ht="27" customHeight="1">
      <c r="A52" s="430" t="s">
        <v>118</v>
      </c>
      <c r="B52" s="431"/>
      <c r="C52" s="319" t="s">
        <v>139</v>
      </c>
      <c r="D52" s="319" t="s">
        <v>117</v>
      </c>
      <c r="E52" s="319" t="s">
        <v>401</v>
      </c>
      <c r="F52" s="483" t="s">
        <v>455</v>
      </c>
      <c r="G52" s="484"/>
      <c r="H52" s="484"/>
      <c r="I52" s="484"/>
      <c r="J52" s="484"/>
      <c r="K52" s="484"/>
      <c r="L52" s="484"/>
      <c r="M52" s="485"/>
      <c r="N52" s="318" t="s">
        <v>118</v>
      </c>
      <c r="O52" s="124" t="s">
        <v>139</v>
      </c>
      <c r="P52" s="439" t="s">
        <v>117</v>
      </c>
      <c r="Q52" s="440"/>
      <c r="R52" s="431" t="s">
        <v>401</v>
      </c>
      <c r="S52" s="431"/>
      <c r="T52" s="431"/>
      <c r="U52" s="431"/>
      <c r="V52" s="422" t="s">
        <v>124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118</v>
      </c>
      <c r="B53" s="431"/>
      <c r="C53" s="319" t="s">
        <v>225</v>
      </c>
      <c r="D53" s="319" t="s">
        <v>120</v>
      </c>
      <c r="E53" s="319" t="s">
        <v>456</v>
      </c>
      <c r="F53" s="483" t="s">
        <v>119</v>
      </c>
      <c r="G53" s="484"/>
      <c r="H53" s="484"/>
      <c r="I53" s="484"/>
      <c r="J53" s="484"/>
      <c r="K53" s="484"/>
      <c r="L53" s="484"/>
      <c r="M53" s="485"/>
      <c r="N53" s="318" t="s">
        <v>118</v>
      </c>
      <c r="O53" s="124" t="s">
        <v>301</v>
      </c>
      <c r="P53" s="439" t="s">
        <v>152</v>
      </c>
      <c r="Q53" s="440"/>
      <c r="R53" s="431" t="s">
        <v>187</v>
      </c>
      <c r="S53" s="431"/>
      <c r="T53" s="431"/>
      <c r="U53" s="431"/>
      <c r="V53" s="422" t="s">
        <v>124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319" t="s">
        <v>202</v>
      </c>
      <c r="D54" s="319" t="s">
        <v>121</v>
      </c>
      <c r="E54" s="319" t="s">
        <v>449</v>
      </c>
      <c r="F54" s="483" t="s">
        <v>119</v>
      </c>
      <c r="G54" s="484"/>
      <c r="H54" s="484"/>
      <c r="I54" s="484"/>
      <c r="J54" s="484"/>
      <c r="K54" s="484"/>
      <c r="L54" s="484"/>
      <c r="M54" s="485"/>
      <c r="N54" s="318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126</v>
      </c>
      <c r="B55" s="431"/>
      <c r="C55" s="319" t="s">
        <v>125</v>
      </c>
      <c r="D55" s="319" t="s">
        <v>117</v>
      </c>
      <c r="E55" s="319" t="s">
        <v>448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318"/>
      <c r="O55" s="124"/>
      <c r="P55" s="439"/>
      <c r="Q55" s="440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 t="s">
        <v>118</v>
      </c>
      <c r="B56" s="431"/>
      <c r="C56" s="319" t="s">
        <v>301</v>
      </c>
      <c r="D56" s="319" t="s">
        <v>152</v>
      </c>
      <c r="E56" s="319" t="s">
        <v>187</v>
      </c>
      <c r="F56" s="483" t="s">
        <v>361</v>
      </c>
      <c r="G56" s="484"/>
      <c r="H56" s="484"/>
      <c r="I56" s="484"/>
      <c r="J56" s="484"/>
      <c r="K56" s="484"/>
      <c r="L56" s="484"/>
      <c r="M56" s="485"/>
      <c r="N56" s="318"/>
      <c r="O56" s="124"/>
      <c r="P56" s="431"/>
      <c r="Q56" s="431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 t="s">
        <v>126</v>
      </c>
      <c r="B57" s="431"/>
      <c r="C57" s="319" t="s">
        <v>141</v>
      </c>
      <c r="D57" s="319" t="s">
        <v>133</v>
      </c>
      <c r="E57" s="319" t="s">
        <v>457</v>
      </c>
      <c r="F57" s="483" t="s">
        <v>458</v>
      </c>
      <c r="G57" s="484"/>
      <c r="H57" s="484"/>
      <c r="I57" s="484"/>
      <c r="J57" s="484"/>
      <c r="K57" s="484"/>
      <c r="L57" s="484"/>
      <c r="M57" s="485"/>
      <c r="N57" s="318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 t="s">
        <v>126</v>
      </c>
      <c r="B58" s="431"/>
      <c r="C58" s="319" t="s">
        <v>208</v>
      </c>
      <c r="D58" s="319" t="s">
        <v>117</v>
      </c>
      <c r="E58" s="319" t="s">
        <v>283</v>
      </c>
      <c r="F58" s="422" t="s">
        <v>370</v>
      </c>
      <c r="G58" s="422"/>
      <c r="H58" s="422"/>
      <c r="I58" s="422"/>
      <c r="J58" s="422"/>
      <c r="K58" s="422"/>
      <c r="L58" s="422"/>
      <c r="M58" s="432"/>
      <c r="N58" s="318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319"/>
      <c r="D59" s="319"/>
      <c r="E59" s="319"/>
      <c r="F59" s="422"/>
      <c r="G59" s="422"/>
      <c r="H59" s="422"/>
      <c r="I59" s="422"/>
      <c r="J59" s="422"/>
      <c r="K59" s="422"/>
      <c r="L59" s="422"/>
      <c r="M59" s="432"/>
      <c r="N59" s="318"/>
      <c r="O59" s="124"/>
      <c r="P59" s="439"/>
      <c r="Q59" s="440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</row>
    <row r="60" spans="1:32" ht="27" customHeight="1">
      <c r="A60" s="430"/>
      <c r="B60" s="431"/>
      <c r="C60" s="319"/>
      <c r="D60" s="319"/>
      <c r="E60" s="319"/>
      <c r="F60" s="422"/>
      <c r="G60" s="422"/>
      <c r="H60" s="422"/>
      <c r="I60" s="422"/>
      <c r="J60" s="422"/>
      <c r="K60" s="422"/>
      <c r="L60" s="422"/>
      <c r="M60" s="432"/>
      <c r="N60" s="318"/>
      <c r="O60" s="124"/>
      <c r="P60" s="431"/>
      <c r="Q60" s="431"/>
      <c r="R60" s="431"/>
      <c r="S60" s="431"/>
      <c r="T60" s="431"/>
      <c r="U60" s="431"/>
      <c r="V60" s="422"/>
      <c r="W60" s="422"/>
      <c r="X60" s="422"/>
      <c r="Y60" s="422"/>
      <c r="Z60" s="422"/>
      <c r="AA60" s="422"/>
      <c r="AB60" s="422"/>
      <c r="AC60" s="422"/>
      <c r="AD60" s="432"/>
      <c r="AF60" s="93">
        <f>8*3000</f>
        <v>24000</v>
      </c>
    </row>
    <row r="61" spans="1:32" ht="27" customHeight="1" thickBot="1">
      <c r="A61" s="433"/>
      <c r="B61" s="434"/>
      <c r="C61" s="321"/>
      <c r="D61" s="321"/>
      <c r="E61" s="321"/>
      <c r="F61" s="435"/>
      <c r="G61" s="435"/>
      <c r="H61" s="435"/>
      <c r="I61" s="435"/>
      <c r="J61" s="435"/>
      <c r="K61" s="435"/>
      <c r="L61" s="435"/>
      <c r="M61" s="436"/>
      <c r="N61" s="320"/>
      <c r="O61" s="120"/>
      <c r="P61" s="434"/>
      <c r="Q61" s="434"/>
      <c r="R61" s="434"/>
      <c r="S61" s="434"/>
      <c r="T61" s="434"/>
      <c r="U61" s="434"/>
      <c r="V61" s="437"/>
      <c r="W61" s="437"/>
      <c r="X61" s="437"/>
      <c r="Y61" s="437"/>
      <c r="Z61" s="437"/>
      <c r="AA61" s="437"/>
      <c r="AB61" s="437"/>
      <c r="AC61" s="437"/>
      <c r="AD61" s="438"/>
      <c r="AF61" s="93">
        <f>16*3000</f>
        <v>48000</v>
      </c>
    </row>
    <row r="62" spans="1:32" ht="27.75" thickBot="1">
      <c r="A62" s="428" t="s">
        <v>460</v>
      </c>
      <c r="B62" s="428"/>
      <c r="C62" s="428"/>
      <c r="D62" s="428"/>
      <c r="E62" s="428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29" t="s">
        <v>113</v>
      </c>
      <c r="B63" s="426"/>
      <c r="C63" s="322" t="s">
        <v>2</v>
      </c>
      <c r="D63" s="322" t="s">
        <v>37</v>
      </c>
      <c r="E63" s="322" t="s">
        <v>3</v>
      </c>
      <c r="F63" s="426" t="s">
        <v>110</v>
      </c>
      <c r="G63" s="426"/>
      <c r="H63" s="426"/>
      <c r="I63" s="426"/>
      <c r="J63" s="426"/>
      <c r="K63" s="426" t="s">
        <v>39</v>
      </c>
      <c r="L63" s="426"/>
      <c r="M63" s="322" t="s">
        <v>40</v>
      </c>
      <c r="N63" s="426" t="s">
        <v>41</v>
      </c>
      <c r="O63" s="426"/>
      <c r="P63" s="423" t="s">
        <v>42</v>
      </c>
      <c r="Q63" s="425"/>
      <c r="R63" s="423" t="s">
        <v>43</v>
      </c>
      <c r="S63" s="424"/>
      <c r="T63" s="424"/>
      <c r="U63" s="424"/>
      <c r="V63" s="424"/>
      <c r="W63" s="424"/>
      <c r="X63" s="424"/>
      <c r="Y63" s="424"/>
      <c r="Z63" s="424"/>
      <c r="AA63" s="425"/>
      <c r="AB63" s="426" t="s">
        <v>44</v>
      </c>
      <c r="AC63" s="426"/>
      <c r="AD63" s="427"/>
      <c r="AF63" s="93">
        <f>SUM(AF60:AF62)</f>
        <v>96000</v>
      </c>
    </row>
    <row r="64" spans="1:32" ht="25.5" customHeight="1">
      <c r="A64" s="418">
        <v>1</v>
      </c>
      <c r="B64" s="419"/>
      <c r="C64" s="123"/>
      <c r="D64" s="325"/>
      <c r="E64" s="323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2</v>
      </c>
      <c r="B65" s="419"/>
      <c r="C65" s="123"/>
      <c r="D65" s="325"/>
      <c r="E65" s="323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3</v>
      </c>
      <c r="B66" s="419"/>
      <c r="C66" s="123"/>
      <c r="D66" s="325"/>
      <c r="E66" s="323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4</v>
      </c>
      <c r="B67" s="419"/>
      <c r="C67" s="123"/>
      <c r="D67" s="325"/>
      <c r="E67" s="323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5</v>
      </c>
      <c r="B68" s="419"/>
      <c r="C68" s="123"/>
      <c r="D68" s="325"/>
      <c r="E68" s="323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6</v>
      </c>
      <c r="B69" s="419"/>
      <c r="C69" s="123"/>
      <c r="D69" s="325"/>
      <c r="E69" s="323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7</v>
      </c>
      <c r="B70" s="419"/>
      <c r="C70" s="123"/>
      <c r="D70" s="325"/>
      <c r="E70" s="323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5.5" customHeight="1">
      <c r="A71" s="418">
        <v>8</v>
      </c>
      <c r="B71" s="419"/>
      <c r="C71" s="123"/>
      <c r="D71" s="325"/>
      <c r="E71" s="323"/>
      <c r="F71" s="420"/>
      <c r="G71" s="412"/>
      <c r="H71" s="412"/>
      <c r="I71" s="412"/>
      <c r="J71" s="412"/>
      <c r="K71" s="412"/>
      <c r="L71" s="412"/>
      <c r="M71" s="54"/>
      <c r="N71" s="412"/>
      <c r="O71" s="412"/>
      <c r="P71" s="421"/>
      <c r="Q71" s="421"/>
      <c r="R71" s="422"/>
      <c r="S71" s="422"/>
      <c r="T71" s="422"/>
      <c r="U71" s="422"/>
      <c r="V71" s="422"/>
      <c r="W71" s="422"/>
      <c r="X71" s="422"/>
      <c r="Y71" s="422"/>
      <c r="Z71" s="422"/>
      <c r="AA71" s="422"/>
      <c r="AB71" s="412"/>
      <c r="AC71" s="412"/>
      <c r="AD71" s="413"/>
      <c r="AF71" s="53"/>
    </row>
    <row r="72" spans="1:32" ht="26.25" customHeight="1" thickBot="1">
      <c r="A72" s="392" t="s">
        <v>461</v>
      </c>
      <c r="B72" s="392"/>
      <c r="C72" s="392"/>
      <c r="D72" s="392"/>
      <c r="E72" s="392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393" t="s">
        <v>113</v>
      </c>
      <c r="B73" s="394"/>
      <c r="C73" s="324" t="s">
        <v>2</v>
      </c>
      <c r="D73" s="324" t="s">
        <v>37</v>
      </c>
      <c r="E73" s="324" t="s">
        <v>3</v>
      </c>
      <c r="F73" s="394" t="s">
        <v>38</v>
      </c>
      <c r="G73" s="394"/>
      <c r="H73" s="394"/>
      <c r="I73" s="394"/>
      <c r="J73" s="394"/>
      <c r="K73" s="414" t="s">
        <v>58</v>
      </c>
      <c r="L73" s="415"/>
      <c r="M73" s="415"/>
      <c r="N73" s="415"/>
      <c r="O73" s="415"/>
      <c r="P73" s="415"/>
      <c r="Q73" s="415"/>
      <c r="R73" s="415"/>
      <c r="S73" s="416"/>
      <c r="T73" s="394" t="s">
        <v>49</v>
      </c>
      <c r="U73" s="394"/>
      <c r="V73" s="414" t="s">
        <v>50</v>
      </c>
      <c r="W73" s="416"/>
      <c r="X73" s="415" t="s">
        <v>51</v>
      </c>
      <c r="Y73" s="415"/>
      <c r="Z73" s="415"/>
      <c r="AA73" s="415"/>
      <c r="AB73" s="415"/>
      <c r="AC73" s="415"/>
      <c r="AD73" s="417"/>
      <c r="AF73" s="53"/>
    </row>
    <row r="74" spans="1:32" ht="33.75" customHeight="1">
      <c r="A74" s="386">
        <v>1</v>
      </c>
      <c r="B74" s="387"/>
      <c r="C74" s="326" t="s">
        <v>114</v>
      </c>
      <c r="D74" s="326"/>
      <c r="E74" s="71" t="s">
        <v>149</v>
      </c>
      <c r="F74" s="401" t="s">
        <v>147</v>
      </c>
      <c r="G74" s="402"/>
      <c r="H74" s="402"/>
      <c r="I74" s="402"/>
      <c r="J74" s="403"/>
      <c r="K74" s="404" t="s">
        <v>153</v>
      </c>
      <c r="L74" s="405"/>
      <c r="M74" s="405"/>
      <c r="N74" s="405"/>
      <c r="O74" s="405"/>
      <c r="P74" s="405"/>
      <c r="Q74" s="405"/>
      <c r="R74" s="405"/>
      <c r="S74" s="406"/>
      <c r="T74" s="407">
        <v>43384</v>
      </c>
      <c r="U74" s="408"/>
      <c r="V74" s="409"/>
      <c r="W74" s="409"/>
      <c r="X74" s="410"/>
      <c r="Y74" s="410"/>
      <c r="Z74" s="410"/>
      <c r="AA74" s="410"/>
      <c r="AB74" s="410"/>
      <c r="AC74" s="410"/>
      <c r="AD74" s="411"/>
      <c r="AF74" s="53"/>
    </row>
    <row r="75" spans="1:32" ht="30" customHeight="1">
      <c r="A75" s="379">
        <f>A74+1</f>
        <v>2</v>
      </c>
      <c r="B75" s="380"/>
      <c r="C75" s="325"/>
      <c r="D75" s="325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ref="A76:A82" si="19">A75+1</f>
        <v>3</v>
      </c>
      <c r="B76" s="380"/>
      <c r="C76" s="325"/>
      <c r="D76" s="325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9"/>
        <v>4</v>
      </c>
      <c r="B77" s="380"/>
      <c r="C77" s="325"/>
      <c r="D77" s="325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9"/>
        <v>5</v>
      </c>
      <c r="B78" s="380"/>
      <c r="C78" s="325"/>
      <c r="D78" s="325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9"/>
        <v>6</v>
      </c>
      <c r="B79" s="380"/>
      <c r="C79" s="325"/>
      <c r="D79" s="325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9"/>
        <v>7</v>
      </c>
      <c r="B80" s="380"/>
      <c r="C80" s="325"/>
      <c r="D80" s="325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9"/>
        <v>8</v>
      </c>
      <c r="B81" s="380"/>
      <c r="C81" s="325"/>
      <c r="D81" s="325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0" customHeight="1">
      <c r="A82" s="379">
        <f t="shared" si="19"/>
        <v>9</v>
      </c>
      <c r="B82" s="380"/>
      <c r="C82" s="325"/>
      <c r="D82" s="325"/>
      <c r="E82" s="35"/>
      <c r="F82" s="380"/>
      <c r="G82" s="380"/>
      <c r="H82" s="380"/>
      <c r="I82" s="380"/>
      <c r="J82" s="380"/>
      <c r="K82" s="395"/>
      <c r="L82" s="396"/>
      <c r="M82" s="396"/>
      <c r="N82" s="396"/>
      <c r="O82" s="396"/>
      <c r="P82" s="396"/>
      <c r="Q82" s="396"/>
      <c r="R82" s="396"/>
      <c r="S82" s="397"/>
      <c r="T82" s="398"/>
      <c r="U82" s="398"/>
      <c r="V82" s="398"/>
      <c r="W82" s="398"/>
      <c r="X82" s="399"/>
      <c r="Y82" s="399"/>
      <c r="Z82" s="399"/>
      <c r="AA82" s="399"/>
      <c r="AB82" s="399"/>
      <c r="AC82" s="399"/>
      <c r="AD82" s="400"/>
      <c r="AF82" s="53"/>
    </row>
    <row r="83" spans="1:32" ht="36" thickBot="1">
      <c r="A83" s="392" t="s">
        <v>462</v>
      </c>
      <c r="B83" s="392"/>
      <c r="C83" s="392"/>
      <c r="D83" s="392"/>
      <c r="E83" s="392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393" t="s">
        <v>113</v>
      </c>
      <c r="B84" s="394"/>
      <c r="C84" s="384" t="s">
        <v>52</v>
      </c>
      <c r="D84" s="384"/>
      <c r="E84" s="384" t="s">
        <v>53</v>
      </c>
      <c r="F84" s="384"/>
      <c r="G84" s="384"/>
      <c r="H84" s="384"/>
      <c r="I84" s="384"/>
      <c r="J84" s="384"/>
      <c r="K84" s="384" t="s">
        <v>54</v>
      </c>
      <c r="L84" s="384"/>
      <c r="M84" s="384"/>
      <c r="N84" s="384"/>
      <c r="O84" s="384"/>
      <c r="P84" s="384"/>
      <c r="Q84" s="384"/>
      <c r="R84" s="384"/>
      <c r="S84" s="384"/>
      <c r="T84" s="384" t="s">
        <v>55</v>
      </c>
      <c r="U84" s="384"/>
      <c r="V84" s="384" t="s">
        <v>56</v>
      </c>
      <c r="W84" s="384"/>
      <c r="X84" s="384"/>
      <c r="Y84" s="384" t="s">
        <v>51</v>
      </c>
      <c r="Z84" s="384"/>
      <c r="AA84" s="384"/>
      <c r="AB84" s="384"/>
      <c r="AC84" s="384"/>
      <c r="AD84" s="385"/>
      <c r="AF84" s="53"/>
    </row>
    <row r="85" spans="1:32" ht="30.75" customHeight="1">
      <c r="A85" s="386">
        <v>1</v>
      </c>
      <c r="B85" s="387"/>
      <c r="C85" s="388"/>
      <c r="D85" s="388"/>
      <c r="E85" s="388"/>
      <c r="F85" s="388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88"/>
      <c r="V85" s="389"/>
      <c r="W85" s="389"/>
      <c r="X85" s="389"/>
      <c r="Y85" s="390"/>
      <c r="Z85" s="390"/>
      <c r="AA85" s="390"/>
      <c r="AB85" s="390"/>
      <c r="AC85" s="390"/>
      <c r="AD85" s="391"/>
      <c r="AF85" s="53"/>
    </row>
    <row r="86" spans="1:32" ht="30.75" customHeight="1">
      <c r="A86" s="379">
        <v>2</v>
      </c>
      <c r="B86" s="380"/>
      <c r="C86" s="381"/>
      <c r="D86" s="381"/>
      <c r="E86" s="381"/>
      <c r="F86" s="381"/>
      <c r="G86" s="381"/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  <c r="T86" s="382"/>
      <c r="U86" s="382"/>
      <c r="V86" s="383"/>
      <c r="W86" s="383"/>
      <c r="X86" s="383"/>
      <c r="Y86" s="372"/>
      <c r="Z86" s="372"/>
      <c r="AA86" s="372"/>
      <c r="AB86" s="372"/>
      <c r="AC86" s="372"/>
      <c r="AD86" s="373"/>
      <c r="AF86" s="53"/>
    </row>
    <row r="87" spans="1:32" ht="30.75" customHeight="1" thickBot="1">
      <c r="A87" s="374">
        <v>3</v>
      </c>
      <c r="B87" s="375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7"/>
      <c r="Z87" s="377"/>
      <c r="AA87" s="377"/>
      <c r="AB87" s="377"/>
      <c r="AC87" s="377"/>
      <c r="AD87" s="378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A6F3-94CE-4DAF-95E1-ECE3A4F4A9C5}">
  <sheetPr>
    <pageSetUpPr fitToPage="1"/>
  </sheetPr>
  <dimension ref="A1:AF86"/>
  <sheetViews>
    <sheetView zoomScale="72" zoomScaleNormal="72" zoomScaleSheetLayoutView="70" workbookViewId="0">
      <selection activeCell="U13" sqref="U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463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337" t="s">
        <v>17</v>
      </c>
      <c r="L5" s="337" t="s">
        <v>18</v>
      </c>
      <c r="M5" s="337" t="s">
        <v>19</v>
      </c>
      <c r="N5" s="33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0.4776252136752136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0.4776252136752136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7670</v>
      </c>
      <c r="K8" s="15">
        <f>L8+4226+6836+7688+6790</f>
        <v>33210</v>
      </c>
      <c r="L8" s="15">
        <f>3364+3737+569</f>
        <v>7670</v>
      </c>
      <c r="M8" s="16">
        <f t="shared" si="0"/>
        <v>7670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0.4776252136752136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401</v>
      </c>
      <c r="F9" s="33" t="s">
        <v>128</v>
      </c>
      <c r="G9" s="36">
        <v>1</v>
      </c>
      <c r="H9" s="38">
        <v>25</v>
      </c>
      <c r="I9" s="7">
        <v>4500</v>
      </c>
      <c r="J9" s="5">
        <v>3005</v>
      </c>
      <c r="K9" s="15">
        <f>L9+2849</f>
        <v>5854</v>
      </c>
      <c r="L9" s="15">
        <f>991+2014</f>
        <v>3005</v>
      </c>
      <c r="M9" s="16">
        <f t="shared" si="0"/>
        <v>3005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>
        <v>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9">
        <f t="shared" si="7"/>
        <v>0.4776252136752136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396</v>
      </c>
      <c r="F10" s="12" t="s">
        <v>122</v>
      </c>
      <c r="G10" s="12">
        <v>1</v>
      </c>
      <c r="H10" s="13">
        <v>25</v>
      </c>
      <c r="I10" s="7">
        <v>70000</v>
      </c>
      <c r="J10" s="14">
        <v>6400</v>
      </c>
      <c r="K10" s="15">
        <f>L10+4579+6047+6324+6911+6027</f>
        <v>36280</v>
      </c>
      <c r="L10" s="15">
        <f>3020+3372</f>
        <v>6392</v>
      </c>
      <c r="M10" s="16">
        <f t="shared" si="0"/>
        <v>6392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0.99875000000000003</v>
      </c>
      <c r="AC10" s="9">
        <f t="shared" si="5"/>
        <v>1</v>
      </c>
      <c r="AD10" s="10">
        <f t="shared" si="6"/>
        <v>0.99875000000000003</v>
      </c>
      <c r="AE10" s="39">
        <f t="shared" si="7"/>
        <v>0.4776252136752136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449</v>
      </c>
      <c r="F11" s="12" t="s">
        <v>407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0.4776252136752136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447</v>
      </c>
      <c r="F12" s="12" t="s">
        <v>122</v>
      </c>
      <c r="G12" s="12">
        <v>1</v>
      </c>
      <c r="H12" s="13">
        <v>25</v>
      </c>
      <c r="I12" s="7">
        <v>4000</v>
      </c>
      <c r="J12" s="14">
        <v>3250</v>
      </c>
      <c r="K12" s="15">
        <f>L12+3230</f>
        <v>6479</v>
      </c>
      <c r="L12" s="15">
        <f>847+2402</f>
        <v>3249</v>
      </c>
      <c r="M12" s="16">
        <f t="shared" si="0"/>
        <v>3249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>
        <v>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0.99969230769230766</v>
      </c>
      <c r="AC12" s="9">
        <f t="shared" si="5"/>
        <v>0.66666666666666663</v>
      </c>
      <c r="AD12" s="10">
        <f t="shared" si="6"/>
        <v>0.66646153846153844</v>
      </c>
      <c r="AE12" s="39">
        <f t="shared" si="7"/>
        <v>0.4776252136752136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448</v>
      </c>
      <c r="F13" s="12" t="s">
        <v>284</v>
      </c>
      <c r="G13" s="12">
        <v>3</v>
      </c>
      <c r="H13" s="13">
        <v>25</v>
      </c>
      <c r="I13" s="7">
        <v>1000</v>
      </c>
      <c r="J13" s="14">
        <v>1800</v>
      </c>
      <c r="K13" s="15">
        <f>L13+8364</f>
        <v>10158</v>
      </c>
      <c r="L13" s="15">
        <f>897*2</f>
        <v>1794</v>
      </c>
      <c r="M13" s="16">
        <f t="shared" si="0"/>
        <v>1794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0.9966666666666667</v>
      </c>
      <c r="AC13" s="9">
        <f t="shared" si="5"/>
        <v>0.25</v>
      </c>
      <c r="AD13" s="10">
        <f t="shared" si="6"/>
        <v>0.24916666666666668</v>
      </c>
      <c r="AE13" s="39">
        <f t="shared" si="7"/>
        <v>0.4776252136752136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5000</v>
      </c>
      <c r="J14" s="5">
        <v>618</v>
      </c>
      <c r="K14" s="15">
        <f>L14</f>
        <v>618</v>
      </c>
      <c r="L14" s="15">
        <v>618</v>
      </c>
      <c r="M14" s="16">
        <f t="shared" si="0"/>
        <v>618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>
        <v>20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9">
        <f t="shared" si="7"/>
        <v>0.4776252136752136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133</v>
      </c>
      <c r="E15" s="57" t="s">
        <v>414</v>
      </c>
      <c r="F15" s="12" t="s">
        <v>407</v>
      </c>
      <c r="G15" s="12">
        <v>1</v>
      </c>
      <c r="H15" s="13">
        <v>24</v>
      </c>
      <c r="I15" s="34">
        <v>70000</v>
      </c>
      <c r="J15" s="14">
        <v>6134</v>
      </c>
      <c r="K15" s="15">
        <f>L15+4017+6169+6186+3488</f>
        <v>25994</v>
      </c>
      <c r="L15" s="15">
        <f>2908+3226</f>
        <v>6134</v>
      </c>
      <c r="M15" s="16">
        <f t="shared" si="0"/>
        <v>6134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1</v>
      </c>
      <c r="AD15" s="10">
        <f t="shared" si="6"/>
        <v>1</v>
      </c>
      <c r="AE15" s="39">
        <f t="shared" si="7"/>
        <v>0.4776252136752136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146</v>
      </c>
      <c r="E16" s="57" t="s">
        <v>245</v>
      </c>
      <c r="F16" s="33" t="s">
        <v>182</v>
      </c>
      <c r="G16" s="36">
        <v>1</v>
      </c>
      <c r="H16" s="38">
        <v>24</v>
      </c>
      <c r="I16" s="7">
        <v>6000</v>
      </c>
      <c r="J16" s="5">
        <v>3000</v>
      </c>
      <c r="K16" s="15">
        <f>L16+430+5436+2998</f>
        <v>8864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0.4776252136752136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133</v>
      </c>
      <c r="E17" s="57" t="s">
        <v>406</v>
      </c>
      <c r="F17" s="12" t="s">
        <v>407</v>
      </c>
      <c r="G17" s="12">
        <v>1</v>
      </c>
      <c r="H17" s="13">
        <v>24</v>
      </c>
      <c r="I17" s="34">
        <v>70000</v>
      </c>
      <c r="J17" s="14">
        <v>3454</v>
      </c>
      <c r="K17" s="15">
        <f>L17+5530+6591+6555+7009+6234</f>
        <v>35373</v>
      </c>
      <c r="L17" s="15">
        <f>3069+385</f>
        <v>3454</v>
      </c>
      <c r="M17" s="16">
        <f t="shared" si="0"/>
        <v>3454</v>
      </c>
      <c r="N17" s="16">
        <v>0</v>
      </c>
      <c r="O17" s="62">
        <f t="shared" si="1"/>
        <v>0</v>
      </c>
      <c r="P17" s="42">
        <f t="shared" si="2"/>
        <v>14</v>
      </c>
      <c r="Q17" s="43">
        <f t="shared" si="3"/>
        <v>10</v>
      </c>
      <c r="R17" s="7">
        <v>10</v>
      </c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0.58333333333333337</v>
      </c>
      <c r="AD17" s="10">
        <f t="shared" si="6"/>
        <v>0.58333333333333337</v>
      </c>
      <c r="AE17" s="39">
        <f t="shared" si="7"/>
        <v>0.4776252136752136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231</v>
      </c>
      <c r="F18" s="12" t="s">
        <v>122</v>
      </c>
      <c r="G18" s="36">
        <v>1</v>
      </c>
      <c r="H18" s="38">
        <v>24</v>
      </c>
      <c r="I18" s="7">
        <v>70000</v>
      </c>
      <c r="J18" s="5">
        <v>5831</v>
      </c>
      <c r="K18" s="15">
        <f>L18+3442+4857+6103+3605</f>
        <v>23838</v>
      </c>
      <c r="L18" s="15">
        <f>2758+3073</f>
        <v>5831</v>
      </c>
      <c r="M18" s="16">
        <f t="shared" si="0"/>
        <v>5831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0.4776252136752136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114</v>
      </c>
      <c r="D19" s="55" t="s">
        <v>133</v>
      </c>
      <c r="E19" s="57" t="s">
        <v>444</v>
      </c>
      <c r="F19" s="12" t="s">
        <v>122</v>
      </c>
      <c r="G19" s="36">
        <v>1</v>
      </c>
      <c r="H19" s="13">
        <v>24</v>
      </c>
      <c r="I19" s="7">
        <v>700</v>
      </c>
      <c r="J19" s="14">
        <v>748</v>
      </c>
      <c r="K19" s="15">
        <f>L19+748</f>
        <v>748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0.4776252136752136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464</v>
      </c>
      <c r="F20" s="12" t="s">
        <v>116</v>
      </c>
      <c r="G20" s="12">
        <v>4</v>
      </c>
      <c r="H20" s="38">
        <v>20</v>
      </c>
      <c r="I20" s="7">
        <v>300000</v>
      </c>
      <c r="J20" s="14">
        <v>39648</v>
      </c>
      <c r="K20" s="15">
        <f>L20</f>
        <v>39648</v>
      </c>
      <c r="L20" s="15">
        <f>2063*4+7849*4</f>
        <v>39648</v>
      </c>
      <c r="M20" s="16">
        <f t="shared" si="0"/>
        <v>39648</v>
      </c>
      <c r="N20" s="16">
        <v>0</v>
      </c>
      <c r="O20" s="62">
        <f t="shared" si="1"/>
        <v>0</v>
      </c>
      <c r="P20" s="42">
        <f t="shared" si="2"/>
        <v>18</v>
      </c>
      <c r="Q20" s="43">
        <f t="shared" si="3"/>
        <v>6</v>
      </c>
      <c r="R20" s="7">
        <v>6</v>
      </c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9">
        <f t="shared" si="7"/>
        <v>0.4776252136752136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681200</v>
      </c>
      <c r="J21" s="22">
        <f t="shared" si="9"/>
        <v>93114</v>
      </c>
      <c r="K21" s="23">
        <f t="shared" si="9"/>
        <v>238620</v>
      </c>
      <c r="L21" s="24">
        <f t="shared" si="9"/>
        <v>77795</v>
      </c>
      <c r="M21" s="23">
        <f t="shared" si="9"/>
        <v>77795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172</v>
      </c>
      <c r="Q21" s="46">
        <f t="shared" si="10"/>
        <v>188</v>
      </c>
      <c r="R21" s="26">
        <f t="shared" si="10"/>
        <v>40</v>
      </c>
      <c r="S21" s="27">
        <f t="shared" si="10"/>
        <v>34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114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0.66634059829059822</v>
      </c>
      <c r="AC21" s="4">
        <f>SUM(AC6:AC20)/15</f>
        <v>0.47777777777777775</v>
      </c>
      <c r="AD21" s="4">
        <f>SUM(AD6:AD20)/15</f>
        <v>0.4776252136752136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465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469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336" t="s">
        <v>46</v>
      </c>
      <c r="D50" s="336" t="s">
        <v>47</v>
      </c>
      <c r="E50" s="336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336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333" t="s">
        <v>139</v>
      </c>
      <c r="D51" s="333" t="s">
        <v>117</v>
      </c>
      <c r="E51" s="333" t="s">
        <v>401</v>
      </c>
      <c r="F51" s="483" t="s">
        <v>466</v>
      </c>
      <c r="G51" s="484"/>
      <c r="H51" s="484"/>
      <c r="I51" s="484"/>
      <c r="J51" s="484"/>
      <c r="K51" s="484"/>
      <c r="L51" s="484"/>
      <c r="M51" s="485"/>
      <c r="N51" s="332" t="s">
        <v>126</v>
      </c>
      <c r="O51" s="124" t="s">
        <v>223</v>
      </c>
      <c r="P51" s="439" t="s">
        <v>146</v>
      </c>
      <c r="Q51" s="440"/>
      <c r="R51" s="431" t="s">
        <v>470</v>
      </c>
      <c r="S51" s="431"/>
      <c r="T51" s="431"/>
      <c r="U51" s="431"/>
      <c r="V51" s="422" t="s">
        <v>370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333" t="s">
        <v>225</v>
      </c>
      <c r="D52" s="333" t="s">
        <v>120</v>
      </c>
      <c r="E52" s="333" t="s">
        <v>456</v>
      </c>
      <c r="F52" s="483" t="s">
        <v>467</v>
      </c>
      <c r="G52" s="484"/>
      <c r="H52" s="484"/>
      <c r="I52" s="484"/>
      <c r="J52" s="484"/>
      <c r="K52" s="484"/>
      <c r="L52" s="484"/>
      <c r="M52" s="485"/>
      <c r="N52" s="332" t="s">
        <v>118</v>
      </c>
      <c r="O52" s="124" t="s">
        <v>301</v>
      </c>
      <c r="P52" s="439" t="s">
        <v>152</v>
      </c>
      <c r="Q52" s="440"/>
      <c r="R52" s="431" t="s">
        <v>187</v>
      </c>
      <c r="S52" s="431"/>
      <c r="T52" s="431"/>
      <c r="U52" s="431"/>
      <c r="V52" s="422" t="s">
        <v>124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118</v>
      </c>
      <c r="B53" s="431"/>
      <c r="C53" s="333" t="s">
        <v>301</v>
      </c>
      <c r="D53" s="333" t="s">
        <v>152</v>
      </c>
      <c r="E53" s="333" t="s">
        <v>187</v>
      </c>
      <c r="F53" s="483" t="s">
        <v>361</v>
      </c>
      <c r="G53" s="484"/>
      <c r="H53" s="484"/>
      <c r="I53" s="484"/>
      <c r="J53" s="484"/>
      <c r="K53" s="484"/>
      <c r="L53" s="484"/>
      <c r="M53" s="485"/>
      <c r="N53" s="332" t="s">
        <v>126</v>
      </c>
      <c r="O53" s="124" t="s">
        <v>189</v>
      </c>
      <c r="P53" s="439" t="s">
        <v>133</v>
      </c>
      <c r="Q53" s="440"/>
      <c r="R53" s="431" t="s">
        <v>457</v>
      </c>
      <c r="S53" s="431"/>
      <c r="T53" s="431"/>
      <c r="U53" s="431"/>
      <c r="V53" s="422" t="s">
        <v>124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333" t="s">
        <v>189</v>
      </c>
      <c r="D54" s="333" t="s">
        <v>133</v>
      </c>
      <c r="E54" s="333" t="s">
        <v>457</v>
      </c>
      <c r="F54" s="483" t="s">
        <v>468</v>
      </c>
      <c r="G54" s="484"/>
      <c r="H54" s="484"/>
      <c r="I54" s="484"/>
      <c r="J54" s="484"/>
      <c r="K54" s="484"/>
      <c r="L54" s="484"/>
      <c r="M54" s="485"/>
      <c r="N54" s="332" t="s">
        <v>126</v>
      </c>
      <c r="O54" s="124" t="s">
        <v>174</v>
      </c>
      <c r="P54" s="439" t="s">
        <v>471</v>
      </c>
      <c r="Q54" s="440"/>
      <c r="R54" s="431" t="s">
        <v>472</v>
      </c>
      <c r="S54" s="431"/>
      <c r="T54" s="431"/>
      <c r="U54" s="431"/>
      <c r="V54" s="422" t="s">
        <v>119</v>
      </c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333"/>
      <c r="D55" s="333"/>
      <c r="E55" s="333"/>
      <c r="F55" s="483"/>
      <c r="G55" s="484"/>
      <c r="H55" s="484"/>
      <c r="I55" s="484"/>
      <c r="J55" s="484"/>
      <c r="K55" s="484"/>
      <c r="L55" s="484"/>
      <c r="M55" s="485"/>
      <c r="N55" s="332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333"/>
      <c r="D56" s="333"/>
      <c r="E56" s="333"/>
      <c r="F56" s="483"/>
      <c r="G56" s="484"/>
      <c r="H56" s="484"/>
      <c r="I56" s="484"/>
      <c r="J56" s="484"/>
      <c r="K56" s="484"/>
      <c r="L56" s="484"/>
      <c r="M56" s="485"/>
      <c r="N56" s="332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333"/>
      <c r="D57" s="333"/>
      <c r="E57" s="333"/>
      <c r="F57" s="422"/>
      <c r="G57" s="422"/>
      <c r="H57" s="422"/>
      <c r="I57" s="422"/>
      <c r="J57" s="422"/>
      <c r="K57" s="422"/>
      <c r="L57" s="422"/>
      <c r="M57" s="432"/>
      <c r="N57" s="332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333"/>
      <c r="D58" s="333"/>
      <c r="E58" s="333"/>
      <c r="F58" s="422"/>
      <c r="G58" s="422"/>
      <c r="H58" s="422"/>
      <c r="I58" s="422"/>
      <c r="J58" s="422"/>
      <c r="K58" s="422"/>
      <c r="L58" s="422"/>
      <c r="M58" s="432"/>
      <c r="N58" s="332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333"/>
      <c r="D59" s="333"/>
      <c r="E59" s="333"/>
      <c r="F59" s="422"/>
      <c r="G59" s="422"/>
      <c r="H59" s="422"/>
      <c r="I59" s="422"/>
      <c r="J59" s="422"/>
      <c r="K59" s="422"/>
      <c r="L59" s="422"/>
      <c r="M59" s="432"/>
      <c r="N59" s="332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335"/>
      <c r="D60" s="335"/>
      <c r="E60" s="335"/>
      <c r="F60" s="435"/>
      <c r="G60" s="435"/>
      <c r="H60" s="435"/>
      <c r="I60" s="435"/>
      <c r="J60" s="435"/>
      <c r="K60" s="435"/>
      <c r="L60" s="435"/>
      <c r="M60" s="436"/>
      <c r="N60" s="334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473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331" t="s">
        <v>2</v>
      </c>
      <c r="D62" s="331" t="s">
        <v>37</v>
      </c>
      <c r="E62" s="331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331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114</v>
      </c>
      <c r="D63" s="327"/>
      <c r="E63" s="330" t="s">
        <v>117</v>
      </c>
      <c r="F63" s="420" t="s">
        <v>364</v>
      </c>
      <c r="G63" s="412"/>
      <c r="H63" s="412"/>
      <c r="I63" s="412"/>
      <c r="J63" s="412"/>
      <c r="K63" s="412" t="s">
        <v>474</v>
      </c>
      <c r="L63" s="412"/>
      <c r="M63" s="54" t="s">
        <v>192</v>
      </c>
      <c r="N63" s="412">
        <v>14</v>
      </c>
      <c r="O63" s="412"/>
      <c r="P63" s="421">
        <v>50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114</v>
      </c>
      <c r="D64" s="327"/>
      <c r="E64" s="330" t="s">
        <v>120</v>
      </c>
      <c r="F64" s="420" t="s">
        <v>375</v>
      </c>
      <c r="G64" s="412"/>
      <c r="H64" s="412"/>
      <c r="I64" s="412"/>
      <c r="J64" s="412"/>
      <c r="K64" s="412" t="s">
        <v>182</v>
      </c>
      <c r="L64" s="412"/>
      <c r="M64" s="54" t="s">
        <v>192</v>
      </c>
      <c r="N64" s="412">
        <v>14</v>
      </c>
      <c r="O64" s="412"/>
      <c r="P64" s="421">
        <v>50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327"/>
      <c r="E65" s="330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327"/>
      <c r="E66" s="330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327"/>
      <c r="E67" s="330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327"/>
      <c r="E68" s="330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327"/>
      <c r="E69" s="330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327"/>
      <c r="E70" s="330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475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329" t="s">
        <v>2</v>
      </c>
      <c r="D72" s="329" t="s">
        <v>37</v>
      </c>
      <c r="E72" s="329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328" t="s">
        <v>114</v>
      </c>
      <c r="D73" s="328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327"/>
      <c r="D74" s="327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327"/>
      <c r="D75" s="327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327"/>
      <c r="D76" s="327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327"/>
      <c r="D77" s="327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327"/>
      <c r="D78" s="327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327"/>
      <c r="D79" s="327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327"/>
      <c r="D80" s="327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327"/>
      <c r="D81" s="327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476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314-838A-44EF-B0D7-06B13B0D2C73}">
  <sheetPr>
    <pageSetUpPr fitToPage="1"/>
  </sheetPr>
  <dimension ref="A1:AF86"/>
  <sheetViews>
    <sheetView zoomScale="72" zoomScaleNormal="72" zoomScaleSheetLayoutView="70" workbookViewId="0">
      <selection activeCell="S11" sqref="S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477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338" t="s">
        <v>17</v>
      </c>
      <c r="L5" s="338" t="s">
        <v>18</v>
      </c>
      <c r="M5" s="338" t="s">
        <v>19</v>
      </c>
      <c r="N5" s="33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0.53973365162037035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0.53973365162037035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5621</v>
      </c>
      <c r="K8" s="15">
        <f>L8+4226+6836+7688+6790+7670</f>
        <v>38831</v>
      </c>
      <c r="L8" s="15">
        <f>3749+1872</f>
        <v>5621</v>
      </c>
      <c r="M8" s="16">
        <f t="shared" si="0"/>
        <v>5621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>
        <v>2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9">
        <f t="shared" si="7"/>
        <v>0.53973365162037035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401</v>
      </c>
      <c r="F9" s="33" t="s">
        <v>128</v>
      </c>
      <c r="G9" s="36">
        <v>1</v>
      </c>
      <c r="H9" s="38">
        <v>25</v>
      </c>
      <c r="I9" s="7">
        <v>4500</v>
      </c>
      <c r="J9" s="5">
        <v>3572</v>
      </c>
      <c r="K9" s="15">
        <f>L9+2849+3005</f>
        <v>9426</v>
      </c>
      <c r="L9" s="15">
        <f>1844+1728</f>
        <v>3572</v>
      </c>
      <c r="M9" s="16">
        <f t="shared" si="0"/>
        <v>3572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>
        <v>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9">
        <f t="shared" si="7"/>
        <v>0.53973365162037035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396</v>
      </c>
      <c r="F10" s="12" t="s">
        <v>122</v>
      </c>
      <c r="G10" s="12">
        <v>1</v>
      </c>
      <c r="H10" s="13">
        <v>25</v>
      </c>
      <c r="I10" s="7">
        <v>70000</v>
      </c>
      <c r="J10" s="14">
        <v>6400</v>
      </c>
      <c r="K10" s="15">
        <f>L10+4579+6047+6324+6911+6027+6392</f>
        <v>42762</v>
      </c>
      <c r="L10" s="15">
        <f>3369+3113</f>
        <v>6482</v>
      </c>
      <c r="M10" s="16">
        <f t="shared" si="0"/>
        <v>6482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1.0128124999999999</v>
      </c>
      <c r="AC10" s="9">
        <f t="shared" si="5"/>
        <v>1</v>
      </c>
      <c r="AD10" s="10">
        <f t="shared" si="6"/>
        <v>1.0128124999999999</v>
      </c>
      <c r="AE10" s="39">
        <f t="shared" si="7"/>
        <v>0.53973365162037035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449</v>
      </c>
      <c r="F11" s="12" t="s">
        <v>407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0.53973365162037035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447</v>
      </c>
      <c r="F12" s="12" t="s">
        <v>122</v>
      </c>
      <c r="G12" s="12">
        <v>1</v>
      </c>
      <c r="H12" s="13">
        <v>25</v>
      </c>
      <c r="I12" s="7">
        <v>4000</v>
      </c>
      <c r="J12" s="14">
        <v>5080</v>
      </c>
      <c r="K12" s="15">
        <f>L12+3230+3249</f>
        <v>11559</v>
      </c>
      <c r="L12" s="15">
        <f>2657+2423</f>
        <v>5080</v>
      </c>
      <c r="M12" s="16">
        <f t="shared" si="0"/>
        <v>5080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0.53973365162037035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448</v>
      </c>
      <c r="F13" s="12" t="s">
        <v>284</v>
      </c>
      <c r="G13" s="12">
        <v>3</v>
      </c>
      <c r="H13" s="13">
        <v>25</v>
      </c>
      <c r="I13" s="7">
        <v>1000</v>
      </c>
      <c r="J13" s="14">
        <v>1800</v>
      </c>
      <c r="K13" s="15">
        <f>L13+8364+1794</f>
        <v>10158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0.53973365162037035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5000</v>
      </c>
      <c r="J14" s="5">
        <v>2026</v>
      </c>
      <c r="K14" s="15">
        <f>L14+618</f>
        <v>2644</v>
      </c>
      <c r="L14" s="15">
        <v>2026</v>
      </c>
      <c r="M14" s="16">
        <f t="shared" si="0"/>
        <v>2026</v>
      </c>
      <c r="N14" s="16">
        <v>0</v>
      </c>
      <c r="O14" s="62">
        <f t="shared" si="1"/>
        <v>0</v>
      </c>
      <c r="P14" s="42">
        <f t="shared" si="2"/>
        <v>12</v>
      </c>
      <c r="Q14" s="43">
        <f t="shared" si="3"/>
        <v>12</v>
      </c>
      <c r="R14" s="7"/>
      <c r="S14" s="6">
        <v>12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9">
        <f t="shared" si="7"/>
        <v>0.53973365162037035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133</v>
      </c>
      <c r="E15" s="57" t="s">
        <v>414</v>
      </c>
      <c r="F15" s="12" t="s">
        <v>407</v>
      </c>
      <c r="G15" s="12">
        <v>1</v>
      </c>
      <c r="H15" s="13">
        <v>24</v>
      </c>
      <c r="I15" s="34">
        <v>70000</v>
      </c>
      <c r="J15" s="14">
        <v>4402</v>
      </c>
      <c r="K15" s="15">
        <f>L15+4017+6169+6186+3488+6134</f>
        <v>30396</v>
      </c>
      <c r="L15" s="15">
        <f>1287+3115</f>
        <v>4402</v>
      </c>
      <c r="M15" s="16">
        <f t="shared" si="0"/>
        <v>4402</v>
      </c>
      <c r="N15" s="16">
        <v>0</v>
      </c>
      <c r="O15" s="62">
        <f t="shared" si="1"/>
        <v>0</v>
      </c>
      <c r="P15" s="42">
        <f t="shared" si="2"/>
        <v>16</v>
      </c>
      <c r="Q15" s="43">
        <f t="shared" si="3"/>
        <v>8</v>
      </c>
      <c r="R15" s="7"/>
      <c r="S15" s="6">
        <v>8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0.66666666666666663</v>
      </c>
      <c r="AD15" s="10">
        <f t="shared" si="6"/>
        <v>0.66666666666666663</v>
      </c>
      <c r="AE15" s="39">
        <f t="shared" si="7"/>
        <v>0.53973365162037035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146</v>
      </c>
      <c r="E16" s="57" t="s">
        <v>245</v>
      </c>
      <c r="F16" s="33" t="s">
        <v>182</v>
      </c>
      <c r="G16" s="36">
        <v>1</v>
      </c>
      <c r="H16" s="38">
        <v>24</v>
      </c>
      <c r="I16" s="7">
        <v>6000</v>
      </c>
      <c r="J16" s="5">
        <v>3000</v>
      </c>
      <c r="K16" s="15">
        <f>L16+430+5436+2998</f>
        <v>8864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0.53973365162037035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133</v>
      </c>
      <c r="E17" s="57" t="s">
        <v>406</v>
      </c>
      <c r="F17" s="12" t="s">
        <v>407</v>
      </c>
      <c r="G17" s="12">
        <v>1</v>
      </c>
      <c r="H17" s="13">
        <v>24</v>
      </c>
      <c r="I17" s="34">
        <v>70000</v>
      </c>
      <c r="J17" s="14">
        <v>6385</v>
      </c>
      <c r="K17" s="15">
        <f>L17+5530+6591+6555+7009+6234+3454</f>
        <v>41758</v>
      </c>
      <c r="L17" s="15">
        <f>3689+2696</f>
        <v>6385</v>
      </c>
      <c r="M17" s="16">
        <f t="shared" si="0"/>
        <v>6385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0.53973365162037035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231</v>
      </c>
      <c r="F18" s="12" t="s">
        <v>122</v>
      </c>
      <c r="G18" s="36">
        <v>1</v>
      </c>
      <c r="H18" s="38">
        <v>24</v>
      </c>
      <c r="I18" s="7">
        <v>70000</v>
      </c>
      <c r="J18" s="5">
        <v>5901</v>
      </c>
      <c r="K18" s="15">
        <f>L18+3442+4857+6103+3605+5831</f>
        <v>29739</v>
      </c>
      <c r="L18" s="15">
        <f>3080+2821</f>
        <v>5901</v>
      </c>
      <c r="M18" s="16">
        <f t="shared" si="0"/>
        <v>5901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0.53973365162037035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471</v>
      </c>
      <c r="E19" s="57" t="s">
        <v>472</v>
      </c>
      <c r="F19" s="12" t="s">
        <v>284</v>
      </c>
      <c r="G19" s="36">
        <v>1</v>
      </c>
      <c r="H19" s="13">
        <v>24</v>
      </c>
      <c r="I19" s="7">
        <v>2000</v>
      </c>
      <c r="J19" s="14">
        <v>2081</v>
      </c>
      <c r="K19" s="15">
        <f>L19</f>
        <v>2081</v>
      </c>
      <c r="L19" s="15">
        <v>2081</v>
      </c>
      <c r="M19" s="16">
        <f t="shared" si="0"/>
        <v>2081</v>
      </c>
      <c r="N19" s="16">
        <v>0</v>
      </c>
      <c r="O19" s="62">
        <f t="shared" si="1"/>
        <v>0</v>
      </c>
      <c r="P19" s="42">
        <f t="shared" si="2"/>
        <v>13</v>
      </c>
      <c r="Q19" s="43">
        <f t="shared" si="3"/>
        <v>11</v>
      </c>
      <c r="R19" s="7"/>
      <c r="S19" s="6"/>
      <c r="T19" s="17"/>
      <c r="U19" s="17"/>
      <c r="V19" s="18"/>
      <c r="W19" s="19">
        <v>11</v>
      </c>
      <c r="X19" s="17"/>
      <c r="Y19" s="20"/>
      <c r="Z19" s="20"/>
      <c r="AA19" s="21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9">
        <f t="shared" si="7"/>
        <v>0.53973365162037035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464</v>
      </c>
      <c r="F20" s="12" t="s">
        <v>116</v>
      </c>
      <c r="G20" s="12">
        <v>4</v>
      </c>
      <c r="H20" s="38">
        <v>20</v>
      </c>
      <c r="I20" s="7">
        <v>300000</v>
      </c>
      <c r="J20" s="14">
        <v>30720</v>
      </c>
      <c r="K20" s="15">
        <f>L20+39648</f>
        <v>70360</v>
      </c>
      <c r="L20" s="15">
        <f>7678*4</f>
        <v>30712</v>
      </c>
      <c r="M20" s="16">
        <f t="shared" si="0"/>
        <v>30712</v>
      </c>
      <c r="N20" s="16">
        <v>0</v>
      </c>
      <c r="O20" s="62">
        <f t="shared" si="1"/>
        <v>0</v>
      </c>
      <c r="P20" s="42">
        <f t="shared" si="2"/>
        <v>13</v>
      </c>
      <c r="Q20" s="43">
        <f t="shared" si="3"/>
        <v>11</v>
      </c>
      <c r="R20" s="7"/>
      <c r="S20" s="6"/>
      <c r="T20" s="17"/>
      <c r="U20" s="17"/>
      <c r="V20" s="18">
        <v>11</v>
      </c>
      <c r="W20" s="19"/>
      <c r="X20" s="17"/>
      <c r="Y20" s="20"/>
      <c r="Z20" s="20"/>
      <c r="AA20" s="21"/>
      <c r="AB20" s="8">
        <f t="shared" si="4"/>
        <v>0.99973958333333335</v>
      </c>
      <c r="AC20" s="9">
        <f t="shared" si="5"/>
        <v>0.54166666666666663</v>
      </c>
      <c r="AD20" s="10">
        <f t="shared" si="6"/>
        <v>0.54152560763888891</v>
      </c>
      <c r="AE20" s="39">
        <f t="shared" si="7"/>
        <v>0.53973365162037035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682500</v>
      </c>
      <c r="J21" s="22">
        <f t="shared" si="9"/>
        <v>88544</v>
      </c>
      <c r="K21" s="23">
        <f t="shared" si="9"/>
        <v>310134</v>
      </c>
      <c r="L21" s="24">
        <f t="shared" si="9"/>
        <v>72262</v>
      </c>
      <c r="M21" s="23">
        <f t="shared" si="9"/>
        <v>72262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194</v>
      </c>
      <c r="Q21" s="46">
        <f t="shared" si="10"/>
        <v>166</v>
      </c>
      <c r="R21" s="26">
        <f t="shared" si="10"/>
        <v>24</v>
      </c>
      <c r="S21" s="27">
        <f t="shared" si="10"/>
        <v>24</v>
      </c>
      <c r="T21" s="27">
        <f t="shared" si="10"/>
        <v>0</v>
      </c>
      <c r="U21" s="27">
        <f t="shared" si="10"/>
        <v>0</v>
      </c>
      <c r="V21" s="28">
        <f t="shared" si="10"/>
        <v>11</v>
      </c>
      <c r="W21" s="29">
        <f t="shared" si="10"/>
        <v>107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0.66750347222222217</v>
      </c>
      <c r="AC21" s="4">
        <f>SUM(AC6:AC20)/15</f>
        <v>0.53888888888888897</v>
      </c>
      <c r="AD21" s="4">
        <f>SUM(AD6:AD20)/15</f>
        <v>0.53973365162037035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478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481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339" t="s">
        <v>46</v>
      </c>
      <c r="D50" s="339" t="s">
        <v>47</v>
      </c>
      <c r="E50" s="339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339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341" t="s">
        <v>139</v>
      </c>
      <c r="D51" s="341" t="s">
        <v>117</v>
      </c>
      <c r="E51" s="341" t="s">
        <v>401</v>
      </c>
      <c r="F51" s="483" t="s">
        <v>479</v>
      </c>
      <c r="G51" s="484"/>
      <c r="H51" s="484"/>
      <c r="I51" s="484"/>
      <c r="J51" s="484"/>
      <c r="K51" s="484"/>
      <c r="L51" s="484"/>
      <c r="M51" s="485"/>
      <c r="N51" s="340" t="s">
        <v>126</v>
      </c>
      <c r="O51" s="124" t="s">
        <v>208</v>
      </c>
      <c r="P51" s="439" t="s">
        <v>117</v>
      </c>
      <c r="Q51" s="440"/>
      <c r="R51" s="431" t="s">
        <v>283</v>
      </c>
      <c r="S51" s="431"/>
      <c r="T51" s="431"/>
      <c r="U51" s="431"/>
      <c r="V51" s="422" t="s">
        <v>370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341" t="s">
        <v>301</v>
      </c>
      <c r="D52" s="341" t="s">
        <v>152</v>
      </c>
      <c r="E52" s="341" t="s">
        <v>187</v>
      </c>
      <c r="F52" s="483" t="s">
        <v>480</v>
      </c>
      <c r="G52" s="484"/>
      <c r="H52" s="484"/>
      <c r="I52" s="484"/>
      <c r="J52" s="484"/>
      <c r="K52" s="484"/>
      <c r="L52" s="484"/>
      <c r="M52" s="485"/>
      <c r="N52" s="340" t="s">
        <v>126</v>
      </c>
      <c r="O52" s="124" t="s">
        <v>141</v>
      </c>
      <c r="P52" s="439" t="s">
        <v>133</v>
      </c>
      <c r="Q52" s="440"/>
      <c r="R52" s="431" t="s">
        <v>457</v>
      </c>
      <c r="S52" s="431"/>
      <c r="T52" s="431"/>
      <c r="U52" s="431"/>
      <c r="V52" s="422" t="s">
        <v>124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126</v>
      </c>
      <c r="B53" s="431"/>
      <c r="C53" s="341" t="s">
        <v>141</v>
      </c>
      <c r="D53" s="341" t="s">
        <v>133</v>
      </c>
      <c r="E53" s="341" t="s">
        <v>457</v>
      </c>
      <c r="F53" s="483" t="s">
        <v>201</v>
      </c>
      <c r="G53" s="484"/>
      <c r="H53" s="484"/>
      <c r="I53" s="484"/>
      <c r="J53" s="484"/>
      <c r="K53" s="484"/>
      <c r="L53" s="484"/>
      <c r="M53" s="485"/>
      <c r="N53" s="340" t="s">
        <v>126</v>
      </c>
      <c r="O53" s="124" t="s">
        <v>174</v>
      </c>
      <c r="P53" s="439" t="s">
        <v>482</v>
      </c>
      <c r="Q53" s="440"/>
      <c r="R53" s="431" t="s">
        <v>483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341" t="s">
        <v>189</v>
      </c>
      <c r="D54" s="341" t="s">
        <v>133</v>
      </c>
      <c r="E54" s="341" t="s">
        <v>457</v>
      </c>
      <c r="F54" s="483" t="s">
        <v>124</v>
      </c>
      <c r="G54" s="484"/>
      <c r="H54" s="484"/>
      <c r="I54" s="484"/>
      <c r="J54" s="484"/>
      <c r="K54" s="484"/>
      <c r="L54" s="484"/>
      <c r="M54" s="485"/>
      <c r="N54" s="340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126</v>
      </c>
      <c r="B55" s="431"/>
      <c r="C55" s="341" t="s">
        <v>174</v>
      </c>
      <c r="D55" s="341" t="s">
        <v>471</v>
      </c>
      <c r="E55" s="341" t="s">
        <v>472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340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341"/>
      <c r="D56" s="341"/>
      <c r="E56" s="341"/>
      <c r="F56" s="483"/>
      <c r="G56" s="484"/>
      <c r="H56" s="484"/>
      <c r="I56" s="484"/>
      <c r="J56" s="484"/>
      <c r="K56" s="484"/>
      <c r="L56" s="484"/>
      <c r="M56" s="485"/>
      <c r="N56" s="340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341"/>
      <c r="D57" s="341"/>
      <c r="E57" s="341"/>
      <c r="F57" s="422"/>
      <c r="G57" s="422"/>
      <c r="H57" s="422"/>
      <c r="I57" s="422"/>
      <c r="J57" s="422"/>
      <c r="K57" s="422"/>
      <c r="L57" s="422"/>
      <c r="M57" s="432"/>
      <c r="N57" s="340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341"/>
      <c r="D58" s="341"/>
      <c r="E58" s="341"/>
      <c r="F58" s="422"/>
      <c r="G58" s="422"/>
      <c r="H58" s="422"/>
      <c r="I58" s="422"/>
      <c r="J58" s="422"/>
      <c r="K58" s="422"/>
      <c r="L58" s="422"/>
      <c r="M58" s="432"/>
      <c r="N58" s="340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341"/>
      <c r="D59" s="341"/>
      <c r="E59" s="341"/>
      <c r="F59" s="422"/>
      <c r="G59" s="422"/>
      <c r="H59" s="422"/>
      <c r="I59" s="422"/>
      <c r="J59" s="422"/>
      <c r="K59" s="422"/>
      <c r="L59" s="422"/>
      <c r="M59" s="432"/>
      <c r="N59" s="340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343"/>
      <c r="D60" s="343"/>
      <c r="E60" s="343"/>
      <c r="F60" s="435"/>
      <c r="G60" s="435"/>
      <c r="H60" s="435"/>
      <c r="I60" s="435"/>
      <c r="J60" s="435"/>
      <c r="K60" s="435"/>
      <c r="L60" s="435"/>
      <c r="M60" s="436"/>
      <c r="N60" s="342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484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344" t="s">
        <v>2</v>
      </c>
      <c r="D62" s="344" t="s">
        <v>37</v>
      </c>
      <c r="E62" s="344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344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/>
      <c r="D63" s="347"/>
      <c r="E63" s="345"/>
      <c r="F63" s="420"/>
      <c r="G63" s="412"/>
      <c r="H63" s="412"/>
      <c r="I63" s="412"/>
      <c r="J63" s="412"/>
      <c r="K63" s="412"/>
      <c r="L63" s="412"/>
      <c r="M63" s="54"/>
      <c r="N63" s="412"/>
      <c r="O63" s="412"/>
      <c r="P63" s="421"/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347"/>
      <c r="E64" s="345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347"/>
      <c r="E65" s="345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347"/>
      <c r="E66" s="345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347"/>
      <c r="E67" s="345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347"/>
      <c r="E68" s="345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347"/>
      <c r="E69" s="345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347"/>
      <c r="E70" s="345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485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346" t="s">
        <v>2</v>
      </c>
      <c r="D72" s="346" t="s">
        <v>37</v>
      </c>
      <c r="E72" s="346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348" t="s">
        <v>114</v>
      </c>
      <c r="D73" s="348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347"/>
      <c r="D74" s="347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347"/>
      <c r="D75" s="347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347"/>
      <c r="D76" s="347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347"/>
      <c r="D77" s="347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347"/>
      <c r="D78" s="347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347"/>
      <c r="D79" s="347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347"/>
      <c r="D80" s="347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347"/>
      <c r="D81" s="347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486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EB7C-4293-4B6B-A7A9-2CF79105D6D2}">
  <sheetPr>
    <pageSetUpPr fitToPage="1"/>
  </sheetPr>
  <dimension ref="A1:AF86"/>
  <sheetViews>
    <sheetView zoomScale="72" zoomScaleNormal="72" zoomScaleSheetLayoutView="70" workbookViewId="0">
      <selection activeCell="T16" sqref="T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487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359" t="s">
        <v>17</v>
      </c>
      <c r="L5" s="359" t="s">
        <v>18</v>
      </c>
      <c r="M5" s="359" t="s">
        <v>19</v>
      </c>
      <c r="N5" s="35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0.44714980255215619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0.44714980255215619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7015</v>
      </c>
      <c r="K8" s="15">
        <f>L8+4226+6836+7688+6790+7670+5621</f>
        <v>45846</v>
      </c>
      <c r="L8" s="15">
        <f>3681+3334</f>
        <v>7015</v>
      </c>
      <c r="M8" s="16">
        <f t="shared" si="0"/>
        <v>7015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0.44714980255215619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117</v>
      </c>
      <c r="E9" s="57" t="s">
        <v>401</v>
      </c>
      <c r="F9" s="33" t="s">
        <v>128</v>
      </c>
      <c r="G9" s="36">
        <v>1</v>
      </c>
      <c r="H9" s="38">
        <v>25</v>
      </c>
      <c r="I9" s="7">
        <v>4500</v>
      </c>
      <c r="J9" s="5">
        <v>412</v>
      </c>
      <c r="K9" s="15">
        <f>L9+2849+3005+3572</f>
        <v>9838</v>
      </c>
      <c r="L9" s="15">
        <v>412</v>
      </c>
      <c r="M9" s="16">
        <f t="shared" si="0"/>
        <v>412</v>
      </c>
      <c r="N9" s="16">
        <v>0</v>
      </c>
      <c r="O9" s="62">
        <f t="shared" si="1"/>
        <v>0</v>
      </c>
      <c r="P9" s="42">
        <f t="shared" si="2"/>
        <v>3</v>
      </c>
      <c r="Q9" s="43">
        <f t="shared" si="3"/>
        <v>21</v>
      </c>
      <c r="R9" s="7"/>
      <c r="S9" s="6"/>
      <c r="T9" s="17"/>
      <c r="U9" s="17"/>
      <c r="V9" s="18"/>
      <c r="W9" s="19">
        <v>21</v>
      </c>
      <c r="X9" s="17"/>
      <c r="Y9" s="20"/>
      <c r="Z9" s="20"/>
      <c r="AA9" s="21"/>
      <c r="AB9" s="8">
        <f t="shared" si="4"/>
        <v>1</v>
      </c>
      <c r="AC9" s="9">
        <f t="shared" si="5"/>
        <v>0.125</v>
      </c>
      <c r="AD9" s="10">
        <f t="shared" si="6"/>
        <v>0.125</v>
      </c>
      <c r="AE9" s="39">
        <f t="shared" si="7"/>
        <v>0.44714980255215619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396</v>
      </c>
      <c r="F10" s="12" t="s">
        <v>122</v>
      </c>
      <c r="G10" s="12">
        <v>1</v>
      </c>
      <c r="H10" s="13">
        <v>25</v>
      </c>
      <c r="I10" s="7">
        <v>70000</v>
      </c>
      <c r="J10" s="14">
        <v>6360</v>
      </c>
      <c r="K10" s="15">
        <f>L10+4579+6047+6324+6911+6027+6392+6482</f>
        <v>49121</v>
      </c>
      <c r="L10" s="15">
        <f>3321+3038</f>
        <v>6359</v>
      </c>
      <c r="M10" s="16">
        <f t="shared" si="0"/>
        <v>6359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0.99984276729559751</v>
      </c>
      <c r="AC10" s="9">
        <f t="shared" si="5"/>
        <v>1</v>
      </c>
      <c r="AD10" s="10">
        <f t="shared" si="6"/>
        <v>0.99984276729559751</v>
      </c>
      <c r="AE10" s="39">
        <f t="shared" si="7"/>
        <v>0.44714980255215619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449</v>
      </c>
      <c r="F11" s="12" t="s">
        <v>407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0.44714980255215619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447</v>
      </c>
      <c r="F12" s="12" t="s">
        <v>122</v>
      </c>
      <c r="G12" s="12">
        <v>1</v>
      </c>
      <c r="H12" s="13">
        <v>25</v>
      </c>
      <c r="I12" s="7">
        <v>4000</v>
      </c>
      <c r="J12" s="14">
        <v>970</v>
      </c>
      <c r="K12" s="15">
        <f>L12+3230+3249+5080</f>
        <v>12528</v>
      </c>
      <c r="L12" s="15">
        <v>969</v>
      </c>
      <c r="M12" s="16">
        <f t="shared" si="0"/>
        <v>969</v>
      </c>
      <c r="N12" s="16">
        <v>0</v>
      </c>
      <c r="O12" s="62">
        <f t="shared" si="1"/>
        <v>0</v>
      </c>
      <c r="P12" s="42">
        <f t="shared" si="2"/>
        <v>5</v>
      </c>
      <c r="Q12" s="43">
        <f t="shared" si="3"/>
        <v>19</v>
      </c>
      <c r="R12" s="7"/>
      <c r="S12" s="6"/>
      <c r="T12" s="17"/>
      <c r="U12" s="17"/>
      <c r="V12" s="18"/>
      <c r="W12" s="19">
        <v>19</v>
      </c>
      <c r="X12" s="17"/>
      <c r="Y12" s="20"/>
      <c r="Z12" s="20"/>
      <c r="AA12" s="21"/>
      <c r="AB12" s="8">
        <f t="shared" si="4"/>
        <v>0.99896907216494846</v>
      </c>
      <c r="AC12" s="9">
        <f t="shared" si="5"/>
        <v>0.20833333333333334</v>
      </c>
      <c r="AD12" s="10">
        <f t="shared" si="6"/>
        <v>0.20811855670103094</v>
      </c>
      <c r="AE12" s="39">
        <f t="shared" si="7"/>
        <v>0.44714980255215619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120</v>
      </c>
      <c r="E13" s="57" t="s">
        <v>354</v>
      </c>
      <c r="F13" s="12">
        <v>7301</v>
      </c>
      <c r="G13" s="12">
        <v>1</v>
      </c>
      <c r="H13" s="13">
        <v>25</v>
      </c>
      <c r="I13" s="7">
        <v>1000</v>
      </c>
      <c r="J13" s="14">
        <v>3818</v>
      </c>
      <c r="K13" s="15">
        <f>L13</f>
        <v>3818</v>
      </c>
      <c r="L13" s="15">
        <f>970+2848</f>
        <v>3818</v>
      </c>
      <c r="M13" s="16">
        <f t="shared" si="0"/>
        <v>3818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/>
      <c r="T13" s="17">
        <v>4</v>
      </c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9">
        <f t="shared" si="7"/>
        <v>0.44714980255215619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5000</v>
      </c>
      <c r="J14" s="5">
        <v>2026</v>
      </c>
      <c r="K14" s="15">
        <f>L14+618+2026</f>
        <v>2644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0.44714980255215619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133</v>
      </c>
      <c r="E15" s="57" t="s">
        <v>414</v>
      </c>
      <c r="F15" s="12" t="s">
        <v>407</v>
      </c>
      <c r="G15" s="12">
        <v>1</v>
      </c>
      <c r="H15" s="13">
        <v>24</v>
      </c>
      <c r="I15" s="34">
        <v>70000</v>
      </c>
      <c r="J15" s="14">
        <v>2841</v>
      </c>
      <c r="K15" s="15">
        <f>L15+4017+6169+6186+3488+6134+4402</f>
        <v>33237</v>
      </c>
      <c r="L15" s="15">
        <v>2841</v>
      </c>
      <c r="M15" s="16">
        <f t="shared" si="0"/>
        <v>2841</v>
      </c>
      <c r="N15" s="16">
        <v>0</v>
      </c>
      <c r="O15" s="62">
        <f t="shared" si="1"/>
        <v>0</v>
      </c>
      <c r="P15" s="42">
        <f t="shared" si="2"/>
        <v>12</v>
      </c>
      <c r="Q15" s="43">
        <f t="shared" si="3"/>
        <v>12</v>
      </c>
      <c r="R15" s="7"/>
      <c r="S15" s="6">
        <v>12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0.5</v>
      </c>
      <c r="AD15" s="10">
        <f t="shared" si="6"/>
        <v>0.5</v>
      </c>
      <c r="AE15" s="39">
        <f t="shared" si="7"/>
        <v>0.44714980255215619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146</v>
      </c>
      <c r="E16" s="57" t="s">
        <v>245</v>
      </c>
      <c r="F16" s="33" t="s">
        <v>182</v>
      </c>
      <c r="G16" s="36">
        <v>1</v>
      </c>
      <c r="H16" s="38">
        <v>24</v>
      </c>
      <c r="I16" s="7">
        <v>6000</v>
      </c>
      <c r="J16" s="5">
        <v>3000</v>
      </c>
      <c r="K16" s="15">
        <f>L16+430+5436+2998</f>
        <v>8864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0.44714980255215619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133</v>
      </c>
      <c r="E17" s="57" t="s">
        <v>406</v>
      </c>
      <c r="F17" s="12" t="s">
        <v>407</v>
      </c>
      <c r="G17" s="12">
        <v>1</v>
      </c>
      <c r="H17" s="13">
        <v>24</v>
      </c>
      <c r="I17" s="34">
        <v>70000</v>
      </c>
      <c r="J17" s="14">
        <v>7000</v>
      </c>
      <c r="K17" s="15">
        <f>L17+5530+6591+6555+7009+6234+3454+6385</f>
        <v>48753</v>
      </c>
      <c r="L17" s="15">
        <f>3641+3354</f>
        <v>6995</v>
      </c>
      <c r="M17" s="16">
        <f t="shared" si="0"/>
        <v>6995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0.99928571428571433</v>
      </c>
      <c r="AC17" s="9">
        <f t="shared" si="5"/>
        <v>1</v>
      </c>
      <c r="AD17" s="10">
        <f t="shared" si="6"/>
        <v>0.99928571428571433</v>
      </c>
      <c r="AE17" s="39">
        <f t="shared" si="7"/>
        <v>0.44714980255215619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231</v>
      </c>
      <c r="F18" s="12" t="s">
        <v>122</v>
      </c>
      <c r="G18" s="36">
        <v>1</v>
      </c>
      <c r="H18" s="38">
        <v>24</v>
      </c>
      <c r="I18" s="7">
        <v>70000</v>
      </c>
      <c r="J18" s="5">
        <v>4875</v>
      </c>
      <c r="K18" s="15">
        <f>L18+3442+4857+6103+3605+5831+5901</f>
        <v>34614</v>
      </c>
      <c r="L18" s="15">
        <f>2937+1938</f>
        <v>4875</v>
      </c>
      <c r="M18" s="16">
        <f t="shared" si="0"/>
        <v>4875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9">
        <f t="shared" si="7"/>
        <v>0.44714980255215619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482</v>
      </c>
      <c r="E19" s="57" t="s">
        <v>483</v>
      </c>
      <c r="F19" s="12" t="s">
        <v>284</v>
      </c>
      <c r="G19" s="36">
        <v>1</v>
      </c>
      <c r="H19" s="13">
        <v>24</v>
      </c>
      <c r="I19" s="7">
        <v>2000</v>
      </c>
      <c r="J19" s="14">
        <v>2084</v>
      </c>
      <c r="K19" s="15">
        <f>L19</f>
        <v>2084</v>
      </c>
      <c r="L19" s="15">
        <f>1601+483</f>
        <v>2084</v>
      </c>
      <c r="M19" s="16">
        <f t="shared" si="0"/>
        <v>2084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/>
      <c r="T19" s="17"/>
      <c r="U19" s="17"/>
      <c r="V19" s="18"/>
      <c r="W19" s="19">
        <v>10</v>
      </c>
      <c r="X19" s="17"/>
      <c r="Y19" s="20"/>
      <c r="Z19" s="20"/>
      <c r="AA19" s="21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9">
        <f t="shared" si="7"/>
        <v>0.44714980255215619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464</v>
      </c>
      <c r="F20" s="12" t="s">
        <v>116</v>
      </c>
      <c r="G20" s="12">
        <v>4</v>
      </c>
      <c r="H20" s="38">
        <v>20</v>
      </c>
      <c r="I20" s="7">
        <v>300000</v>
      </c>
      <c r="J20" s="14">
        <v>45256</v>
      </c>
      <c r="K20" s="15">
        <f>L20+39648+30712</f>
        <v>115616</v>
      </c>
      <c r="L20" s="15">
        <f>11314*4</f>
        <v>45256</v>
      </c>
      <c r="M20" s="16">
        <f t="shared" si="0"/>
        <v>45256</v>
      </c>
      <c r="N20" s="16">
        <v>0</v>
      </c>
      <c r="O20" s="62">
        <f t="shared" si="1"/>
        <v>0</v>
      </c>
      <c r="P20" s="42">
        <f t="shared" si="2"/>
        <v>13</v>
      </c>
      <c r="Q20" s="43">
        <f t="shared" si="3"/>
        <v>11</v>
      </c>
      <c r="R20" s="7"/>
      <c r="S20" s="6"/>
      <c r="T20" s="17"/>
      <c r="U20" s="17"/>
      <c r="V20" s="18">
        <v>11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0.54166666666666663</v>
      </c>
      <c r="AD20" s="10">
        <f t="shared" si="6"/>
        <v>0.54166666666666663</v>
      </c>
      <c r="AE20" s="39">
        <f t="shared" si="7"/>
        <v>0.44714980255215619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682500</v>
      </c>
      <c r="J21" s="22">
        <f t="shared" si="9"/>
        <v>97213</v>
      </c>
      <c r="K21" s="23">
        <f t="shared" si="9"/>
        <v>378519</v>
      </c>
      <c r="L21" s="24">
        <f t="shared" si="9"/>
        <v>80624</v>
      </c>
      <c r="M21" s="23">
        <f t="shared" si="9"/>
        <v>80624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161</v>
      </c>
      <c r="Q21" s="46">
        <f t="shared" si="10"/>
        <v>199</v>
      </c>
      <c r="R21" s="26">
        <f t="shared" si="10"/>
        <v>24</v>
      </c>
      <c r="S21" s="27">
        <f t="shared" si="10"/>
        <v>38</v>
      </c>
      <c r="T21" s="27">
        <f t="shared" si="10"/>
        <v>4</v>
      </c>
      <c r="U21" s="27">
        <f t="shared" si="10"/>
        <v>0</v>
      </c>
      <c r="V21" s="28">
        <f t="shared" si="10"/>
        <v>11</v>
      </c>
      <c r="W21" s="29">
        <f t="shared" si="10"/>
        <v>122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0.66653983691641727</v>
      </c>
      <c r="AC21" s="4">
        <f>SUM(AC6:AC20)/15</f>
        <v>0.44722222222222224</v>
      </c>
      <c r="AD21" s="4">
        <f>SUM(AD6:AD20)/15</f>
        <v>0.44714980255215619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488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490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358" t="s">
        <v>46</v>
      </c>
      <c r="D50" s="358" t="s">
        <v>47</v>
      </c>
      <c r="E50" s="358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358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114</v>
      </c>
      <c r="B51" s="431"/>
      <c r="C51" s="355" t="s">
        <v>125</v>
      </c>
      <c r="D51" s="355" t="s">
        <v>120</v>
      </c>
      <c r="E51" s="355" t="s">
        <v>354</v>
      </c>
      <c r="F51" s="483" t="s">
        <v>119</v>
      </c>
      <c r="G51" s="484"/>
      <c r="H51" s="484"/>
      <c r="I51" s="484"/>
      <c r="J51" s="484"/>
      <c r="K51" s="484"/>
      <c r="L51" s="484"/>
      <c r="M51" s="485"/>
      <c r="N51" s="354" t="s">
        <v>118</v>
      </c>
      <c r="O51" s="124" t="s">
        <v>301</v>
      </c>
      <c r="P51" s="439" t="s">
        <v>152</v>
      </c>
      <c r="Q51" s="440"/>
      <c r="R51" s="431" t="s">
        <v>187</v>
      </c>
      <c r="S51" s="431"/>
      <c r="T51" s="431"/>
      <c r="U51" s="431"/>
      <c r="V51" s="422" t="s">
        <v>124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355" t="s">
        <v>301</v>
      </c>
      <c r="D52" s="355" t="s">
        <v>152</v>
      </c>
      <c r="E52" s="355" t="s">
        <v>187</v>
      </c>
      <c r="F52" s="483" t="s">
        <v>489</v>
      </c>
      <c r="G52" s="484"/>
      <c r="H52" s="484"/>
      <c r="I52" s="484"/>
      <c r="J52" s="484"/>
      <c r="K52" s="484"/>
      <c r="L52" s="484"/>
      <c r="M52" s="485"/>
      <c r="N52" s="354" t="s">
        <v>118</v>
      </c>
      <c r="O52" s="124" t="s">
        <v>139</v>
      </c>
      <c r="P52" s="439" t="s">
        <v>121</v>
      </c>
      <c r="Q52" s="440"/>
      <c r="R52" s="431" t="s">
        <v>491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126</v>
      </c>
      <c r="B53" s="431"/>
      <c r="C53" s="355" t="s">
        <v>141</v>
      </c>
      <c r="D53" s="355" t="s">
        <v>133</v>
      </c>
      <c r="E53" s="355" t="s">
        <v>457</v>
      </c>
      <c r="F53" s="483" t="s">
        <v>124</v>
      </c>
      <c r="G53" s="484"/>
      <c r="H53" s="484"/>
      <c r="I53" s="484"/>
      <c r="J53" s="484"/>
      <c r="K53" s="484"/>
      <c r="L53" s="484"/>
      <c r="M53" s="485"/>
      <c r="N53" s="354" t="s">
        <v>118</v>
      </c>
      <c r="O53" s="124" t="s">
        <v>125</v>
      </c>
      <c r="P53" s="439" t="s">
        <v>117</v>
      </c>
      <c r="Q53" s="440"/>
      <c r="R53" s="431" t="s">
        <v>492</v>
      </c>
      <c r="S53" s="431"/>
      <c r="T53" s="431"/>
      <c r="U53" s="431"/>
      <c r="V53" s="422" t="s">
        <v>119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126</v>
      </c>
      <c r="B54" s="431"/>
      <c r="C54" s="355" t="s">
        <v>208</v>
      </c>
      <c r="D54" s="355" t="s">
        <v>117</v>
      </c>
      <c r="E54" s="355" t="s">
        <v>283</v>
      </c>
      <c r="F54" s="483" t="s">
        <v>370</v>
      </c>
      <c r="G54" s="484"/>
      <c r="H54" s="484"/>
      <c r="I54" s="484"/>
      <c r="J54" s="484"/>
      <c r="K54" s="484"/>
      <c r="L54" s="484"/>
      <c r="M54" s="485"/>
      <c r="N54" s="354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 t="s">
        <v>126</v>
      </c>
      <c r="B55" s="431"/>
      <c r="C55" s="355" t="s">
        <v>174</v>
      </c>
      <c r="D55" s="355" t="s">
        <v>482</v>
      </c>
      <c r="E55" s="355" t="s">
        <v>483</v>
      </c>
      <c r="F55" s="483" t="s">
        <v>119</v>
      </c>
      <c r="G55" s="484"/>
      <c r="H55" s="484"/>
      <c r="I55" s="484"/>
      <c r="J55" s="484"/>
      <c r="K55" s="484"/>
      <c r="L55" s="484"/>
      <c r="M55" s="485"/>
      <c r="N55" s="354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355"/>
      <c r="D56" s="355"/>
      <c r="E56" s="355"/>
      <c r="F56" s="483"/>
      <c r="G56" s="484"/>
      <c r="H56" s="484"/>
      <c r="I56" s="484"/>
      <c r="J56" s="484"/>
      <c r="K56" s="484"/>
      <c r="L56" s="484"/>
      <c r="M56" s="485"/>
      <c r="N56" s="354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355"/>
      <c r="D57" s="355"/>
      <c r="E57" s="355"/>
      <c r="F57" s="422"/>
      <c r="G57" s="422"/>
      <c r="H57" s="422"/>
      <c r="I57" s="422"/>
      <c r="J57" s="422"/>
      <c r="K57" s="422"/>
      <c r="L57" s="422"/>
      <c r="M57" s="432"/>
      <c r="N57" s="354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355"/>
      <c r="D58" s="355"/>
      <c r="E58" s="355"/>
      <c r="F58" s="422"/>
      <c r="G58" s="422"/>
      <c r="H58" s="422"/>
      <c r="I58" s="422"/>
      <c r="J58" s="422"/>
      <c r="K58" s="422"/>
      <c r="L58" s="422"/>
      <c r="M58" s="432"/>
      <c r="N58" s="354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355"/>
      <c r="D59" s="355"/>
      <c r="E59" s="355"/>
      <c r="F59" s="422"/>
      <c r="G59" s="422"/>
      <c r="H59" s="422"/>
      <c r="I59" s="422"/>
      <c r="J59" s="422"/>
      <c r="K59" s="422"/>
      <c r="L59" s="422"/>
      <c r="M59" s="432"/>
      <c r="N59" s="354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357"/>
      <c r="D60" s="357"/>
      <c r="E60" s="357"/>
      <c r="F60" s="435"/>
      <c r="G60" s="435"/>
      <c r="H60" s="435"/>
      <c r="I60" s="435"/>
      <c r="J60" s="435"/>
      <c r="K60" s="435"/>
      <c r="L60" s="435"/>
      <c r="M60" s="436"/>
      <c r="N60" s="356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493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353" t="s">
        <v>2</v>
      </c>
      <c r="D62" s="353" t="s">
        <v>37</v>
      </c>
      <c r="E62" s="353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353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114</v>
      </c>
      <c r="D63" s="349"/>
      <c r="E63" s="352" t="s">
        <v>133</v>
      </c>
      <c r="F63" s="420" t="s">
        <v>494</v>
      </c>
      <c r="G63" s="412"/>
      <c r="H63" s="412"/>
      <c r="I63" s="412"/>
      <c r="J63" s="412"/>
      <c r="K63" s="412" t="s">
        <v>122</v>
      </c>
      <c r="L63" s="412"/>
      <c r="M63" s="54" t="s">
        <v>192</v>
      </c>
      <c r="N63" s="412">
        <v>7</v>
      </c>
      <c r="O63" s="412"/>
      <c r="P63" s="421">
        <v>50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 t="s">
        <v>114</v>
      </c>
      <c r="D64" s="349"/>
      <c r="E64" s="352" t="s">
        <v>133</v>
      </c>
      <c r="F64" s="420" t="s">
        <v>345</v>
      </c>
      <c r="G64" s="412"/>
      <c r="H64" s="412"/>
      <c r="I64" s="412"/>
      <c r="J64" s="412"/>
      <c r="K64" s="412" t="s">
        <v>129</v>
      </c>
      <c r="L64" s="412"/>
      <c r="M64" s="54" t="s">
        <v>192</v>
      </c>
      <c r="N64" s="412">
        <v>8</v>
      </c>
      <c r="O64" s="412"/>
      <c r="P64" s="421">
        <v>50</v>
      </c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 t="s">
        <v>114</v>
      </c>
      <c r="D65" s="349"/>
      <c r="E65" s="352" t="s">
        <v>148</v>
      </c>
      <c r="F65" s="420" t="s">
        <v>363</v>
      </c>
      <c r="G65" s="412"/>
      <c r="H65" s="412"/>
      <c r="I65" s="412"/>
      <c r="J65" s="412"/>
      <c r="K65" s="412" t="s">
        <v>122</v>
      </c>
      <c r="L65" s="412"/>
      <c r="M65" s="54" t="s">
        <v>192</v>
      </c>
      <c r="N65" s="412">
        <v>4</v>
      </c>
      <c r="O65" s="412"/>
      <c r="P65" s="421">
        <v>50</v>
      </c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349"/>
      <c r="E66" s="352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349"/>
      <c r="E67" s="352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349"/>
      <c r="E68" s="352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349"/>
      <c r="E69" s="352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349"/>
      <c r="E70" s="352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495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351" t="s">
        <v>2</v>
      </c>
      <c r="D72" s="351" t="s">
        <v>37</v>
      </c>
      <c r="E72" s="351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350" t="s">
        <v>114</v>
      </c>
      <c r="D73" s="350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349"/>
      <c r="D74" s="349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349"/>
      <c r="D75" s="349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349"/>
      <c r="D76" s="349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349"/>
      <c r="D77" s="349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349"/>
      <c r="D78" s="349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349"/>
      <c r="D79" s="349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349"/>
      <c r="D80" s="349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349"/>
      <c r="D81" s="349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496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5776-C704-480E-820D-A6F65FA491F7}">
  <sheetPr>
    <pageSetUpPr fitToPage="1"/>
  </sheetPr>
  <dimension ref="A1:AF86"/>
  <sheetViews>
    <sheetView tabSelected="1" zoomScale="72" zoomScaleNormal="72" zoomScaleSheetLayoutView="70" workbookViewId="0">
      <selection activeCell="F77" sqref="F77:J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471" t="s">
        <v>497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72"/>
      <c r="B3" s="472"/>
      <c r="C3" s="472"/>
      <c r="D3" s="472"/>
      <c r="E3" s="472"/>
      <c r="F3" s="472"/>
      <c r="G3" s="47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73" t="s">
        <v>0</v>
      </c>
      <c r="B4" s="475" t="s">
        <v>1</v>
      </c>
      <c r="C4" s="475" t="s">
        <v>2</v>
      </c>
      <c r="D4" s="478" t="s">
        <v>3</v>
      </c>
      <c r="E4" s="480" t="s">
        <v>4</v>
      </c>
      <c r="F4" s="478" t="s">
        <v>5</v>
      </c>
      <c r="G4" s="475" t="s">
        <v>6</v>
      </c>
      <c r="H4" s="481" t="s">
        <v>7</v>
      </c>
      <c r="I4" s="461" t="s">
        <v>8</v>
      </c>
      <c r="J4" s="462"/>
      <c r="K4" s="462"/>
      <c r="L4" s="462"/>
      <c r="M4" s="462"/>
      <c r="N4" s="462"/>
      <c r="O4" s="463"/>
      <c r="P4" s="464" t="s">
        <v>9</v>
      </c>
      <c r="Q4" s="465"/>
      <c r="R4" s="466" t="s">
        <v>10</v>
      </c>
      <c r="S4" s="466"/>
      <c r="T4" s="466"/>
      <c r="U4" s="466"/>
      <c r="V4" s="466"/>
      <c r="W4" s="467" t="s">
        <v>11</v>
      </c>
      <c r="X4" s="466"/>
      <c r="Y4" s="466"/>
      <c r="Z4" s="466"/>
      <c r="AA4" s="468"/>
      <c r="AB4" s="469" t="s">
        <v>12</v>
      </c>
      <c r="AC4" s="442" t="s">
        <v>13</v>
      </c>
      <c r="AD4" s="442" t="s">
        <v>14</v>
      </c>
      <c r="AE4" s="58"/>
    </row>
    <row r="5" spans="1:32" ht="51" customHeight="1" thickBot="1">
      <c r="A5" s="474"/>
      <c r="B5" s="476"/>
      <c r="C5" s="477"/>
      <c r="D5" s="479"/>
      <c r="E5" s="479"/>
      <c r="F5" s="479"/>
      <c r="G5" s="476"/>
      <c r="H5" s="482"/>
      <c r="I5" s="59" t="s">
        <v>15</v>
      </c>
      <c r="J5" s="60" t="s">
        <v>16</v>
      </c>
      <c r="K5" s="360" t="s">
        <v>17</v>
      </c>
      <c r="L5" s="360" t="s">
        <v>18</v>
      </c>
      <c r="M5" s="360" t="s">
        <v>19</v>
      </c>
      <c r="N5" s="36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70"/>
      <c r="AC5" s="443"/>
      <c r="AD5" s="443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0.56388888888888888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0.56388888888888888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146</v>
      </c>
      <c r="E8" s="57" t="s">
        <v>412</v>
      </c>
      <c r="F8" s="33" t="s">
        <v>122</v>
      </c>
      <c r="G8" s="36">
        <v>1</v>
      </c>
      <c r="H8" s="38">
        <v>25</v>
      </c>
      <c r="I8" s="7">
        <v>70000</v>
      </c>
      <c r="J8" s="5">
        <v>7715</v>
      </c>
      <c r="K8" s="15">
        <f>L8+4226+6836+7688+6790+7670+5621+7015</f>
        <v>53561</v>
      </c>
      <c r="L8" s="15">
        <f>3547+4168</f>
        <v>7715</v>
      </c>
      <c r="M8" s="16">
        <f t="shared" si="0"/>
        <v>7715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0.56388888888888888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121</v>
      </c>
      <c r="E9" s="57" t="s">
        <v>491</v>
      </c>
      <c r="F9" s="33" t="s">
        <v>181</v>
      </c>
      <c r="G9" s="36">
        <v>1</v>
      </c>
      <c r="H9" s="38">
        <v>25</v>
      </c>
      <c r="I9" s="7">
        <v>1000</v>
      </c>
      <c r="J9" s="5">
        <v>5011</v>
      </c>
      <c r="K9" s="15">
        <f>L9</f>
        <v>5011</v>
      </c>
      <c r="L9" s="15">
        <f>2802+2209</f>
        <v>5011</v>
      </c>
      <c r="M9" s="16">
        <f t="shared" si="0"/>
        <v>5011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9">
        <f t="shared" si="7"/>
        <v>0.56388888888888888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396</v>
      </c>
      <c r="F10" s="12" t="s">
        <v>122</v>
      </c>
      <c r="G10" s="12">
        <v>1</v>
      </c>
      <c r="H10" s="13">
        <v>25</v>
      </c>
      <c r="I10" s="7">
        <v>70000</v>
      </c>
      <c r="J10" s="14">
        <v>6690</v>
      </c>
      <c r="K10" s="15">
        <f>L10+4579+6047+6324+6911+6027+6392+6482+6359</f>
        <v>55811</v>
      </c>
      <c r="L10" s="15">
        <f>3514+3176</f>
        <v>6690</v>
      </c>
      <c r="M10" s="16">
        <f t="shared" si="0"/>
        <v>6690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0.56388888888888888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449</v>
      </c>
      <c r="F11" s="12" t="s">
        <v>407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0.56388888888888888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498</v>
      </c>
      <c r="F12" s="12" t="s">
        <v>182</v>
      </c>
      <c r="G12" s="12">
        <v>1</v>
      </c>
      <c r="H12" s="13">
        <v>25</v>
      </c>
      <c r="I12" s="7">
        <v>20000</v>
      </c>
      <c r="J12" s="14">
        <v>3246</v>
      </c>
      <c r="K12" s="15">
        <f>L12</f>
        <v>3246</v>
      </c>
      <c r="L12" s="15">
        <f>3246</f>
        <v>3246</v>
      </c>
      <c r="M12" s="16">
        <f t="shared" si="0"/>
        <v>3246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/>
      <c r="T12" s="17">
        <v>6</v>
      </c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9">
        <f t="shared" si="7"/>
        <v>0.56388888888888888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492</v>
      </c>
      <c r="F13" s="12" t="s">
        <v>128</v>
      </c>
      <c r="G13" s="12">
        <v>1</v>
      </c>
      <c r="H13" s="13">
        <v>25</v>
      </c>
      <c r="I13" s="7">
        <v>1000</v>
      </c>
      <c r="J13" s="14">
        <v>4223</v>
      </c>
      <c r="K13" s="15">
        <f>L13</f>
        <v>4223</v>
      </c>
      <c r="L13" s="15">
        <f>2756+1467</f>
        <v>4223</v>
      </c>
      <c r="M13" s="16">
        <f t="shared" si="0"/>
        <v>4223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9">
        <f t="shared" si="7"/>
        <v>0.56388888888888888</v>
      </c>
      <c r="AF13" s="93">
        <f t="shared" si="8"/>
        <v>8</v>
      </c>
    </row>
    <row r="14" spans="1:32" ht="27" customHeight="1">
      <c r="A14" s="227">
        <v>9</v>
      </c>
      <c r="B14" s="11" t="s">
        <v>57</v>
      </c>
      <c r="C14" s="37" t="s">
        <v>118</v>
      </c>
      <c r="D14" s="55" t="s">
        <v>152</v>
      </c>
      <c r="E14" s="57" t="s">
        <v>187</v>
      </c>
      <c r="F14" s="33" t="s">
        <v>155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</f>
        <v>4266</v>
      </c>
      <c r="L14" s="15">
        <v>1622</v>
      </c>
      <c r="M14" s="16">
        <f t="shared" si="0"/>
        <v>1622</v>
      </c>
      <c r="N14" s="16">
        <v>0</v>
      </c>
      <c r="O14" s="62">
        <f t="shared" si="1"/>
        <v>0</v>
      </c>
      <c r="P14" s="42">
        <f t="shared" si="2"/>
        <v>9</v>
      </c>
      <c r="Q14" s="43">
        <f t="shared" si="3"/>
        <v>15</v>
      </c>
      <c r="R14" s="7"/>
      <c r="S14" s="6">
        <v>3</v>
      </c>
      <c r="T14" s="17"/>
      <c r="U14" s="17"/>
      <c r="V14" s="18"/>
      <c r="W14" s="19">
        <v>12</v>
      </c>
      <c r="X14" s="17"/>
      <c r="Y14" s="20"/>
      <c r="Z14" s="20"/>
      <c r="AA14" s="21"/>
      <c r="AB14" s="8">
        <f t="shared" si="4"/>
        <v>1</v>
      </c>
      <c r="AC14" s="9">
        <f t="shared" si="5"/>
        <v>0.375</v>
      </c>
      <c r="AD14" s="10">
        <f t="shared" si="6"/>
        <v>0.375</v>
      </c>
      <c r="AE14" s="39">
        <f t="shared" si="7"/>
        <v>0.56388888888888888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133</v>
      </c>
      <c r="E15" s="57" t="s">
        <v>414</v>
      </c>
      <c r="F15" s="12" t="s">
        <v>407</v>
      </c>
      <c r="G15" s="12">
        <v>1</v>
      </c>
      <c r="H15" s="13">
        <v>24</v>
      </c>
      <c r="I15" s="34">
        <v>70000</v>
      </c>
      <c r="J15" s="14">
        <v>7222</v>
      </c>
      <c r="K15" s="15">
        <f>L15+4017+6169+6186+3488+6134+4402+2841</f>
        <v>40459</v>
      </c>
      <c r="L15" s="15">
        <f>3938+3284</f>
        <v>7222</v>
      </c>
      <c r="M15" s="16">
        <f t="shared" si="0"/>
        <v>7222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1</v>
      </c>
      <c r="AD15" s="10">
        <f t="shared" si="6"/>
        <v>1</v>
      </c>
      <c r="AE15" s="39">
        <f t="shared" si="7"/>
        <v>0.56388888888888888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146</v>
      </c>
      <c r="E16" s="57" t="s">
        <v>245</v>
      </c>
      <c r="F16" s="33" t="s">
        <v>182</v>
      </c>
      <c r="G16" s="36">
        <v>1</v>
      </c>
      <c r="H16" s="38">
        <v>24</v>
      </c>
      <c r="I16" s="7">
        <v>6000</v>
      </c>
      <c r="J16" s="5">
        <v>3000</v>
      </c>
      <c r="K16" s="15">
        <f>L16+430+5436+2998</f>
        <v>8864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0.56388888888888888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133</v>
      </c>
      <c r="E17" s="57" t="s">
        <v>406</v>
      </c>
      <c r="F17" s="12" t="s">
        <v>407</v>
      </c>
      <c r="G17" s="12">
        <v>1</v>
      </c>
      <c r="H17" s="13">
        <v>24</v>
      </c>
      <c r="I17" s="34">
        <v>70000</v>
      </c>
      <c r="J17" s="14">
        <v>7383</v>
      </c>
      <c r="K17" s="15">
        <f>L17+5530+6591+6555+7009+6234+3454+6385+6995</f>
        <v>56136</v>
      </c>
      <c r="L17" s="15">
        <f>3885+3498</f>
        <v>7383</v>
      </c>
      <c r="M17" s="16">
        <f t="shared" si="0"/>
        <v>7383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0.56388888888888888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231</v>
      </c>
      <c r="F18" s="12" t="s">
        <v>122</v>
      </c>
      <c r="G18" s="36">
        <v>1</v>
      </c>
      <c r="H18" s="38">
        <v>24</v>
      </c>
      <c r="I18" s="7">
        <v>70000</v>
      </c>
      <c r="J18" s="5">
        <v>6279</v>
      </c>
      <c r="K18" s="15">
        <f>L18+3442+4857+6103+3605+5831+5901+4875</f>
        <v>40893</v>
      </c>
      <c r="L18" s="15">
        <f>3389+2890</f>
        <v>6279</v>
      </c>
      <c r="M18" s="16">
        <f t="shared" si="0"/>
        <v>6279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0.56388888888888888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482</v>
      </c>
      <c r="E19" s="57" t="s">
        <v>483</v>
      </c>
      <c r="F19" s="12" t="s">
        <v>284</v>
      </c>
      <c r="G19" s="36">
        <v>1</v>
      </c>
      <c r="H19" s="13">
        <v>24</v>
      </c>
      <c r="I19" s="7">
        <v>2000</v>
      </c>
      <c r="J19" s="14">
        <v>2084</v>
      </c>
      <c r="K19" s="15">
        <f>L19+2084</f>
        <v>2084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0.56388888888888888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464</v>
      </c>
      <c r="F20" s="12" t="s">
        <v>116</v>
      </c>
      <c r="G20" s="12">
        <v>4</v>
      </c>
      <c r="H20" s="38">
        <v>20</v>
      </c>
      <c r="I20" s="7">
        <v>300000</v>
      </c>
      <c r="J20" s="14">
        <v>43600</v>
      </c>
      <c r="K20" s="15">
        <f>L20+39648+30712+45256</f>
        <v>159216</v>
      </c>
      <c r="L20" s="15">
        <f>10900*4</f>
        <v>43600</v>
      </c>
      <c r="M20" s="16">
        <f t="shared" si="0"/>
        <v>43600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>
        <v>12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9">
        <f t="shared" si="7"/>
        <v>0.56388888888888888</v>
      </c>
      <c r="AF20" s="93">
        <f t="shared" si="8"/>
        <v>15</v>
      </c>
    </row>
    <row r="21" spans="1:32" ht="31.5" customHeight="1" thickBot="1">
      <c r="A21" s="444" t="s">
        <v>34</v>
      </c>
      <c r="B21" s="445"/>
      <c r="C21" s="445"/>
      <c r="D21" s="445"/>
      <c r="E21" s="445"/>
      <c r="F21" s="445"/>
      <c r="G21" s="445"/>
      <c r="H21" s="446"/>
      <c r="I21" s="25">
        <f t="shared" ref="I21:N21" si="9">SUM(I6:I20)</f>
        <v>695000</v>
      </c>
      <c r="J21" s="22">
        <f t="shared" si="9"/>
        <v>109631</v>
      </c>
      <c r="K21" s="23">
        <f t="shared" si="9"/>
        <v>445326</v>
      </c>
      <c r="L21" s="24">
        <f t="shared" si="9"/>
        <v>92991</v>
      </c>
      <c r="M21" s="23">
        <f t="shared" si="9"/>
        <v>92991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203</v>
      </c>
      <c r="Q21" s="46">
        <f t="shared" si="10"/>
        <v>157</v>
      </c>
      <c r="R21" s="26">
        <f t="shared" si="10"/>
        <v>24</v>
      </c>
      <c r="S21" s="27">
        <f t="shared" si="10"/>
        <v>6</v>
      </c>
      <c r="T21" s="27">
        <f t="shared" si="10"/>
        <v>7</v>
      </c>
      <c r="U21" s="27">
        <f t="shared" si="10"/>
        <v>0</v>
      </c>
      <c r="V21" s="28">
        <f t="shared" si="10"/>
        <v>12</v>
      </c>
      <c r="W21" s="29">
        <f t="shared" si="10"/>
        <v>108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0.66666666666666663</v>
      </c>
      <c r="AC21" s="4">
        <f>SUM(AC6:AC20)/15</f>
        <v>0.56388888888888888</v>
      </c>
      <c r="AD21" s="4">
        <f>SUM(AD6:AD20)/15</f>
        <v>0.56388888888888888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47" t="s">
        <v>45</v>
      </c>
      <c r="B48" s="447"/>
      <c r="C48" s="447"/>
      <c r="D48" s="447"/>
      <c r="E48" s="44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48" t="s">
        <v>499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50"/>
      <c r="N49" s="451" t="s">
        <v>502</v>
      </c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2"/>
      <c r="AA49" s="452"/>
      <c r="AB49" s="452"/>
      <c r="AC49" s="452"/>
      <c r="AD49" s="453"/>
    </row>
    <row r="50" spans="1:32" ht="27" customHeight="1">
      <c r="A50" s="454" t="s">
        <v>2</v>
      </c>
      <c r="B50" s="455"/>
      <c r="C50" s="361" t="s">
        <v>46</v>
      </c>
      <c r="D50" s="361" t="s">
        <v>47</v>
      </c>
      <c r="E50" s="361" t="s">
        <v>108</v>
      </c>
      <c r="F50" s="455" t="s">
        <v>107</v>
      </c>
      <c r="G50" s="455"/>
      <c r="H50" s="455"/>
      <c r="I50" s="455"/>
      <c r="J50" s="455"/>
      <c r="K50" s="455"/>
      <c r="L50" s="455"/>
      <c r="M50" s="456"/>
      <c r="N50" s="73" t="s">
        <v>112</v>
      </c>
      <c r="O50" s="361" t="s">
        <v>46</v>
      </c>
      <c r="P50" s="457" t="s">
        <v>47</v>
      </c>
      <c r="Q50" s="458"/>
      <c r="R50" s="457" t="s">
        <v>38</v>
      </c>
      <c r="S50" s="459"/>
      <c r="T50" s="459"/>
      <c r="U50" s="458"/>
      <c r="V50" s="457" t="s">
        <v>48</v>
      </c>
      <c r="W50" s="459"/>
      <c r="X50" s="459"/>
      <c r="Y50" s="459"/>
      <c r="Z50" s="459"/>
      <c r="AA50" s="459"/>
      <c r="AB50" s="459"/>
      <c r="AC50" s="459"/>
      <c r="AD50" s="460"/>
    </row>
    <row r="51" spans="1:32" ht="27" customHeight="1">
      <c r="A51" s="430" t="s">
        <v>118</v>
      </c>
      <c r="B51" s="431"/>
      <c r="C51" s="363" t="s">
        <v>139</v>
      </c>
      <c r="D51" s="363" t="s">
        <v>121</v>
      </c>
      <c r="E51" s="363" t="s">
        <v>491</v>
      </c>
      <c r="F51" s="483" t="s">
        <v>119</v>
      </c>
      <c r="G51" s="484"/>
      <c r="H51" s="484"/>
      <c r="I51" s="484"/>
      <c r="J51" s="484"/>
      <c r="K51" s="484"/>
      <c r="L51" s="484"/>
      <c r="M51" s="485"/>
      <c r="N51" s="362" t="s">
        <v>126</v>
      </c>
      <c r="O51" s="124" t="s">
        <v>123</v>
      </c>
      <c r="P51" s="439" t="s">
        <v>120</v>
      </c>
      <c r="Q51" s="440"/>
      <c r="R51" s="431" t="s">
        <v>470</v>
      </c>
      <c r="S51" s="431"/>
      <c r="T51" s="431"/>
      <c r="U51" s="431"/>
      <c r="V51" s="422" t="s">
        <v>370</v>
      </c>
      <c r="W51" s="422"/>
      <c r="X51" s="422"/>
      <c r="Y51" s="422"/>
      <c r="Z51" s="422"/>
      <c r="AA51" s="422"/>
      <c r="AB51" s="422"/>
      <c r="AC51" s="422"/>
      <c r="AD51" s="432"/>
    </row>
    <row r="52" spans="1:32" ht="27" customHeight="1">
      <c r="A52" s="430" t="s">
        <v>118</v>
      </c>
      <c r="B52" s="431"/>
      <c r="C52" s="363" t="s">
        <v>301</v>
      </c>
      <c r="D52" s="363" t="s">
        <v>152</v>
      </c>
      <c r="E52" s="363" t="s">
        <v>187</v>
      </c>
      <c r="F52" s="483" t="s">
        <v>500</v>
      </c>
      <c r="G52" s="484"/>
      <c r="H52" s="484"/>
      <c r="I52" s="484"/>
      <c r="J52" s="484"/>
      <c r="K52" s="484"/>
      <c r="L52" s="484"/>
      <c r="M52" s="485"/>
      <c r="N52" s="362" t="s">
        <v>118</v>
      </c>
      <c r="O52" s="124" t="s">
        <v>125</v>
      </c>
      <c r="P52" s="439" t="s">
        <v>117</v>
      </c>
      <c r="Q52" s="440"/>
      <c r="R52" s="431" t="s">
        <v>135</v>
      </c>
      <c r="S52" s="431"/>
      <c r="T52" s="431"/>
      <c r="U52" s="431"/>
      <c r="V52" s="422" t="s">
        <v>119</v>
      </c>
      <c r="W52" s="422"/>
      <c r="X52" s="422"/>
      <c r="Y52" s="422"/>
      <c r="Z52" s="422"/>
      <c r="AA52" s="422"/>
      <c r="AB52" s="422"/>
      <c r="AC52" s="422"/>
      <c r="AD52" s="432"/>
    </row>
    <row r="53" spans="1:32" ht="27" customHeight="1">
      <c r="A53" s="430" t="s">
        <v>118</v>
      </c>
      <c r="B53" s="431"/>
      <c r="C53" s="363" t="s">
        <v>225</v>
      </c>
      <c r="D53" s="363" t="s">
        <v>120</v>
      </c>
      <c r="E53" s="363" t="s">
        <v>498</v>
      </c>
      <c r="F53" s="483" t="s">
        <v>119</v>
      </c>
      <c r="G53" s="484"/>
      <c r="H53" s="484"/>
      <c r="I53" s="484"/>
      <c r="J53" s="484"/>
      <c r="K53" s="484"/>
      <c r="L53" s="484"/>
      <c r="M53" s="485"/>
      <c r="N53" s="362" t="s">
        <v>126</v>
      </c>
      <c r="O53" s="124" t="s">
        <v>189</v>
      </c>
      <c r="P53" s="439" t="s">
        <v>133</v>
      </c>
      <c r="Q53" s="440"/>
      <c r="R53" s="431" t="s">
        <v>457</v>
      </c>
      <c r="S53" s="431"/>
      <c r="T53" s="431"/>
      <c r="U53" s="431"/>
      <c r="V53" s="422" t="s">
        <v>458</v>
      </c>
      <c r="W53" s="422"/>
      <c r="X53" s="422"/>
      <c r="Y53" s="422"/>
      <c r="Z53" s="422"/>
      <c r="AA53" s="422"/>
      <c r="AB53" s="422"/>
      <c r="AC53" s="422"/>
      <c r="AD53" s="432"/>
    </row>
    <row r="54" spans="1:32" ht="27" customHeight="1">
      <c r="A54" s="430" t="s">
        <v>118</v>
      </c>
      <c r="B54" s="431"/>
      <c r="C54" s="363" t="s">
        <v>125</v>
      </c>
      <c r="D54" s="363" t="s">
        <v>117</v>
      </c>
      <c r="E54" s="363" t="s">
        <v>492</v>
      </c>
      <c r="F54" s="483" t="s">
        <v>501</v>
      </c>
      <c r="G54" s="484"/>
      <c r="H54" s="484"/>
      <c r="I54" s="484"/>
      <c r="J54" s="484"/>
      <c r="K54" s="484"/>
      <c r="L54" s="484"/>
      <c r="M54" s="485"/>
      <c r="N54" s="362"/>
      <c r="O54" s="124"/>
      <c r="P54" s="439"/>
      <c r="Q54" s="440"/>
      <c r="R54" s="431"/>
      <c r="S54" s="431"/>
      <c r="T54" s="431"/>
      <c r="U54" s="431"/>
      <c r="V54" s="422"/>
      <c r="W54" s="422"/>
      <c r="X54" s="422"/>
      <c r="Y54" s="422"/>
      <c r="Z54" s="422"/>
      <c r="AA54" s="422"/>
      <c r="AB54" s="422"/>
      <c r="AC54" s="422"/>
      <c r="AD54" s="432"/>
    </row>
    <row r="55" spans="1:32" ht="27" customHeight="1">
      <c r="A55" s="430"/>
      <c r="B55" s="431"/>
      <c r="C55" s="363"/>
      <c r="D55" s="363"/>
      <c r="E55" s="363"/>
      <c r="F55" s="483"/>
      <c r="G55" s="484"/>
      <c r="H55" s="484"/>
      <c r="I55" s="484"/>
      <c r="J55" s="484"/>
      <c r="K55" s="484"/>
      <c r="L55" s="484"/>
      <c r="M55" s="485"/>
      <c r="N55" s="362"/>
      <c r="O55" s="124"/>
      <c r="P55" s="431"/>
      <c r="Q55" s="431"/>
      <c r="R55" s="431"/>
      <c r="S55" s="431"/>
      <c r="T55" s="431"/>
      <c r="U55" s="431"/>
      <c r="V55" s="422"/>
      <c r="W55" s="422"/>
      <c r="X55" s="422"/>
      <c r="Y55" s="422"/>
      <c r="Z55" s="422"/>
      <c r="AA55" s="422"/>
      <c r="AB55" s="422"/>
      <c r="AC55" s="422"/>
      <c r="AD55" s="432"/>
    </row>
    <row r="56" spans="1:32" ht="27" customHeight="1">
      <c r="A56" s="430"/>
      <c r="B56" s="431"/>
      <c r="C56" s="363"/>
      <c r="D56" s="363"/>
      <c r="E56" s="363"/>
      <c r="F56" s="483"/>
      <c r="G56" s="484"/>
      <c r="H56" s="484"/>
      <c r="I56" s="484"/>
      <c r="J56" s="484"/>
      <c r="K56" s="484"/>
      <c r="L56" s="484"/>
      <c r="M56" s="485"/>
      <c r="N56" s="362"/>
      <c r="O56" s="124"/>
      <c r="P56" s="439"/>
      <c r="Q56" s="440"/>
      <c r="R56" s="431"/>
      <c r="S56" s="431"/>
      <c r="T56" s="431"/>
      <c r="U56" s="431"/>
      <c r="V56" s="422"/>
      <c r="W56" s="422"/>
      <c r="X56" s="422"/>
      <c r="Y56" s="422"/>
      <c r="Z56" s="422"/>
      <c r="AA56" s="422"/>
      <c r="AB56" s="422"/>
      <c r="AC56" s="422"/>
      <c r="AD56" s="432"/>
    </row>
    <row r="57" spans="1:32" ht="27" customHeight="1">
      <c r="A57" s="430"/>
      <c r="B57" s="431"/>
      <c r="C57" s="363"/>
      <c r="D57" s="363"/>
      <c r="E57" s="363"/>
      <c r="F57" s="422"/>
      <c r="G57" s="422"/>
      <c r="H57" s="422"/>
      <c r="I57" s="422"/>
      <c r="J57" s="422"/>
      <c r="K57" s="422"/>
      <c r="L57" s="422"/>
      <c r="M57" s="432"/>
      <c r="N57" s="362"/>
      <c r="O57" s="124"/>
      <c r="P57" s="439"/>
      <c r="Q57" s="440"/>
      <c r="R57" s="431"/>
      <c r="S57" s="431"/>
      <c r="T57" s="431"/>
      <c r="U57" s="431"/>
      <c r="V57" s="422"/>
      <c r="W57" s="422"/>
      <c r="X57" s="422"/>
      <c r="Y57" s="422"/>
      <c r="Z57" s="422"/>
      <c r="AA57" s="422"/>
      <c r="AB57" s="422"/>
      <c r="AC57" s="422"/>
      <c r="AD57" s="432"/>
    </row>
    <row r="58" spans="1:32" ht="27" customHeight="1">
      <c r="A58" s="430"/>
      <c r="B58" s="431"/>
      <c r="C58" s="363"/>
      <c r="D58" s="363"/>
      <c r="E58" s="363"/>
      <c r="F58" s="422"/>
      <c r="G58" s="422"/>
      <c r="H58" s="422"/>
      <c r="I58" s="422"/>
      <c r="J58" s="422"/>
      <c r="K58" s="422"/>
      <c r="L58" s="422"/>
      <c r="M58" s="432"/>
      <c r="N58" s="362"/>
      <c r="O58" s="124"/>
      <c r="P58" s="439"/>
      <c r="Q58" s="440"/>
      <c r="R58" s="431"/>
      <c r="S58" s="431"/>
      <c r="T58" s="431"/>
      <c r="U58" s="431"/>
      <c r="V58" s="422"/>
      <c r="W58" s="422"/>
      <c r="X58" s="422"/>
      <c r="Y58" s="422"/>
      <c r="Z58" s="422"/>
      <c r="AA58" s="422"/>
      <c r="AB58" s="422"/>
      <c r="AC58" s="422"/>
      <c r="AD58" s="432"/>
    </row>
    <row r="59" spans="1:32" ht="27" customHeight="1">
      <c r="A59" s="430"/>
      <c r="B59" s="431"/>
      <c r="C59" s="363"/>
      <c r="D59" s="363"/>
      <c r="E59" s="363"/>
      <c r="F59" s="422"/>
      <c r="G59" s="422"/>
      <c r="H59" s="422"/>
      <c r="I59" s="422"/>
      <c r="J59" s="422"/>
      <c r="K59" s="422"/>
      <c r="L59" s="422"/>
      <c r="M59" s="432"/>
      <c r="N59" s="362"/>
      <c r="O59" s="124"/>
      <c r="P59" s="431"/>
      <c r="Q59" s="431"/>
      <c r="R59" s="431"/>
      <c r="S59" s="431"/>
      <c r="T59" s="431"/>
      <c r="U59" s="431"/>
      <c r="V59" s="422"/>
      <c r="W59" s="422"/>
      <c r="X59" s="422"/>
      <c r="Y59" s="422"/>
      <c r="Z59" s="422"/>
      <c r="AA59" s="422"/>
      <c r="AB59" s="422"/>
      <c r="AC59" s="422"/>
      <c r="AD59" s="432"/>
      <c r="AF59" s="93">
        <f>8*3000</f>
        <v>24000</v>
      </c>
    </row>
    <row r="60" spans="1:32" ht="27" customHeight="1" thickBot="1">
      <c r="A60" s="433"/>
      <c r="B60" s="434"/>
      <c r="C60" s="365"/>
      <c r="D60" s="365"/>
      <c r="E60" s="365"/>
      <c r="F60" s="435"/>
      <c r="G60" s="435"/>
      <c r="H60" s="435"/>
      <c r="I60" s="435"/>
      <c r="J60" s="435"/>
      <c r="K60" s="435"/>
      <c r="L60" s="435"/>
      <c r="M60" s="436"/>
      <c r="N60" s="364"/>
      <c r="O60" s="120"/>
      <c r="P60" s="434"/>
      <c r="Q60" s="434"/>
      <c r="R60" s="434"/>
      <c r="S60" s="434"/>
      <c r="T60" s="434"/>
      <c r="U60" s="434"/>
      <c r="V60" s="437"/>
      <c r="W60" s="437"/>
      <c r="X60" s="437"/>
      <c r="Y60" s="437"/>
      <c r="Z60" s="437"/>
      <c r="AA60" s="437"/>
      <c r="AB60" s="437"/>
      <c r="AC60" s="437"/>
      <c r="AD60" s="438"/>
      <c r="AF60" s="93">
        <f>16*3000</f>
        <v>48000</v>
      </c>
    </row>
    <row r="61" spans="1:32" ht="27.75" thickBot="1">
      <c r="A61" s="428" t="s">
        <v>503</v>
      </c>
      <c r="B61" s="428"/>
      <c r="C61" s="428"/>
      <c r="D61" s="428"/>
      <c r="E61" s="428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29" t="s">
        <v>113</v>
      </c>
      <c r="B62" s="426"/>
      <c r="C62" s="366" t="s">
        <v>2</v>
      </c>
      <c r="D62" s="366" t="s">
        <v>37</v>
      </c>
      <c r="E62" s="366" t="s">
        <v>3</v>
      </c>
      <c r="F62" s="426" t="s">
        <v>110</v>
      </c>
      <c r="G62" s="426"/>
      <c r="H62" s="426"/>
      <c r="I62" s="426"/>
      <c r="J62" s="426"/>
      <c r="K62" s="426" t="s">
        <v>39</v>
      </c>
      <c r="L62" s="426"/>
      <c r="M62" s="366" t="s">
        <v>40</v>
      </c>
      <c r="N62" s="426" t="s">
        <v>41</v>
      </c>
      <c r="O62" s="426"/>
      <c r="P62" s="423" t="s">
        <v>42</v>
      </c>
      <c r="Q62" s="425"/>
      <c r="R62" s="423" t="s">
        <v>43</v>
      </c>
      <c r="S62" s="424"/>
      <c r="T62" s="424"/>
      <c r="U62" s="424"/>
      <c r="V62" s="424"/>
      <c r="W62" s="424"/>
      <c r="X62" s="424"/>
      <c r="Y62" s="424"/>
      <c r="Z62" s="424"/>
      <c r="AA62" s="425"/>
      <c r="AB62" s="426" t="s">
        <v>44</v>
      </c>
      <c r="AC62" s="426"/>
      <c r="AD62" s="427"/>
      <c r="AF62" s="93">
        <f>SUM(AF59:AF61)</f>
        <v>96000</v>
      </c>
    </row>
    <row r="63" spans="1:32" ht="25.5" customHeight="1">
      <c r="A63" s="418">
        <v>1</v>
      </c>
      <c r="B63" s="419"/>
      <c r="C63" s="123" t="s">
        <v>114</v>
      </c>
      <c r="D63" s="369"/>
      <c r="E63" s="367" t="s">
        <v>203</v>
      </c>
      <c r="F63" s="420" t="s">
        <v>504</v>
      </c>
      <c r="G63" s="412"/>
      <c r="H63" s="412"/>
      <c r="I63" s="412"/>
      <c r="J63" s="412"/>
      <c r="K63" s="412">
        <v>8301</v>
      </c>
      <c r="L63" s="412"/>
      <c r="M63" s="54" t="s">
        <v>192</v>
      </c>
      <c r="N63" s="412">
        <v>6</v>
      </c>
      <c r="O63" s="412"/>
      <c r="P63" s="421">
        <v>400</v>
      </c>
      <c r="Q63" s="421"/>
      <c r="R63" s="422"/>
      <c r="S63" s="422"/>
      <c r="T63" s="422"/>
      <c r="U63" s="422"/>
      <c r="V63" s="422"/>
      <c r="W63" s="422"/>
      <c r="X63" s="422"/>
      <c r="Y63" s="422"/>
      <c r="Z63" s="422"/>
      <c r="AA63" s="422"/>
      <c r="AB63" s="412"/>
      <c r="AC63" s="412"/>
      <c r="AD63" s="413"/>
      <c r="AF63" s="53"/>
    </row>
    <row r="64" spans="1:32" ht="25.5" customHeight="1">
      <c r="A64" s="418">
        <v>2</v>
      </c>
      <c r="B64" s="419"/>
      <c r="C64" s="123"/>
      <c r="D64" s="369"/>
      <c r="E64" s="367"/>
      <c r="F64" s="420"/>
      <c r="G64" s="412"/>
      <c r="H64" s="412"/>
      <c r="I64" s="412"/>
      <c r="J64" s="412"/>
      <c r="K64" s="412"/>
      <c r="L64" s="412"/>
      <c r="M64" s="54"/>
      <c r="N64" s="412"/>
      <c r="O64" s="412"/>
      <c r="P64" s="421"/>
      <c r="Q64" s="421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12"/>
      <c r="AC64" s="412"/>
      <c r="AD64" s="413"/>
      <c r="AF64" s="53"/>
    </row>
    <row r="65" spans="1:32" ht="25.5" customHeight="1">
      <c r="A65" s="418">
        <v>3</v>
      </c>
      <c r="B65" s="419"/>
      <c r="C65" s="123"/>
      <c r="D65" s="369"/>
      <c r="E65" s="367"/>
      <c r="F65" s="420"/>
      <c r="G65" s="412"/>
      <c r="H65" s="412"/>
      <c r="I65" s="412"/>
      <c r="J65" s="412"/>
      <c r="K65" s="412"/>
      <c r="L65" s="412"/>
      <c r="M65" s="54"/>
      <c r="N65" s="412"/>
      <c r="O65" s="412"/>
      <c r="P65" s="421"/>
      <c r="Q65" s="421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12"/>
      <c r="AC65" s="412"/>
      <c r="AD65" s="413"/>
      <c r="AF65" s="53"/>
    </row>
    <row r="66" spans="1:32" ht="25.5" customHeight="1">
      <c r="A66" s="418">
        <v>4</v>
      </c>
      <c r="B66" s="419"/>
      <c r="C66" s="123"/>
      <c r="D66" s="369"/>
      <c r="E66" s="367"/>
      <c r="F66" s="420"/>
      <c r="G66" s="412"/>
      <c r="H66" s="412"/>
      <c r="I66" s="412"/>
      <c r="J66" s="412"/>
      <c r="K66" s="412"/>
      <c r="L66" s="412"/>
      <c r="M66" s="54"/>
      <c r="N66" s="412"/>
      <c r="O66" s="412"/>
      <c r="P66" s="421"/>
      <c r="Q66" s="421"/>
      <c r="R66" s="422"/>
      <c r="S66" s="422"/>
      <c r="T66" s="422"/>
      <c r="U66" s="422"/>
      <c r="V66" s="422"/>
      <c r="W66" s="422"/>
      <c r="X66" s="422"/>
      <c r="Y66" s="422"/>
      <c r="Z66" s="422"/>
      <c r="AA66" s="422"/>
      <c r="AB66" s="412"/>
      <c r="AC66" s="412"/>
      <c r="AD66" s="413"/>
      <c r="AF66" s="53"/>
    </row>
    <row r="67" spans="1:32" ht="25.5" customHeight="1">
      <c r="A67" s="418">
        <v>5</v>
      </c>
      <c r="B67" s="419"/>
      <c r="C67" s="123"/>
      <c r="D67" s="369"/>
      <c r="E67" s="367"/>
      <c r="F67" s="420"/>
      <c r="G67" s="412"/>
      <c r="H67" s="412"/>
      <c r="I67" s="412"/>
      <c r="J67" s="412"/>
      <c r="K67" s="412"/>
      <c r="L67" s="412"/>
      <c r="M67" s="54"/>
      <c r="N67" s="412"/>
      <c r="O67" s="412"/>
      <c r="P67" s="421"/>
      <c r="Q67" s="421"/>
      <c r="R67" s="422"/>
      <c r="S67" s="422"/>
      <c r="T67" s="422"/>
      <c r="U67" s="422"/>
      <c r="V67" s="422"/>
      <c r="W67" s="422"/>
      <c r="X67" s="422"/>
      <c r="Y67" s="422"/>
      <c r="Z67" s="422"/>
      <c r="AA67" s="422"/>
      <c r="AB67" s="412"/>
      <c r="AC67" s="412"/>
      <c r="AD67" s="413"/>
      <c r="AF67" s="53"/>
    </row>
    <row r="68" spans="1:32" ht="25.5" customHeight="1">
      <c r="A68" s="418">
        <v>6</v>
      </c>
      <c r="B68" s="419"/>
      <c r="C68" s="123"/>
      <c r="D68" s="369"/>
      <c r="E68" s="367"/>
      <c r="F68" s="420"/>
      <c r="G68" s="412"/>
      <c r="H68" s="412"/>
      <c r="I68" s="412"/>
      <c r="J68" s="412"/>
      <c r="K68" s="412"/>
      <c r="L68" s="412"/>
      <c r="M68" s="54"/>
      <c r="N68" s="412"/>
      <c r="O68" s="412"/>
      <c r="P68" s="421"/>
      <c r="Q68" s="421"/>
      <c r="R68" s="422"/>
      <c r="S68" s="422"/>
      <c r="T68" s="422"/>
      <c r="U68" s="422"/>
      <c r="V68" s="422"/>
      <c r="W68" s="422"/>
      <c r="X68" s="422"/>
      <c r="Y68" s="422"/>
      <c r="Z68" s="422"/>
      <c r="AA68" s="422"/>
      <c r="AB68" s="412"/>
      <c r="AC68" s="412"/>
      <c r="AD68" s="413"/>
      <c r="AF68" s="53"/>
    </row>
    <row r="69" spans="1:32" ht="25.5" customHeight="1">
      <c r="A69" s="418">
        <v>7</v>
      </c>
      <c r="B69" s="419"/>
      <c r="C69" s="123"/>
      <c r="D69" s="369"/>
      <c r="E69" s="367"/>
      <c r="F69" s="420"/>
      <c r="G69" s="412"/>
      <c r="H69" s="412"/>
      <c r="I69" s="412"/>
      <c r="J69" s="412"/>
      <c r="K69" s="412"/>
      <c r="L69" s="412"/>
      <c r="M69" s="54"/>
      <c r="N69" s="412"/>
      <c r="O69" s="412"/>
      <c r="P69" s="421"/>
      <c r="Q69" s="421"/>
      <c r="R69" s="422"/>
      <c r="S69" s="422"/>
      <c r="T69" s="422"/>
      <c r="U69" s="422"/>
      <c r="V69" s="422"/>
      <c r="W69" s="422"/>
      <c r="X69" s="422"/>
      <c r="Y69" s="422"/>
      <c r="Z69" s="422"/>
      <c r="AA69" s="422"/>
      <c r="AB69" s="412"/>
      <c r="AC69" s="412"/>
      <c r="AD69" s="413"/>
      <c r="AF69" s="53"/>
    </row>
    <row r="70" spans="1:32" ht="25.5" customHeight="1">
      <c r="A70" s="418">
        <v>8</v>
      </c>
      <c r="B70" s="419"/>
      <c r="C70" s="123"/>
      <c r="D70" s="369"/>
      <c r="E70" s="367"/>
      <c r="F70" s="420"/>
      <c r="G70" s="412"/>
      <c r="H70" s="412"/>
      <c r="I70" s="412"/>
      <c r="J70" s="412"/>
      <c r="K70" s="412"/>
      <c r="L70" s="412"/>
      <c r="M70" s="54"/>
      <c r="N70" s="412"/>
      <c r="O70" s="412"/>
      <c r="P70" s="421"/>
      <c r="Q70" s="421"/>
      <c r="R70" s="422"/>
      <c r="S70" s="422"/>
      <c r="T70" s="422"/>
      <c r="U70" s="422"/>
      <c r="V70" s="422"/>
      <c r="W70" s="422"/>
      <c r="X70" s="422"/>
      <c r="Y70" s="422"/>
      <c r="Z70" s="422"/>
      <c r="AA70" s="422"/>
      <c r="AB70" s="412"/>
      <c r="AC70" s="412"/>
      <c r="AD70" s="413"/>
      <c r="AF70" s="53"/>
    </row>
    <row r="71" spans="1:32" ht="26.25" customHeight="1" thickBot="1">
      <c r="A71" s="392" t="s">
        <v>505</v>
      </c>
      <c r="B71" s="392"/>
      <c r="C71" s="392"/>
      <c r="D71" s="392"/>
      <c r="E71" s="392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393" t="s">
        <v>113</v>
      </c>
      <c r="B72" s="394"/>
      <c r="C72" s="368" t="s">
        <v>2</v>
      </c>
      <c r="D72" s="368" t="s">
        <v>37</v>
      </c>
      <c r="E72" s="368" t="s">
        <v>3</v>
      </c>
      <c r="F72" s="394" t="s">
        <v>38</v>
      </c>
      <c r="G72" s="394"/>
      <c r="H72" s="394"/>
      <c r="I72" s="394"/>
      <c r="J72" s="394"/>
      <c r="K72" s="414" t="s">
        <v>58</v>
      </c>
      <c r="L72" s="415"/>
      <c r="M72" s="415"/>
      <c r="N72" s="415"/>
      <c r="O72" s="415"/>
      <c r="P72" s="415"/>
      <c r="Q72" s="415"/>
      <c r="R72" s="415"/>
      <c r="S72" s="416"/>
      <c r="T72" s="394" t="s">
        <v>49</v>
      </c>
      <c r="U72" s="394"/>
      <c r="V72" s="414" t="s">
        <v>50</v>
      </c>
      <c r="W72" s="416"/>
      <c r="X72" s="415" t="s">
        <v>51</v>
      </c>
      <c r="Y72" s="415"/>
      <c r="Z72" s="415"/>
      <c r="AA72" s="415"/>
      <c r="AB72" s="415"/>
      <c r="AC72" s="415"/>
      <c r="AD72" s="417"/>
      <c r="AF72" s="53"/>
    </row>
    <row r="73" spans="1:32" ht="33.75" customHeight="1">
      <c r="A73" s="386">
        <v>1</v>
      </c>
      <c r="B73" s="387"/>
      <c r="C73" s="370" t="s">
        <v>114</v>
      </c>
      <c r="D73" s="370"/>
      <c r="E73" s="71" t="s">
        <v>149</v>
      </c>
      <c r="F73" s="401" t="s">
        <v>147</v>
      </c>
      <c r="G73" s="402"/>
      <c r="H73" s="402"/>
      <c r="I73" s="402"/>
      <c r="J73" s="403"/>
      <c r="K73" s="404" t="s">
        <v>153</v>
      </c>
      <c r="L73" s="405"/>
      <c r="M73" s="405"/>
      <c r="N73" s="405"/>
      <c r="O73" s="405"/>
      <c r="P73" s="405"/>
      <c r="Q73" s="405"/>
      <c r="R73" s="405"/>
      <c r="S73" s="406"/>
      <c r="T73" s="407">
        <v>43384</v>
      </c>
      <c r="U73" s="408"/>
      <c r="V73" s="409"/>
      <c r="W73" s="409"/>
      <c r="X73" s="410"/>
      <c r="Y73" s="410"/>
      <c r="Z73" s="410"/>
      <c r="AA73" s="410"/>
      <c r="AB73" s="410"/>
      <c r="AC73" s="410"/>
      <c r="AD73" s="411"/>
      <c r="AF73" s="53"/>
    </row>
    <row r="74" spans="1:32" ht="30" customHeight="1">
      <c r="A74" s="379">
        <f>A73+1</f>
        <v>2</v>
      </c>
      <c r="B74" s="380"/>
      <c r="C74" s="369"/>
      <c r="D74" s="369"/>
      <c r="E74" s="35"/>
      <c r="F74" s="380"/>
      <c r="G74" s="380"/>
      <c r="H74" s="380"/>
      <c r="I74" s="380"/>
      <c r="J74" s="380"/>
      <c r="K74" s="395"/>
      <c r="L74" s="396"/>
      <c r="M74" s="396"/>
      <c r="N74" s="396"/>
      <c r="O74" s="396"/>
      <c r="P74" s="396"/>
      <c r="Q74" s="396"/>
      <c r="R74" s="396"/>
      <c r="S74" s="397"/>
      <c r="T74" s="398"/>
      <c r="U74" s="398"/>
      <c r="V74" s="398"/>
      <c r="W74" s="398"/>
      <c r="X74" s="399"/>
      <c r="Y74" s="399"/>
      <c r="Z74" s="399"/>
      <c r="AA74" s="399"/>
      <c r="AB74" s="399"/>
      <c r="AC74" s="399"/>
      <c r="AD74" s="400"/>
      <c r="AF74" s="53"/>
    </row>
    <row r="75" spans="1:32" ht="30" customHeight="1">
      <c r="A75" s="379">
        <f t="shared" ref="A75:A81" si="11">A74+1</f>
        <v>3</v>
      </c>
      <c r="B75" s="380"/>
      <c r="C75" s="369"/>
      <c r="D75" s="369"/>
      <c r="E75" s="35"/>
      <c r="F75" s="380"/>
      <c r="G75" s="380"/>
      <c r="H75" s="380"/>
      <c r="I75" s="380"/>
      <c r="J75" s="380"/>
      <c r="K75" s="395"/>
      <c r="L75" s="396"/>
      <c r="M75" s="396"/>
      <c r="N75" s="396"/>
      <c r="O75" s="396"/>
      <c r="P75" s="396"/>
      <c r="Q75" s="396"/>
      <c r="R75" s="396"/>
      <c r="S75" s="397"/>
      <c r="T75" s="398"/>
      <c r="U75" s="398"/>
      <c r="V75" s="398"/>
      <c r="W75" s="398"/>
      <c r="X75" s="399"/>
      <c r="Y75" s="399"/>
      <c r="Z75" s="399"/>
      <c r="AA75" s="399"/>
      <c r="AB75" s="399"/>
      <c r="AC75" s="399"/>
      <c r="AD75" s="400"/>
      <c r="AF75" s="53"/>
    </row>
    <row r="76" spans="1:32" ht="30" customHeight="1">
      <c r="A76" s="379">
        <f t="shared" si="11"/>
        <v>4</v>
      </c>
      <c r="B76" s="380"/>
      <c r="C76" s="369"/>
      <c r="D76" s="369"/>
      <c r="E76" s="35"/>
      <c r="F76" s="380"/>
      <c r="G76" s="380"/>
      <c r="H76" s="380"/>
      <c r="I76" s="380"/>
      <c r="J76" s="380"/>
      <c r="K76" s="395"/>
      <c r="L76" s="396"/>
      <c r="M76" s="396"/>
      <c r="N76" s="396"/>
      <c r="O76" s="396"/>
      <c r="P76" s="396"/>
      <c r="Q76" s="396"/>
      <c r="R76" s="396"/>
      <c r="S76" s="397"/>
      <c r="T76" s="398"/>
      <c r="U76" s="398"/>
      <c r="V76" s="398"/>
      <c r="W76" s="398"/>
      <c r="X76" s="399"/>
      <c r="Y76" s="399"/>
      <c r="Z76" s="399"/>
      <c r="AA76" s="399"/>
      <c r="AB76" s="399"/>
      <c r="AC76" s="399"/>
      <c r="AD76" s="400"/>
      <c r="AF76" s="53"/>
    </row>
    <row r="77" spans="1:32" ht="30" customHeight="1">
      <c r="A77" s="379">
        <f t="shared" si="11"/>
        <v>5</v>
      </c>
      <c r="B77" s="380"/>
      <c r="C77" s="369"/>
      <c r="D77" s="369"/>
      <c r="E77" s="35"/>
      <c r="F77" s="380"/>
      <c r="G77" s="380"/>
      <c r="H77" s="380"/>
      <c r="I77" s="380"/>
      <c r="J77" s="380"/>
      <c r="K77" s="395"/>
      <c r="L77" s="396"/>
      <c r="M77" s="396"/>
      <c r="N77" s="396"/>
      <c r="O77" s="396"/>
      <c r="P77" s="396"/>
      <c r="Q77" s="396"/>
      <c r="R77" s="396"/>
      <c r="S77" s="397"/>
      <c r="T77" s="398"/>
      <c r="U77" s="398"/>
      <c r="V77" s="398"/>
      <c r="W77" s="398"/>
      <c r="X77" s="399"/>
      <c r="Y77" s="399"/>
      <c r="Z77" s="399"/>
      <c r="AA77" s="399"/>
      <c r="AB77" s="399"/>
      <c r="AC77" s="399"/>
      <c r="AD77" s="400"/>
      <c r="AF77" s="53"/>
    </row>
    <row r="78" spans="1:32" ht="30" customHeight="1">
      <c r="A78" s="379">
        <f t="shared" si="11"/>
        <v>6</v>
      </c>
      <c r="B78" s="380"/>
      <c r="C78" s="369"/>
      <c r="D78" s="369"/>
      <c r="E78" s="35"/>
      <c r="F78" s="380"/>
      <c r="G78" s="380"/>
      <c r="H78" s="380"/>
      <c r="I78" s="380"/>
      <c r="J78" s="380"/>
      <c r="K78" s="395"/>
      <c r="L78" s="396"/>
      <c r="M78" s="396"/>
      <c r="N78" s="396"/>
      <c r="O78" s="396"/>
      <c r="P78" s="396"/>
      <c r="Q78" s="396"/>
      <c r="R78" s="396"/>
      <c r="S78" s="397"/>
      <c r="T78" s="398"/>
      <c r="U78" s="398"/>
      <c r="V78" s="398"/>
      <c r="W78" s="398"/>
      <c r="X78" s="399"/>
      <c r="Y78" s="399"/>
      <c r="Z78" s="399"/>
      <c r="AA78" s="399"/>
      <c r="AB78" s="399"/>
      <c r="AC78" s="399"/>
      <c r="AD78" s="400"/>
      <c r="AF78" s="53"/>
    </row>
    <row r="79" spans="1:32" ht="30" customHeight="1">
      <c r="A79" s="379">
        <f t="shared" si="11"/>
        <v>7</v>
      </c>
      <c r="B79" s="380"/>
      <c r="C79" s="369"/>
      <c r="D79" s="369"/>
      <c r="E79" s="35"/>
      <c r="F79" s="380"/>
      <c r="G79" s="380"/>
      <c r="H79" s="380"/>
      <c r="I79" s="380"/>
      <c r="J79" s="380"/>
      <c r="K79" s="395"/>
      <c r="L79" s="396"/>
      <c r="M79" s="396"/>
      <c r="N79" s="396"/>
      <c r="O79" s="396"/>
      <c r="P79" s="396"/>
      <c r="Q79" s="396"/>
      <c r="R79" s="396"/>
      <c r="S79" s="397"/>
      <c r="T79" s="398"/>
      <c r="U79" s="398"/>
      <c r="V79" s="398"/>
      <c r="W79" s="398"/>
      <c r="X79" s="399"/>
      <c r="Y79" s="399"/>
      <c r="Z79" s="399"/>
      <c r="AA79" s="399"/>
      <c r="AB79" s="399"/>
      <c r="AC79" s="399"/>
      <c r="AD79" s="400"/>
      <c r="AF79" s="53"/>
    </row>
    <row r="80" spans="1:32" ht="30" customHeight="1">
      <c r="A80" s="379">
        <f t="shared" si="11"/>
        <v>8</v>
      </c>
      <c r="B80" s="380"/>
      <c r="C80" s="369"/>
      <c r="D80" s="369"/>
      <c r="E80" s="35"/>
      <c r="F80" s="380"/>
      <c r="G80" s="380"/>
      <c r="H80" s="380"/>
      <c r="I80" s="380"/>
      <c r="J80" s="380"/>
      <c r="K80" s="395"/>
      <c r="L80" s="396"/>
      <c r="M80" s="396"/>
      <c r="N80" s="396"/>
      <c r="O80" s="396"/>
      <c r="P80" s="396"/>
      <c r="Q80" s="396"/>
      <c r="R80" s="396"/>
      <c r="S80" s="397"/>
      <c r="T80" s="398"/>
      <c r="U80" s="398"/>
      <c r="V80" s="398"/>
      <c r="W80" s="398"/>
      <c r="X80" s="399"/>
      <c r="Y80" s="399"/>
      <c r="Z80" s="399"/>
      <c r="AA80" s="399"/>
      <c r="AB80" s="399"/>
      <c r="AC80" s="399"/>
      <c r="AD80" s="400"/>
      <c r="AF80" s="53"/>
    </row>
    <row r="81" spans="1:32" ht="30" customHeight="1">
      <c r="A81" s="379">
        <f t="shared" si="11"/>
        <v>9</v>
      </c>
      <c r="B81" s="380"/>
      <c r="C81" s="369"/>
      <c r="D81" s="369"/>
      <c r="E81" s="35"/>
      <c r="F81" s="380"/>
      <c r="G81" s="380"/>
      <c r="H81" s="380"/>
      <c r="I81" s="380"/>
      <c r="J81" s="380"/>
      <c r="K81" s="395"/>
      <c r="L81" s="396"/>
      <c r="M81" s="396"/>
      <c r="N81" s="396"/>
      <c r="O81" s="396"/>
      <c r="P81" s="396"/>
      <c r="Q81" s="396"/>
      <c r="R81" s="396"/>
      <c r="S81" s="397"/>
      <c r="T81" s="398"/>
      <c r="U81" s="398"/>
      <c r="V81" s="398"/>
      <c r="W81" s="398"/>
      <c r="X81" s="399"/>
      <c r="Y81" s="399"/>
      <c r="Z81" s="399"/>
      <c r="AA81" s="399"/>
      <c r="AB81" s="399"/>
      <c r="AC81" s="399"/>
      <c r="AD81" s="400"/>
      <c r="AF81" s="53"/>
    </row>
    <row r="82" spans="1:32" ht="36" thickBot="1">
      <c r="A82" s="392" t="s">
        <v>506</v>
      </c>
      <c r="B82" s="392"/>
      <c r="C82" s="392"/>
      <c r="D82" s="392"/>
      <c r="E82" s="392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393" t="s">
        <v>113</v>
      </c>
      <c r="B83" s="394"/>
      <c r="C83" s="384" t="s">
        <v>52</v>
      </c>
      <c r="D83" s="384"/>
      <c r="E83" s="384" t="s">
        <v>53</v>
      </c>
      <c r="F83" s="384"/>
      <c r="G83" s="384"/>
      <c r="H83" s="384"/>
      <c r="I83" s="384"/>
      <c r="J83" s="384"/>
      <c r="K83" s="384" t="s">
        <v>54</v>
      </c>
      <c r="L83" s="384"/>
      <c r="M83" s="384"/>
      <c r="N83" s="384"/>
      <c r="O83" s="384"/>
      <c r="P83" s="384"/>
      <c r="Q83" s="384"/>
      <c r="R83" s="384"/>
      <c r="S83" s="384"/>
      <c r="T83" s="384" t="s">
        <v>55</v>
      </c>
      <c r="U83" s="384"/>
      <c r="V83" s="384" t="s">
        <v>56</v>
      </c>
      <c r="W83" s="384"/>
      <c r="X83" s="384"/>
      <c r="Y83" s="384" t="s">
        <v>51</v>
      </c>
      <c r="Z83" s="384"/>
      <c r="AA83" s="384"/>
      <c r="AB83" s="384"/>
      <c r="AC83" s="384"/>
      <c r="AD83" s="385"/>
      <c r="AF83" s="53"/>
    </row>
    <row r="84" spans="1:32" ht="30.75" customHeight="1">
      <c r="A84" s="386">
        <v>1</v>
      </c>
      <c r="B84" s="387"/>
      <c r="C84" s="388"/>
      <c r="D84" s="388"/>
      <c r="E84" s="388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9"/>
      <c r="W84" s="389"/>
      <c r="X84" s="389"/>
      <c r="Y84" s="390"/>
      <c r="Z84" s="390"/>
      <c r="AA84" s="390"/>
      <c r="AB84" s="390"/>
      <c r="AC84" s="390"/>
      <c r="AD84" s="391"/>
      <c r="AF84" s="53"/>
    </row>
    <row r="85" spans="1:32" ht="30.75" customHeight="1">
      <c r="A85" s="379">
        <v>2</v>
      </c>
      <c r="B85" s="380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2"/>
      <c r="U85" s="382"/>
      <c r="V85" s="383"/>
      <c r="W85" s="383"/>
      <c r="X85" s="383"/>
      <c r="Y85" s="372"/>
      <c r="Z85" s="372"/>
      <c r="AA85" s="372"/>
      <c r="AB85" s="372"/>
      <c r="AC85" s="372"/>
      <c r="AD85" s="373"/>
      <c r="AF85" s="53"/>
    </row>
    <row r="86" spans="1:32" ht="30.75" customHeight="1" thickBot="1">
      <c r="A86" s="374">
        <v>3</v>
      </c>
      <c r="B86" s="375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7"/>
      <c r="Z86" s="377"/>
      <c r="AA86" s="377"/>
      <c r="AB86" s="377"/>
      <c r="AC86" s="377"/>
      <c r="AD86" s="37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23</vt:i4>
      </vt:variant>
    </vt:vector>
  </HeadingPairs>
  <TitlesOfParts>
    <vt:vector size="47" baseType="lpstr">
      <vt:lpstr>총괄</vt:lpstr>
      <vt:lpstr>01</vt:lpstr>
      <vt:lpstr>02</vt:lpstr>
      <vt:lpstr>05</vt:lpstr>
      <vt:lpstr>06</vt:lpstr>
      <vt:lpstr>07</vt:lpstr>
      <vt:lpstr>08</vt:lpstr>
      <vt:lpstr>09</vt:lpstr>
      <vt:lpstr>12</vt:lpstr>
      <vt:lpstr>13</vt:lpstr>
      <vt:lpstr>14</vt:lpstr>
      <vt:lpstr>15</vt:lpstr>
      <vt:lpstr>16</vt:lpstr>
      <vt:lpstr>19</vt:lpstr>
      <vt:lpstr>20</vt:lpstr>
      <vt:lpstr>21</vt:lpstr>
      <vt:lpstr>22</vt:lpstr>
      <vt:lpstr>23</vt:lpstr>
      <vt:lpstr>24</vt:lpstr>
      <vt:lpstr>26</vt:lpstr>
      <vt:lpstr>27</vt:lpstr>
      <vt:lpstr>28</vt:lpstr>
      <vt:lpstr>29</vt:lpstr>
      <vt:lpstr>30</vt:lpstr>
      <vt:lpstr>'01'!Print_Area</vt:lpstr>
      <vt:lpstr>'02'!Print_Area</vt:lpstr>
      <vt:lpstr>'05'!Print_Area</vt:lpstr>
      <vt:lpstr>'06'!Print_Area</vt:lpstr>
      <vt:lpstr>'07'!Print_Area</vt:lpstr>
      <vt:lpstr>'08'!Print_Area</vt:lpstr>
      <vt:lpstr>'09'!Print_Area</vt:lpstr>
      <vt:lpstr>'12'!Print_Area</vt:lpstr>
      <vt:lpstr>'13'!Print_Area</vt:lpstr>
      <vt:lpstr>'14'!Print_Area</vt:lpstr>
      <vt:lpstr>'15'!Print_Area</vt:lpstr>
      <vt:lpstr>'16'!Print_Area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'26'!Print_Area</vt:lpstr>
      <vt:lpstr>'27'!Print_Area</vt:lpstr>
      <vt:lpstr>'28'!Print_Area</vt:lpstr>
      <vt:lpstr>'29'!Print_Area</vt:lpstr>
      <vt:lpstr>'30'!Print_Area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2018-10-10T23:54:56Z</cp:lastPrinted>
  <dcterms:created xsi:type="dcterms:W3CDTF">2014-05-16T00:06:55Z</dcterms:created>
  <dcterms:modified xsi:type="dcterms:W3CDTF">2018-12-01T04:35:19Z</dcterms:modified>
</cp:coreProperties>
</file>