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480" yWindow="1350" windowWidth="14880" windowHeight="7245" activeTab="20"/>
  </bookViews>
  <sheets>
    <sheet name="총괄" sheetId="16" r:id="rId1"/>
    <sheet name="01" sheetId="1123" r:id="rId2"/>
    <sheet name="02" sheetId="1124" r:id="rId3"/>
    <sheet name="05" sheetId="1125" r:id="rId4"/>
    <sheet name="06" sheetId="1126" r:id="rId5"/>
    <sheet name="07" sheetId="1127" r:id="rId6"/>
    <sheet name="08" sheetId="1128" r:id="rId7"/>
    <sheet name="09" sheetId="1129" r:id="rId8"/>
    <sheet name="10" sheetId="1130" r:id="rId9"/>
    <sheet name="12" sheetId="1131" r:id="rId10"/>
    <sheet name="13" sheetId="1132" r:id="rId11"/>
    <sheet name="14" sheetId="1133" r:id="rId12"/>
    <sheet name="19" sheetId="1134" r:id="rId13"/>
    <sheet name="20" sheetId="1135" r:id="rId14"/>
    <sheet name="21" sheetId="1136" r:id="rId15"/>
    <sheet name="22" sheetId="1137" r:id="rId16"/>
    <sheet name="23" sheetId="1138" r:id="rId17"/>
    <sheet name="24" sheetId="1139" r:id="rId18"/>
    <sheet name="26" sheetId="1140" r:id="rId19"/>
    <sheet name="27" sheetId="1141" r:id="rId20"/>
    <sheet name="28" sheetId="1142" r:id="rId21"/>
  </sheets>
  <definedNames>
    <definedName name="_xlnm.Print_Area" localSheetId="1">'01'!$A$1:$AD$86</definedName>
    <definedName name="_xlnm.Print_Area" localSheetId="2">'02'!$A$1:$AD$86</definedName>
    <definedName name="_xlnm.Print_Area" localSheetId="3">'05'!$A$1:$AD$86</definedName>
    <definedName name="_xlnm.Print_Area" localSheetId="4">'06'!$A$1:$AD$86</definedName>
    <definedName name="_xlnm.Print_Area" localSheetId="5">'07'!$A$1:$AD$87</definedName>
    <definedName name="_xlnm.Print_Area" localSheetId="6">'08'!$A$1:$AD$86</definedName>
    <definedName name="_xlnm.Print_Area" localSheetId="7">'09'!$A$1:$AD$88</definedName>
    <definedName name="_xlnm.Print_Area" localSheetId="8">'10'!$A$1:$AD$86</definedName>
    <definedName name="_xlnm.Print_Area" localSheetId="9">'12'!$A$1:$AD$86</definedName>
    <definedName name="_xlnm.Print_Area" localSheetId="10">'13'!$A$1:$AD$87</definedName>
    <definedName name="_xlnm.Print_Area" localSheetId="11">'14'!$A$1:$AD$87</definedName>
    <definedName name="_xlnm.Print_Area" localSheetId="12">'19'!$A$1:$AD$86</definedName>
    <definedName name="_xlnm.Print_Area" localSheetId="13">'20'!$A$1:$AD$88</definedName>
    <definedName name="_xlnm.Print_Area" localSheetId="14">'21'!$A$1:$AD$86</definedName>
    <definedName name="_xlnm.Print_Area" localSheetId="15">'22'!$A$1:$AD$86</definedName>
    <definedName name="_xlnm.Print_Area" localSheetId="16">'23'!$A$1:$AD$87</definedName>
    <definedName name="_xlnm.Print_Area" localSheetId="17">'24'!$A$1:$AD$87</definedName>
    <definedName name="_xlnm.Print_Area" localSheetId="18">'26'!$A$1:$AD$86</definedName>
    <definedName name="_xlnm.Print_Area" localSheetId="19">'27'!$A$1:$AD$87</definedName>
    <definedName name="_xlnm.Print_Area" localSheetId="20">'28'!$A$1:$AD$86</definedName>
  </definedNames>
  <calcPr calcId="144525"/>
</workbook>
</file>

<file path=xl/calcChain.xml><?xml version="1.0" encoding="utf-8"?>
<calcChain xmlns="http://schemas.openxmlformats.org/spreadsheetml/2006/main">
  <c r="AC18" i="16" l="1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19" i="1142"/>
  <c r="K19" i="1142" s="1"/>
  <c r="L18" i="1142"/>
  <c r="K18" i="1142" s="1"/>
  <c r="L16" i="1142"/>
  <c r="K16" i="1142" s="1"/>
  <c r="L13" i="1142"/>
  <c r="K13" i="1142" s="1"/>
  <c r="L12" i="1142"/>
  <c r="K12" i="1142" s="1"/>
  <c r="L11" i="1142"/>
  <c r="K11" i="1142" s="1"/>
  <c r="L9" i="1142"/>
  <c r="K9" i="1142" s="1"/>
  <c r="K17" i="1142"/>
  <c r="K10" i="1142"/>
  <c r="K7" i="1142"/>
  <c r="K6" i="1142"/>
  <c r="A74" i="1142"/>
  <c r="A75" i="1142" s="1"/>
  <c r="A76" i="1142" s="1"/>
  <c r="A77" i="1142" s="1"/>
  <c r="A78" i="1142" s="1"/>
  <c r="A79" i="1142" s="1"/>
  <c r="A80" i="1142" s="1"/>
  <c r="A81" i="1142" s="1"/>
  <c r="AF60" i="1142"/>
  <c r="AF59" i="1142"/>
  <c r="AA21" i="1142"/>
  <c r="Z21" i="1142"/>
  <c r="Y21" i="1142"/>
  <c r="X21" i="1142"/>
  <c r="W21" i="1142"/>
  <c r="V21" i="1142"/>
  <c r="U21" i="1142"/>
  <c r="T21" i="1142"/>
  <c r="S21" i="1142"/>
  <c r="R21" i="1142"/>
  <c r="N21" i="1142"/>
  <c r="J21" i="1142"/>
  <c r="I21" i="1142"/>
  <c r="AF20" i="1142"/>
  <c r="AB20" i="1142"/>
  <c r="Q20" i="1142"/>
  <c r="P20" i="1142"/>
  <c r="AC20" i="1142" s="1"/>
  <c r="O20" i="1142"/>
  <c r="M20" i="1142"/>
  <c r="K20" i="1142"/>
  <c r="AF19" i="1142"/>
  <c r="Q19" i="1142"/>
  <c r="P19" i="1142" s="1"/>
  <c r="AC19" i="1142" s="1"/>
  <c r="O19" i="1142"/>
  <c r="M19" i="1142"/>
  <c r="AB19" i="1142"/>
  <c r="AF18" i="1142"/>
  <c r="AB18" i="1142"/>
  <c r="Q18" i="1142"/>
  <c r="P18" i="1142" s="1"/>
  <c r="AC18" i="1142" s="1"/>
  <c r="O18" i="1142"/>
  <c r="M18" i="1142"/>
  <c r="AF17" i="1142"/>
  <c r="Q17" i="1142"/>
  <c r="P17" i="1142"/>
  <c r="AC17" i="1142" s="1"/>
  <c r="AB17" i="1142"/>
  <c r="AF16" i="1142"/>
  <c r="AB16" i="1142"/>
  <c r="Q16" i="1142"/>
  <c r="P16" i="1142" s="1"/>
  <c r="AC16" i="1142" s="1"/>
  <c r="M16" i="1142"/>
  <c r="AF15" i="1142"/>
  <c r="AC15" i="1142"/>
  <c r="AB15" i="1142"/>
  <c r="Q15" i="1142"/>
  <c r="P15" i="1142"/>
  <c r="O15" i="1142"/>
  <c r="M15" i="1142"/>
  <c r="K15" i="1142"/>
  <c r="AF14" i="1142"/>
  <c r="AB14" i="1142"/>
  <c r="Q14" i="1142"/>
  <c r="P14" i="1142"/>
  <c r="AC14" i="1142" s="1"/>
  <c r="O14" i="1142"/>
  <c r="M14" i="1142"/>
  <c r="K14" i="1142"/>
  <c r="AF13" i="1142"/>
  <c r="AB13" i="1142"/>
  <c r="Q13" i="1142"/>
  <c r="P13" i="1142" s="1"/>
  <c r="AC13" i="1142" s="1"/>
  <c r="O13" i="1142"/>
  <c r="M13" i="1142"/>
  <c r="AF12" i="1142"/>
  <c r="AB12" i="1142"/>
  <c r="Q12" i="1142"/>
  <c r="M12" i="1142"/>
  <c r="O12" i="1142"/>
  <c r="AF11" i="1142"/>
  <c r="Q11" i="1142"/>
  <c r="AB11" i="1142"/>
  <c r="AF10" i="1142"/>
  <c r="AB10" i="1142"/>
  <c r="Q10" i="1142"/>
  <c r="P10" i="1142" s="1"/>
  <c r="AC10" i="1142" s="1"/>
  <c r="O10" i="1142"/>
  <c r="M10" i="1142"/>
  <c r="AF9" i="1142"/>
  <c r="AB9" i="1142"/>
  <c r="Q9" i="1142"/>
  <c r="P9" i="1142" s="1"/>
  <c r="AC9" i="1142" s="1"/>
  <c r="O9" i="1142"/>
  <c r="M9" i="1142"/>
  <c r="AF8" i="1142"/>
  <c r="AB8" i="1142"/>
  <c r="Q8" i="1142"/>
  <c r="P8" i="1142"/>
  <c r="AC8" i="1142" s="1"/>
  <c r="O8" i="1142"/>
  <c r="M8" i="1142"/>
  <c r="K8" i="1142"/>
  <c r="AF7" i="1142"/>
  <c r="Q7" i="1142"/>
  <c r="P7" i="1142" s="1"/>
  <c r="AC7" i="1142" s="1"/>
  <c r="O7" i="1142"/>
  <c r="AB7" i="1142"/>
  <c r="AF6" i="1142"/>
  <c r="AB6" i="1142"/>
  <c r="Q6" i="1142"/>
  <c r="O6" i="1142"/>
  <c r="M6" i="1142"/>
  <c r="P6" i="1142"/>
  <c r="O16" i="1142" l="1"/>
  <c r="AF62" i="1142"/>
  <c r="AD18" i="1142"/>
  <c r="Q21" i="1142"/>
  <c r="AD8" i="1142"/>
  <c r="AD9" i="1142"/>
  <c r="AD10" i="1142"/>
  <c r="AD13" i="1142"/>
  <c r="AD14" i="1142"/>
  <c r="AD16" i="1142"/>
  <c r="AD15" i="1142"/>
  <c r="AD20" i="1142"/>
  <c r="AD7" i="1142"/>
  <c r="AD19" i="1142"/>
  <c r="AC6" i="1142"/>
  <c r="M7" i="1142"/>
  <c r="O11" i="1142"/>
  <c r="P12" i="1142"/>
  <c r="AC12" i="1142" s="1"/>
  <c r="AD12" i="1142" s="1"/>
  <c r="O17" i="1142"/>
  <c r="AD17" i="1142" s="1"/>
  <c r="P11" i="1142"/>
  <c r="AC11" i="1142" s="1"/>
  <c r="AB21" i="1142"/>
  <c r="L21" i="1142"/>
  <c r="O21" i="1142" s="1"/>
  <c r="M11" i="1142"/>
  <c r="M17" i="1142"/>
  <c r="AD11" i="1142" l="1"/>
  <c r="M21" i="1142"/>
  <c r="K21" i="1142"/>
  <c r="AC21" i="1142"/>
  <c r="AD6" i="1142"/>
  <c r="P21" i="1142"/>
  <c r="AD21" i="1142" l="1"/>
  <c r="AE19" i="1142" l="1"/>
  <c r="AE16" i="1142"/>
  <c r="AE10" i="1142"/>
  <c r="AE7" i="1142"/>
  <c r="AE17" i="1142"/>
  <c r="AE14" i="1142"/>
  <c r="AE11" i="1142"/>
  <c r="AE20" i="1142"/>
  <c r="AE12" i="1142"/>
  <c r="AE8" i="1142"/>
  <c r="AE18" i="1142"/>
  <c r="AE15" i="1142"/>
  <c r="AE13" i="1142"/>
  <c r="AE9" i="1142"/>
  <c r="AE6" i="1142"/>
  <c r="AB18" i="16" l="1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0" i="1141"/>
  <c r="L18" i="1141"/>
  <c r="K18" i="1141" s="1"/>
  <c r="AF18" i="1141"/>
  <c r="Q18" i="1141"/>
  <c r="AB18" i="1141"/>
  <c r="L19" i="1141"/>
  <c r="K19" i="1141" s="1"/>
  <c r="L17" i="1141"/>
  <c r="L16" i="1141"/>
  <c r="L13" i="1141"/>
  <c r="L12" i="1141"/>
  <c r="L11" i="1141"/>
  <c r="K11" i="1141" s="1"/>
  <c r="L10" i="1141"/>
  <c r="K10" i="1141" s="1"/>
  <c r="L9" i="1141"/>
  <c r="L7" i="1141"/>
  <c r="L6" i="1141"/>
  <c r="K6" i="1141" s="1"/>
  <c r="K20" i="1141"/>
  <c r="K16" i="1141"/>
  <c r="K13" i="1141"/>
  <c r="K9" i="1141"/>
  <c r="K8" i="1141"/>
  <c r="A76" i="1141"/>
  <c r="A77" i="1141" s="1"/>
  <c r="A78" i="1141" s="1"/>
  <c r="A79" i="1141" s="1"/>
  <c r="A80" i="1141" s="1"/>
  <c r="A81" i="1141" s="1"/>
  <c r="A82" i="1141" s="1"/>
  <c r="A75" i="1141"/>
  <c r="AF61" i="1141"/>
  <c r="AF60" i="1141"/>
  <c r="AF63" i="1141" s="1"/>
  <c r="AA22" i="1141"/>
  <c r="Z22" i="1141"/>
  <c r="Y22" i="1141"/>
  <c r="X22" i="1141"/>
  <c r="W22" i="1141"/>
  <c r="V22" i="1141"/>
  <c r="U22" i="1141"/>
  <c r="T22" i="1141"/>
  <c r="S22" i="1141"/>
  <c r="R22" i="1141"/>
  <c r="N22" i="1141"/>
  <c r="J22" i="1141"/>
  <c r="I22" i="1141"/>
  <c r="AF21" i="1141"/>
  <c r="AB21" i="1141"/>
  <c r="Q21" i="1141"/>
  <c r="P21" i="1141"/>
  <c r="AC21" i="1141" s="1"/>
  <c r="O21" i="1141"/>
  <c r="M21" i="1141"/>
  <c r="K21" i="1141"/>
  <c r="AF20" i="1141"/>
  <c r="AB20" i="1141"/>
  <c r="Q20" i="1141"/>
  <c r="P20" i="1141" s="1"/>
  <c r="AC20" i="1141" s="1"/>
  <c r="O20" i="1141"/>
  <c r="M20" i="1141"/>
  <c r="AF19" i="1141"/>
  <c r="Q19" i="1141"/>
  <c r="P19" i="1141"/>
  <c r="AC19" i="1141" s="1"/>
  <c r="O19" i="1141"/>
  <c r="AB19" i="1141"/>
  <c r="AF17" i="1141"/>
  <c r="AB17" i="1141"/>
  <c r="Q17" i="1141"/>
  <c r="M17" i="1141"/>
  <c r="AF16" i="1141"/>
  <c r="AB16" i="1141"/>
  <c r="Q16" i="1141"/>
  <c r="P16" i="1141" s="1"/>
  <c r="AC16" i="1141" s="1"/>
  <c r="M16" i="1141"/>
  <c r="AF15" i="1141"/>
  <c r="AB15" i="1141"/>
  <c r="Q15" i="1141"/>
  <c r="P15" i="1141"/>
  <c r="AC15" i="1141" s="1"/>
  <c r="O15" i="1141"/>
  <c r="M15" i="1141"/>
  <c r="K15" i="1141"/>
  <c r="AF14" i="1141"/>
  <c r="AB14" i="1141"/>
  <c r="Q14" i="1141"/>
  <c r="P14" i="1141"/>
  <c r="AC14" i="1141" s="1"/>
  <c r="AD14" i="1141" s="1"/>
  <c r="O14" i="1141"/>
  <c r="M14" i="1141"/>
  <c r="K14" i="1141"/>
  <c r="AF13" i="1141"/>
  <c r="Q13" i="1141"/>
  <c r="P13" i="1141"/>
  <c r="AC13" i="1141" s="1"/>
  <c r="AF12" i="1141"/>
  <c r="Q12" i="1141"/>
  <c r="O12" i="1141"/>
  <c r="AB12" i="1141"/>
  <c r="AF11" i="1141"/>
  <c r="AB11" i="1141"/>
  <c r="Q11" i="1141"/>
  <c r="P11" i="1141" s="1"/>
  <c r="AC11" i="1141" s="1"/>
  <c r="O11" i="1141"/>
  <c r="M11" i="1141"/>
  <c r="AF10" i="1141"/>
  <c r="AB10" i="1141"/>
  <c r="Q10" i="1141"/>
  <c r="P10" i="1141" s="1"/>
  <c r="AC10" i="1141" s="1"/>
  <c r="M10" i="1141"/>
  <c r="AF9" i="1141"/>
  <c r="Q9" i="1141"/>
  <c r="P9" i="1141"/>
  <c r="AC9" i="1141" s="1"/>
  <c r="AF8" i="1141"/>
  <c r="Q8" i="1141"/>
  <c r="P8" i="1141"/>
  <c r="AC8" i="1141" s="1"/>
  <c r="O8" i="1141"/>
  <c r="AB8" i="1141"/>
  <c r="AF7" i="1141"/>
  <c r="AB7" i="1141"/>
  <c r="Q7" i="1141"/>
  <c r="P7" i="1141" s="1"/>
  <c r="AC7" i="1141" s="1"/>
  <c r="O7" i="1141"/>
  <c r="M7" i="1141"/>
  <c r="K7" i="1141"/>
  <c r="AF6" i="1141"/>
  <c r="Q6" i="1141"/>
  <c r="AD8" i="1141" l="1"/>
  <c r="AD15" i="1141"/>
  <c r="P12" i="1141"/>
  <c r="AC12" i="1141" s="1"/>
  <c r="O18" i="1141"/>
  <c r="K22" i="1141"/>
  <c r="P18" i="1141"/>
  <c r="AC18" i="1141" s="1"/>
  <c r="M18" i="1141"/>
  <c r="P17" i="1141"/>
  <c r="AC17" i="1141" s="1"/>
  <c r="K17" i="1141"/>
  <c r="O17" i="1141"/>
  <c r="AD17" i="1141" s="1"/>
  <c r="K12" i="1141"/>
  <c r="AD11" i="1141"/>
  <c r="Q22" i="1141"/>
  <c r="AD7" i="1141"/>
  <c r="P6" i="1141"/>
  <c r="AC6" i="1141" s="1"/>
  <c r="AD21" i="1141"/>
  <c r="AD19" i="1141"/>
  <c r="AD20" i="1141"/>
  <c r="AD12" i="1141"/>
  <c r="M6" i="1141"/>
  <c r="AB6" i="1141"/>
  <c r="AB9" i="1141"/>
  <c r="M13" i="1141"/>
  <c r="AB13" i="1141"/>
  <c r="O16" i="1141"/>
  <c r="AD16" i="1141" s="1"/>
  <c r="M9" i="1141"/>
  <c r="O10" i="1141"/>
  <c r="AD10" i="1141" s="1"/>
  <c r="O6" i="1141"/>
  <c r="M8" i="1141"/>
  <c r="O9" i="1141"/>
  <c r="M12" i="1141"/>
  <c r="O13" i="1141"/>
  <c r="M19" i="1141"/>
  <c r="L22" i="1141"/>
  <c r="O22" i="1141" s="1"/>
  <c r="Y18" i="16"/>
  <c r="Y17" i="16"/>
  <c r="Y16" i="16"/>
  <c r="Y15" i="16"/>
  <c r="Y14" i="16"/>
  <c r="Y13" i="16"/>
  <c r="Y12" i="16"/>
  <c r="Y11" i="16"/>
  <c r="Y10" i="16"/>
  <c r="Y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18" i="1140"/>
  <c r="L17" i="1140"/>
  <c r="K17" i="1140" s="1"/>
  <c r="L16" i="1140"/>
  <c r="AB16" i="1140" s="1"/>
  <c r="L13" i="1140"/>
  <c r="K13" i="1140" s="1"/>
  <c r="L12" i="1140"/>
  <c r="L11" i="1140"/>
  <c r="K11" i="1140" s="1"/>
  <c r="L10" i="1140"/>
  <c r="AB10" i="1140" s="1"/>
  <c r="L9" i="1140"/>
  <c r="L8" i="1140"/>
  <c r="K8" i="1140" s="1"/>
  <c r="K7" i="1140"/>
  <c r="L6" i="1140"/>
  <c r="K6" i="1140" s="1"/>
  <c r="K19" i="1140"/>
  <c r="K18" i="1140"/>
  <c r="K12" i="1140"/>
  <c r="A74" i="1140"/>
  <c r="A75" i="1140" s="1"/>
  <c r="A76" i="1140" s="1"/>
  <c r="A77" i="1140" s="1"/>
  <c r="A78" i="1140" s="1"/>
  <c r="A79" i="1140" s="1"/>
  <c r="A80" i="1140" s="1"/>
  <c r="A81" i="1140" s="1"/>
  <c r="AF60" i="1140"/>
  <c r="AF59" i="1140"/>
  <c r="AA21" i="1140"/>
  <c r="Z21" i="1140"/>
  <c r="Y21" i="1140"/>
  <c r="X21" i="1140"/>
  <c r="W21" i="1140"/>
  <c r="V21" i="1140"/>
  <c r="U21" i="1140"/>
  <c r="T21" i="1140"/>
  <c r="S21" i="1140"/>
  <c r="R21" i="1140"/>
  <c r="N21" i="1140"/>
  <c r="J21" i="1140"/>
  <c r="I21" i="1140"/>
  <c r="AF20" i="1140"/>
  <c r="AB20" i="1140"/>
  <c r="Q20" i="1140"/>
  <c r="P20" i="1140"/>
  <c r="AC20" i="1140" s="1"/>
  <c r="O20" i="1140"/>
  <c r="M20" i="1140"/>
  <c r="K20" i="1140"/>
  <c r="AF19" i="1140"/>
  <c r="AB19" i="1140"/>
  <c r="Q19" i="1140"/>
  <c r="P19" i="1140" s="1"/>
  <c r="AC19" i="1140" s="1"/>
  <c r="O19" i="1140"/>
  <c r="M19" i="1140"/>
  <c r="AF18" i="1140"/>
  <c r="AB18" i="1140"/>
  <c r="Q18" i="1140"/>
  <c r="P18" i="1140"/>
  <c r="AC18" i="1140" s="1"/>
  <c r="O18" i="1140"/>
  <c r="M18" i="1140"/>
  <c r="AF17" i="1140"/>
  <c r="AB17" i="1140"/>
  <c r="Q17" i="1140"/>
  <c r="O17" i="1140"/>
  <c r="M17" i="1140"/>
  <c r="AF16" i="1140"/>
  <c r="Q16" i="1140"/>
  <c r="P16" i="1140" s="1"/>
  <c r="AC16" i="1140" s="1"/>
  <c r="O16" i="1140"/>
  <c r="AF15" i="1140"/>
  <c r="AB15" i="1140"/>
  <c r="Q15" i="1140"/>
  <c r="P15" i="1140"/>
  <c r="AC15" i="1140" s="1"/>
  <c r="AD15" i="1140" s="1"/>
  <c r="O15" i="1140"/>
  <c r="M15" i="1140"/>
  <c r="K15" i="1140"/>
  <c r="AF14" i="1140"/>
  <c r="AB14" i="1140"/>
  <c r="Q14" i="1140"/>
  <c r="P14" i="1140"/>
  <c r="AC14" i="1140" s="1"/>
  <c r="O14" i="1140"/>
  <c r="M14" i="1140"/>
  <c r="K14" i="1140"/>
  <c r="AF13" i="1140"/>
  <c r="Q13" i="1140"/>
  <c r="AF12" i="1140"/>
  <c r="Q12" i="1140"/>
  <c r="P12" i="1140" s="1"/>
  <c r="AC12" i="1140" s="1"/>
  <c r="AF11" i="1140"/>
  <c r="AB11" i="1140"/>
  <c r="Q11" i="1140"/>
  <c r="P11" i="1140" s="1"/>
  <c r="AC11" i="1140" s="1"/>
  <c r="M11" i="1140"/>
  <c r="AF10" i="1140"/>
  <c r="Q10" i="1140"/>
  <c r="P10" i="1140" s="1"/>
  <c r="AC10" i="1140" s="1"/>
  <c r="O10" i="1140"/>
  <c r="AF9" i="1140"/>
  <c r="AB9" i="1140"/>
  <c r="Q9" i="1140"/>
  <c r="M9" i="1140"/>
  <c r="AF8" i="1140"/>
  <c r="Q8" i="1140"/>
  <c r="P8" i="1140" s="1"/>
  <c r="AC8" i="1140" s="1"/>
  <c r="AF7" i="1140"/>
  <c r="AB7" i="1140"/>
  <c r="Q7" i="1140"/>
  <c r="P7" i="1140"/>
  <c r="AC7" i="1140" s="1"/>
  <c r="O7" i="1140"/>
  <c r="M7" i="1140"/>
  <c r="AF6" i="1140"/>
  <c r="Q6" i="1140"/>
  <c r="O6" i="1140"/>
  <c r="AD18" i="1141" l="1"/>
  <c r="AD9" i="1141"/>
  <c r="AB22" i="1141"/>
  <c r="P22" i="1141"/>
  <c r="AD13" i="1141"/>
  <c r="M22" i="1141"/>
  <c r="AC22" i="1141"/>
  <c r="AD6" i="1141"/>
  <c r="P9" i="1140"/>
  <c r="AC9" i="1140" s="1"/>
  <c r="O9" i="1140"/>
  <c r="K9" i="1140"/>
  <c r="L21" i="1140"/>
  <c r="O21" i="1140" s="1"/>
  <c r="M13" i="1140"/>
  <c r="K16" i="1140"/>
  <c r="Q21" i="1140"/>
  <c r="P13" i="1140"/>
  <c r="AC13" i="1140" s="1"/>
  <c r="AB13" i="1140"/>
  <c r="AB6" i="1140"/>
  <c r="K10" i="1140"/>
  <c r="M6" i="1140"/>
  <c r="M10" i="1140"/>
  <c r="O11" i="1140"/>
  <c r="O13" i="1140"/>
  <c r="M16" i="1140"/>
  <c r="P17" i="1140"/>
  <c r="AC17" i="1140" s="1"/>
  <c r="AD17" i="1140" s="1"/>
  <c r="AF62" i="1140"/>
  <c r="AD20" i="1140"/>
  <c r="AD18" i="1140"/>
  <c r="AD11" i="1140"/>
  <c r="AD9" i="1140"/>
  <c r="AD13" i="1140"/>
  <c r="AD7" i="1140"/>
  <c r="AD14" i="1140"/>
  <c r="AD19" i="1140"/>
  <c r="AD10" i="1140"/>
  <c r="AD16" i="1140"/>
  <c r="M8" i="1140"/>
  <c r="P6" i="1140"/>
  <c r="O8" i="1140"/>
  <c r="O12" i="1140"/>
  <c r="AB8" i="1140"/>
  <c r="M12" i="1140"/>
  <c r="AB12" i="1140"/>
  <c r="L19" i="1139"/>
  <c r="L14" i="1139"/>
  <c r="K14" i="1139" s="1"/>
  <c r="L13" i="1139"/>
  <c r="K13" i="1139" s="1"/>
  <c r="L12" i="1139"/>
  <c r="L10" i="1139"/>
  <c r="K10" i="1139" s="1"/>
  <c r="AD22" i="1141" l="1"/>
  <c r="AD12" i="1140"/>
  <c r="AD8" i="1140"/>
  <c r="M21" i="1140"/>
  <c r="AB21" i="1140"/>
  <c r="P21" i="1140"/>
  <c r="AC6" i="1140"/>
  <c r="K21" i="1140"/>
  <c r="AF10" i="1139"/>
  <c r="Q10" i="1139"/>
  <c r="AB10" i="1139"/>
  <c r="L9" i="1139"/>
  <c r="L8" i="1139"/>
  <c r="K8" i="1139" s="1"/>
  <c r="L6" i="1139"/>
  <c r="K6" i="1139" s="1"/>
  <c r="K20" i="1139"/>
  <c r="K19" i="1139"/>
  <c r="K18" i="1139"/>
  <c r="K17" i="1139"/>
  <c r="K16" i="1139"/>
  <c r="K12" i="1139"/>
  <c r="K11" i="1139"/>
  <c r="K9" i="1139"/>
  <c r="A75" i="1139"/>
  <c r="A76" i="1139" s="1"/>
  <c r="A77" i="1139" s="1"/>
  <c r="A78" i="1139" s="1"/>
  <c r="A79" i="1139" s="1"/>
  <c r="A80" i="1139" s="1"/>
  <c r="A81" i="1139" s="1"/>
  <c r="A82" i="1139" s="1"/>
  <c r="AF61" i="1139"/>
  <c r="AF60" i="1139"/>
  <c r="AF63" i="1139" s="1"/>
  <c r="AA22" i="1139"/>
  <c r="Z22" i="1139"/>
  <c r="Y22" i="1139"/>
  <c r="X22" i="1139"/>
  <c r="W22" i="1139"/>
  <c r="V22" i="1139"/>
  <c r="U22" i="1139"/>
  <c r="T22" i="1139"/>
  <c r="S22" i="1139"/>
  <c r="R22" i="1139"/>
  <c r="N22" i="1139"/>
  <c r="J22" i="1139"/>
  <c r="I22" i="1139"/>
  <c r="AF21" i="1139"/>
  <c r="AB21" i="1139"/>
  <c r="Q21" i="1139"/>
  <c r="P21" i="1139"/>
  <c r="AC21" i="1139" s="1"/>
  <c r="O21" i="1139"/>
  <c r="M21" i="1139"/>
  <c r="K21" i="1139"/>
  <c r="AF20" i="1139"/>
  <c r="Q20" i="1139"/>
  <c r="P20" i="1139"/>
  <c r="AC20" i="1139" s="1"/>
  <c r="AF19" i="1139"/>
  <c r="Q19" i="1139"/>
  <c r="P19" i="1139" s="1"/>
  <c r="AC19" i="1139" s="1"/>
  <c r="O19" i="1139"/>
  <c r="AF18" i="1139"/>
  <c r="Q18" i="1139"/>
  <c r="P18" i="1139"/>
  <c r="AC18" i="1139" s="1"/>
  <c r="O18" i="1139"/>
  <c r="AB18" i="1139"/>
  <c r="AF17" i="1139"/>
  <c r="AB17" i="1139"/>
  <c r="Q17" i="1139"/>
  <c r="O17" i="1139"/>
  <c r="M17" i="1139"/>
  <c r="P17" i="1139"/>
  <c r="AC17" i="1139" s="1"/>
  <c r="AF16" i="1139"/>
  <c r="AB16" i="1139"/>
  <c r="Q16" i="1139"/>
  <c r="P16" i="1139" s="1"/>
  <c r="AC16" i="1139" s="1"/>
  <c r="O16" i="1139"/>
  <c r="M16" i="1139"/>
  <c r="AF15" i="1139"/>
  <c r="AB15" i="1139"/>
  <c r="Q15" i="1139"/>
  <c r="P15" i="1139"/>
  <c r="AC15" i="1139" s="1"/>
  <c r="O15" i="1139"/>
  <c r="M15" i="1139"/>
  <c r="K15" i="1139"/>
  <c r="AF14" i="1139"/>
  <c r="AB14" i="1139"/>
  <c r="Q14" i="1139"/>
  <c r="P14" i="1139" s="1"/>
  <c r="AC14" i="1139" s="1"/>
  <c r="O14" i="1139"/>
  <c r="M14" i="1139"/>
  <c r="AF13" i="1139"/>
  <c r="Q13" i="1139"/>
  <c r="P13" i="1139" s="1"/>
  <c r="AC13" i="1139" s="1"/>
  <c r="O13" i="1139"/>
  <c r="AB13" i="1139"/>
  <c r="AF12" i="1139"/>
  <c r="Q12" i="1139"/>
  <c r="P12" i="1139" s="1"/>
  <c r="AC12" i="1139" s="1"/>
  <c r="AF11" i="1139"/>
  <c r="Q11" i="1139"/>
  <c r="P11" i="1139"/>
  <c r="AC11" i="1139" s="1"/>
  <c r="O11" i="1139"/>
  <c r="AF9" i="1139"/>
  <c r="Q9" i="1139"/>
  <c r="P9" i="1139" s="1"/>
  <c r="AC9" i="1139" s="1"/>
  <c r="O9" i="1139"/>
  <c r="M9" i="1139"/>
  <c r="AB9" i="1139"/>
  <c r="AF8" i="1139"/>
  <c r="Q8" i="1139"/>
  <c r="M8" i="1139"/>
  <c r="AF7" i="1139"/>
  <c r="AB7" i="1139"/>
  <c r="Q7" i="1139"/>
  <c r="P7" i="1139"/>
  <c r="AC7" i="1139" s="1"/>
  <c r="O7" i="1139"/>
  <c r="M7" i="1139"/>
  <c r="K7" i="1139"/>
  <c r="AF6" i="1139"/>
  <c r="AB6" i="1139"/>
  <c r="Q6" i="1139"/>
  <c r="P6" i="1139"/>
  <c r="AC6" i="1139" s="1"/>
  <c r="O6" i="1139"/>
  <c r="M6" i="1139"/>
  <c r="AE20" i="1141" l="1"/>
  <c r="AE18" i="1141"/>
  <c r="AE12" i="1141"/>
  <c r="AE17" i="1141"/>
  <c r="AE15" i="1141"/>
  <c r="AE19" i="1141"/>
  <c r="AE7" i="1141"/>
  <c r="AE10" i="1141"/>
  <c r="AE13" i="1141"/>
  <c r="AE21" i="1141"/>
  <c r="AE11" i="1141"/>
  <c r="AE16" i="1141"/>
  <c r="AE9" i="1141"/>
  <c r="AE8" i="1141"/>
  <c r="AE6" i="1141"/>
  <c r="AE14" i="1141"/>
  <c r="L22" i="1139"/>
  <c r="O22" i="1139" s="1"/>
  <c r="O8" i="1139"/>
  <c r="AD21" i="1139"/>
  <c r="AD7" i="1139"/>
  <c r="Y4" i="16" s="1"/>
  <c r="P8" i="1139"/>
  <c r="AC8" i="1139" s="1"/>
  <c r="AB8" i="1139"/>
  <c r="AC21" i="1140"/>
  <c r="AD6" i="1140"/>
  <c r="AD21" i="1140" s="1"/>
  <c r="O10" i="1139"/>
  <c r="P10" i="1139"/>
  <c r="AC10" i="1139" s="1"/>
  <c r="AD10" i="1139" s="1"/>
  <c r="AD15" i="1139"/>
  <c r="M10" i="1139"/>
  <c r="Q22" i="1139"/>
  <c r="AD8" i="1139"/>
  <c r="Y5" i="16" s="1"/>
  <c r="AD16" i="1139"/>
  <c r="AD14" i="1139"/>
  <c r="AD17" i="1139"/>
  <c r="AD13" i="1139"/>
  <c r="AD18" i="1139"/>
  <c r="AD9" i="1139"/>
  <c r="AD6" i="1139"/>
  <c r="Y3" i="16" s="1"/>
  <c r="M12" i="1139"/>
  <c r="AB12" i="1139"/>
  <c r="M20" i="1139"/>
  <c r="AB20" i="1139"/>
  <c r="K22" i="1139"/>
  <c r="M11" i="1139"/>
  <c r="AB11" i="1139"/>
  <c r="O12" i="1139"/>
  <c r="M19" i="1139"/>
  <c r="AB19" i="1139"/>
  <c r="AD19" i="1139" s="1"/>
  <c r="O20" i="1139"/>
  <c r="M13" i="1139"/>
  <c r="M18" i="1139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0" i="1138"/>
  <c r="K20" i="1138" s="1"/>
  <c r="L19" i="1138"/>
  <c r="L18" i="1138"/>
  <c r="L17" i="1138"/>
  <c r="K16" i="1138"/>
  <c r="K14" i="1138"/>
  <c r="L13" i="1138"/>
  <c r="K13" i="1138" s="1"/>
  <c r="AF13" i="1138"/>
  <c r="Q13" i="1138"/>
  <c r="M13" i="1138"/>
  <c r="AB13" i="1138"/>
  <c r="L12" i="1138"/>
  <c r="K12" i="1138" s="1"/>
  <c r="L11" i="1138"/>
  <c r="L10" i="1138"/>
  <c r="L9" i="1138"/>
  <c r="L8" i="1138"/>
  <c r="K8" i="1138" s="1"/>
  <c r="L6" i="1138"/>
  <c r="K6" i="1138" s="1"/>
  <c r="K19" i="1138"/>
  <c r="K18" i="1138"/>
  <c r="K17" i="1138"/>
  <c r="K11" i="1138"/>
  <c r="A75" i="1138"/>
  <c r="A76" i="1138" s="1"/>
  <c r="A77" i="1138" s="1"/>
  <c r="A78" i="1138" s="1"/>
  <c r="A79" i="1138" s="1"/>
  <c r="A80" i="1138" s="1"/>
  <c r="A81" i="1138" s="1"/>
  <c r="A82" i="1138" s="1"/>
  <c r="AF63" i="1138"/>
  <c r="AF61" i="1138"/>
  <c r="AF60" i="1138"/>
  <c r="AA22" i="1138"/>
  <c r="Z22" i="1138"/>
  <c r="Y22" i="1138"/>
  <c r="X22" i="1138"/>
  <c r="W22" i="1138"/>
  <c r="V22" i="1138"/>
  <c r="U22" i="1138"/>
  <c r="T22" i="1138"/>
  <c r="S22" i="1138"/>
  <c r="R22" i="1138"/>
  <c r="N22" i="1138"/>
  <c r="J22" i="1138"/>
  <c r="I22" i="1138"/>
  <c r="AF21" i="1138"/>
  <c r="AB21" i="1138"/>
  <c r="Q21" i="1138"/>
  <c r="P21" i="1138"/>
  <c r="AC21" i="1138" s="1"/>
  <c r="O21" i="1138"/>
  <c r="M21" i="1138"/>
  <c r="K21" i="1138"/>
  <c r="AF20" i="1138"/>
  <c r="Q20" i="1138"/>
  <c r="AF19" i="1138"/>
  <c r="AB19" i="1138"/>
  <c r="Q19" i="1138"/>
  <c r="P19" i="1138"/>
  <c r="AC19" i="1138" s="1"/>
  <c r="O19" i="1138"/>
  <c r="M19" i="1138"/>
  <c r="AF18" i="1138"/>
  <c r="AB18" i="1138"/>
  <c r="Q18" i="1138"/>
  <c r="O18" i="1138"/>
  <c r="M18" i="1138"/>
  <c r="P18" i="1138"/>
  <c r="AC18" i="1138" s="1"/>
  <c r="AD18" i="1138" s="1"/>
  <c r="AF17" i="1138"/>
  <c r="Q17" i="1138"/>
  <c r="P17" i="1138"/>
  <c r="AC17" i="1138" s="1"/>
  <c r="AF16" i="1138"/>
  <c r="AB16" i="1138"/>
  <c r="Q16" i="1138"/>
  <c r="P16" i="1138"/>
  <c r="AC16" i="1138" s="1"/>
  <c r="O16" i="1138"/>
  <c r="M16" i="1138"/>
  <c r="AF15" i="1138"/>
  <c r="AB15" i="1138"/>
  <c r="Q15" i="1138"/>
  <c r="P15" i="1138"/>
  <c r="AC15" i="1138" s="1"/>
  <c r="O15" i="1138"/>
  <c r="M15" i="1138"/>
  <c r="K15" i="1138"/>
  <c r="AF14" i="1138"/>
  <c r="Q14" i="1138"/>
  <c r="P14" i="1138" s="1"/>
  <c r="AC14" i="1138" s="1"/>
  <c r="AF12" i="1138"/>
  <c r="Q12" i="1138"/>
  <c r="P12" i="1138"/>
  <c r="AC12" i="1138" s="1"/>
  <c r="O12" i="1138"/>
  <c r="AB12" i="1138"/>
  <c r="AF11" i="1138"/>
  <c r="AB11" i="1138"/>
  <c r="Q11" i="1138"/>
  <c r="O11" i="1138"/>
  <c r="M11" i="1138"/>
  <c r="P11" i="1138"/>
  <c r="AC11" i="1138" s="1"/>
  <c r="AF10" i="1138"/>
  <c r="AB10" i="1138"/>
  <c r="Q10" i="1138"/>
  <c r="P10" i="1138"/>
  <c r="AC10" i="1138" s="1"/>
  <c r="O10" i="1138"/>
  <c r="M10" i="1138"/>
  <c r="K10" i="1138"/>
  <c r="AF9" i="1138"/>
  <c r="AB9" i="1138"/>
  <c r="Q9" i="1138"/>
  <c r="P9" i="1138" s="1"/>
  <c r="AC9" i="1138" s="1"/>
  <c r="O9" i="1138"/>
  <c r="M9" i="1138"/>
  <c r="K9" i="1138"/>
  <c r="AF8" i="1138"/>
  <c r="AB8" i="1138"/>
  <c r="Q8" i="1138"/>
  <c r="M8" i="1138"/>
  <c r="AF7" i="1138"/>
  <c r="AB7" i="1138"/>
  <c r="Q7" i="1138"/>
  <c r="P7" i="1138"/>
  <c r="AC7" i="1138" s="1"/>
  <c r="O7" i="1138"/>
  <c r="M7" i="1138"/>
  <c r="K7" i="1138"/>
  <c r="AF6" i="1138"/>
  <c r="AB6" i="1138"/>
  <c r="Q6" i="1138"/>
  <c r="P6" i="1138"/>
  <c r="AC6" i="1138" s="1"/>
  <c r="O6" i="1138"/>
  <c r="M6" i="1138"/>
  <c r="Y6" i="16" l="1"/>
  <c r="AE19" i="1140"/>
  <c r="AE12" i="1140"/>
  <c r="AE17" i="1140"/>
  <c r="AE15" i="1140"/>
  <c r="AE13" i="1140"/>
  <c r="AE11" i="1140"/>
  <c r="AE6" i="1140"/>
  <c r="AE14" i="1140"/>
  <c r="AE7" i="1140"/>
  <c r="AE8" i="1140"/>
  <c r="AE20" i="1140"/>
  <c r="AE18" i="1140"/>
  <c r="AE9" i="1140"/>
  <c r="AE16" i="1140"/>
  <c r="AE10" i="1140"/>
  <c r="M22" i="1139"/>
  <c r="AD12" i="1139"/>
  <c r="Y8" i="16" s="1"/>
  <c r="P22" i="1139"/>
  <c r="AC22" i="1139"/>
  <c r="AB22" i="1139"/>
  <c r="AD20" i="1139"/>
  <c r="AD11" i="1139"/>
  <c r="Y7" i="16" s="1"/>
  <c r="AB20" i="1138"/>
  <c r="P20" i="1138"/>
  <c r="AC20" i="1138" s="1"/>
  <c r="M20" i="1138"/>
  <c r="L22" i="1138"/>
  <c r="O22" i="1138" s="1"/>
  <c r="O20" i="1138"/>
  <c r="O13" i="1138"/>
  <c r="AD15" i="1138"/>
  <c r="P13" i="1138"/>
  <c r="AC13" i="1138" s="1"/>
  <c r="AD11" i="1138"/>
  <c r="Q22" i="1138"/>
  <c r="AD19" i="1138"/>
  <c r="AD7" i="1138"/>
  <c r="AD9" i="1138"/>
  <c r="AD16" i="1138"/>
  <c r="AD10" i="1138"/>
  <c r="AD12" i="1138"/>
  <c r="AD21" i="1138"/>
  <c r="M17" i="1138"/>
  <c r="AB17" i="1138"/>
  <c r="AD6" i="1138"/>
  <c r="O8" i="1138"/>
  <c r="M14" i="1138"/>
  <c r="AB14" i="1138"/>
  <c r="O17" i="1138"/>
  <c r="K22" i="1138"/>
  <c r="P8" i="1138"/>
  <c r="AC8" i="1138" s="1"/>
  <c r="M12" i="1138"/>
  <c r="O14" i="1138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18" i="1137"/>
  <c r="L17" i="1137"/>
  <c r="L16" i="1137"/>
  <c r="O16" i="1137" s="1"/>
  <c r="L13" i="1137"/>
  <c r="K13" i="1137" s="1"/>
  <c r="L12" i="1137"/>
  <c r="K12" i="1137" s="1"/>
  <c r="L11" i="1137"/>
  <c r="K11" i="1137" s="1"/>
  <c r="L8" i="1137"/>
  <c r="K8" i="1137" s="1"/>
  <c r="K19" i="1137"/>
  <c r="K18" i="1137"/>
  <c r="K17" i="1137"/>
  <c r="K16" i="1137"/>
  <c r="K14" i="1137"/>
  <c r="K6" i="1137"/>
  <c r="A75" i="1137"/>
  <c r="A76" i="1137" s="1"/>
  <c r="A77" i="1137" s="1"/>
  <c r="A78" i="1137" s="1"/>
  <c r="A79" i="1137" s="1"/>
  <c r="A80" i="1137" s="1"/>
  <c r="A81" i="1137" s="1"/>
  <c r="A74" i="1137"/>
  <c r="AF60" i="1137"/>
  <c r="AF59" i="1137"/>
  <c r="AF62" i="1137" s="1"/>
  <c r="AA21" i="1137"/>
  <c r="Z21" i="1137"/>
  <c r="Y21" i="1137"/>
  <c r="X21" i="1137"/>
  <c r="W21" i="1137"/>
  <c r="V21" i="1137"/>
  <c r="U21" i="1137"/>
  <c r="T21" i="1137"/>
  <c r="S21" i="1137"/>
  <c r="R21" i="1137"/>
  <c r="N21" i="1137"/>
  <c r="J21" i="1137"/>
  <c r="I21" i="1137"/>
  <c r="AF20" i="1137"/>
  <c r="AC20" i="1137"/>
  <c r="AD20" i="1137" s="1"/>
  <c r="AB20" i="1137"/>
  <c r="Q20" i="1137"/>
  <c r="P20" i="1137"/>
  <c r="O20" i="1137"/>
  <c r="M20" i="1137"/>
  <c r="K20" i="1137"/>
  <c r="AF19" i="1137"/>
  <c r="Q19" i="1137"/>
  <c r="P19" i="1137" s="1"/>
  <c r="AC19" i="1137" s="1"/>
  <c r="AF18" i="1137"/>
  <c r="AB18" i="1137"/>
  <c r="Q18" i="1137"/>
  <c r="P18" i="1137" s="1"/>
  <c r="AC18" i="1137" s="1"/>
  <c r="M18" i="1137"/>
  <c r="O18" i="1137"/>
  <c r="AF17" i="1137"/>
  <c r="Q17" i="1137"/>
  <c r="O17" i="1137"/>
  <c r="AB17" i="1137"/>
  <c r="AF16" i="1137"/>
  <c r="Q16" i="1137"/>
  <c r="P16" i="1137"/>
  <c r="AC16" i="1137" s="1"/>
  <c r="M16" i="1137"/>
  <c r="AF15" i="1137"/>
  <c r="AB15" i="1137"/>
  <c r="Q15" i="1137"/>
  <c r="P15" i="1137"/>
  <c r="AC15" i="1137" s="1"/>
  <c r="AD15" i="1137" s="1"/>
  <c r="O15" i="1137"/>
  <c r="M15" i="1137"/>
  <c r="K15" i="1137"/>
  <c r="AF14" i="1137"/>
  <c r="Q14" i="1137"/>
  <c r="O14" i="1137"/>
  <c r="AB14" i="1137"/>
  <c r="AF13" i="1137"/>
  <c r="AB13" i="1137"/>
  <c r="Q13" i="1137"/>
  <c r="P13" i="1137" s="1"/>
  <c r="AC13" i="1137" s="1"/>
  <c r="O13" i="1137"/>
  <c r="M13" i="1137"/>
  <c r="AF12" i="1137"/>
  <c r="Q12" i="1137"/>
  <c r="P12" i="1137"/>
  <c r="AC12" i="1137" s="1"/>
  <c r="AF11" i="1137"/>
  <c r="AB11" i="1137"/>
  <c r="Q11" i="1137"/>
  <c r="P11" i="1137"/>
  <c r="AC11" i="1137" s="1"/>
  <c r="M11" i="1137"/>
  <c r="O11" i="1137"/>
  <c r="AF10" i="1137"/>
  <c r="AC10" i="1137"/>
  <c r="AD10" i="1137" s="1"/>
  <c r="AB10" i="1137"/>
  <c r="Q10" i="1137"/>
  <c r="P10" i="1137"/>
  <c r="O10" i="1137"/>
  <c r="M10" i="1137"/>
  <c r="K10" i="1137"/>
  <c r="AF9" i="1137"/>
  <c r="AC9" i="1137"/>
  <c r="AB9" i="1137"/>
  <c r="Q9" i="1137"/>
  <c r="P9" i="1137"/>
  <c r="O9" i="1137"/>
  <c r="M9" i="1137"/>
  <c r="K9" i="1137"/>
  <c r="AF8" i="1137"/>
  <c r="Q8" i="1137"/>
  <c r="O8" i="1137"/>
  <c r="AB8" i="1137"/>
  <c r="AF7" i="1137"/>
  <c r="AB7" i="1137"/>
  <c r="Q7" i="1137"/>
  <c r="P7" i="1137"/>
  <c r="AC7" i="1137" s="1"/>
  <c r="O7" i="1137"/>
  <c r="M7" i="1137"/>
  <c r="K7" i="1137"/>
  <c r="AF6" i="1137"/>
  <c r="AB6" i="1137"/>
  <c r="Q6" i="1137"/>
  <c r="P6" i="1137"/>
  <c r="M6" i="1137"/>
  <c r="L21" i="1137"/>
  <c r="O21" i="1137" s="1"/>
  <c r="AD22" i="1139" l="1"/>
  <c r="AE10" i="1139" s="1"/>
  <c r="AB22" i="1138"/>
  <c r="AD20" i="1138"/>
  <c r="AD13" i="1138"/>
  <c r="M22" i="1138"/>
  <c r="AD14" i="1138"/>
  <c r="AD17" i="1138"/>
  <c r="P22" i="1138"/>
  <c r="AD8" i="1138"/>
  <c r="AC22" i="1138"/>
  <c r="AD18" i="1137"/>
  <c r="AB16" i="1137"/>
  <c r="Q21" i="1137"/>
  <c r="AD13" i="1137"/>
  <c r="AD9" i="1137"/>
  <c r="AD16" i="1137"/>
  <c r="AD7" i="1137"/>
  <c r="AD11" i="1137"/>
  <c r="K21" i="1137"/>
  <c r="P8" i="1137"/>
  <c r="AC8" i="1137" s="1"/>
  <c r="AD8" i="1137" s="1"/>
  <c r="M12" i="1137"/>
  <c r="AB12" i="1137"/>
  <c r="P14" i="1137"/>
  <c r="AC14" i="1137" s="1"/>
  <c r="AD14" i="1137" s="1"/>
  <c r="P17" i="1137"/>
  <c r="AC17" i="1137" s="1"/>
  <c r="AD17" i="1137" s="1"/>
  <c r="M19" i="1137"/>
  <c r="AB19" i="1137"/>
  <c r="O19" i="1137"/>
  <c r="O12" i="1137"/>
  <c r="O6" i="1137"/>
  <c r="AC6" i="1137"/>
  <c r="M8" i="1137"/>
  <c r="M14" i="1137"/>
  <c r="M17" i="1137"/>
  <c r="L19" i="1136"/>
  <c r="K19" i="1136" s="1"/>
  <c r="L18" i="1136"/>
  <c r="K18" i="1136" s="1"/>
  <c r="L17" i="1136"/>
  <c r="O17" i="1136" s="1"/>
  <c r="L16" i="1136"/>
  <c r="K16" i="1136" s="1"/>
  <c r="L14" i="1136"/>
  <c r="K14" i="1136" s="1"/>
  <c r="L13" i="1136"/>
  <c r="K13" i="1136" s="1"/>
  <c r="L12" i="1136"/>
  <c r="K12" i="1136" s="1"/>
  <c r="L11" i="1136"/>
  <c r="K11" i="1136" s="1"/>
  <c r="L8" i="1136"/>
  <c r="K8" i="1136" s="1"/>
  <c r="L6" i="1136"/>
  <c r="K6" i="1136" s="1"/>
  <c r="A74" i="1136"/>
  <c r="A75" i="1136" s="1"/>
  <c r="A76" i="1136" s="1"/>
  <c r="A77" i="1136" s="1"/>
  <c r="A78" i="1136" s="1"/>
  <c r="A79" i="1136" s="1"/>
  <c r="A80" i="1136" s="1"/>
  <c r="A81" i="1136" s="1"/>
  <c r="AF60" i="1136"/>
  <c r="AF59" i="1136"/>
  <c r="AF62" i="1136" s="1"/>
  <c r="AA21" i="1136"/>
  <c r="Z21" i="1136"/>
  <c r="Y21" i="1136"/>
  <c r="X21" i="1136"/>
  <c r="W21" i="1136"/>
  <c r="V21" i="1136"/>
  <c r="U21" i="1136"/>
  <c r="T21" i="1136"/>
  <c r="S21" i="1136"/>
  <c r="R21" i="1136"/>
  <c r="N21" i="1136"/>
  <c r="J21" i="1136"/>
  <c r="I21" i="1136"/>
  <c r="AF20" i="1136"/>
  <c r="AB20" i="1136"/>
  <c r="Q20" i="1136"/>
  <c r="P20" i="1136"/>
  <c r="AC20" i="1136" s="1"/>
  <c r="O20" i="1136"/>
  <c r="M20" i="1136"/>
  <c r="K20" i="1136"/>
  <c r="AF19" i="1136"/>
  <c r="Q19" i="1136"/>
  <c r="P19" i="1136" s="1"/>
  <c r="AC19" i="1136" s="1"/>
  <c r="M19" i="1136"/>
  <c r="AF18" i="1136"/>
  <c r="Q18" i="1136"/>
  <c r="P18" i="1136"/>
  <c r="AC18" i="1136" s="1"/>
  <c r="AF17" i="1136"/>
  <c r="Q17" i="1136"/>
  <c r="P17" i="1136"/>
  <c r="AC17" i="1136" s="1"/>
  <c r="AB17" i="1136"/>
  <c r="AF16" i="1136"/>
  <c r="AB16" i="1136"/>
  <c r="Q16" i="1136"/>
  <c r="P16" i="1136" s="1"/>
  <c r="AC16" i="1136" s="1"/>
  <c r="O16" i="1136"/>
  <c r="M16" i="1136"/>
  <c r="AF15" i="1136"/>
  <c r="AB15" i="1136"/>
  <c r="Q15" i="1136"/>
  <c r="P15" i="1136"/>
  <c r="AC15" i="1136" s="1"/>
  <c r="O15" i="1136"/>
  <c r="M15" i="1136"/>
  <c r="K15" i="1136"/>
  <c r="AF14" i="1136"/>
  <c r="AB14" i="1136"/>
  <c r="Q14" i="1136"/>
  <c r="P14" i="1136" s="1"/>
  <c r="AC14" i="1136" s="1"/>
  <c r="O14" i="1136"/>
  <c r="M14" i="1136"/>
  <c r="AF13" i="1136"/>
  <c r="AB13" i="1136"/>
  <c r="Q13" i="1136"/>
  <c r="M13" i="1136"/>
  <c r="P13" i="1136"/>
  <c r="AC13" i="1136" s="1"/>
  <c r="AF12" i="1136"/>
  <c r="Q12" i="1136"/>
  <c r="P12" i="1136"/>
  <c r="AC12" i="1136" s="1"/>
  <c r="AF11" i="1136"/>
  <c r="AB11" i="1136"/>
  <c r="Q11" i="1136"/>
  <c r="P11" i="1136" s="1"/>
  <c r="AC11" i="1136" s="1"/>
  <c r="M11" i="1136"/>
  <c r="AF10" i="1136"/>
  <c r="AB10" i="1136"/>
  <c r="Q10" i="1136"/>
  <c r="P10" i="1136"/>
  <c r="AC10" i="1136" s="1"/>
  <c r="O10" i="1136"/>
  <c r="M10" i="1136"/>
  <c r="K10" i="1136"/>
  <c r="AF9" i="1136"/>
  <c r="AB9" i="1136"/>
  <c r="Q9" i="1136"/>
  <c r="P9" i="1136"/>
  <c r="AC9" i="1136" s="1"/>
  <c r="O9" i="1136"/>
  <c r="M9" i="1136"/>
  <c r="K9" i="1136"/>
  <c r="AF8" i="1136"/>
  <c r="AB8" i="1136"/>
  <c r="Q8" i="1136"/>
  <c r="P8" i="1136" s="1"/>
  <c r="AC8" i="1136" s="1"/>
  <c r="O8" i="1136"/>
  <c r="M8" i="1136"/>
  <c r="AF7" i="1136"/>
  <c r="AB7" i="1136"/>
  <c r="Q7" i="1136"/>
  <c r="P7" i="1136"/>
  <c r="AC7" i="1136" s="1"/>
  <c r="O7" i="1136"/>
  <c r="M7" i="1136"/>
  <c r="K7" i="1136"/>
  <c r="AF6" i="1136"/>
  <c r="Q6" i="1136"/>
  <c r="O6" i="1136"/>
  <c r="AE19" i="1139" l="1"/>
  <c r="AE13" i="1139"/>
  <c r="AE20" i="1139"/>
  <c r="AE16" i="1139"/>
  <c r="AE12" i="1139"/>
  <c r="AE7" i="1139"/>
  <c r="AE15" i="1139"/>
  <c r="AE9" i="1139"/>
  <c r="AE14" i="1139"/>
  <c r="AE21" i="1139"/>
  <c r="AE17" i="1139"/>
  <c r="AE11" i="1139"/>
  <c r="AE6" i="1139"/>
  <c r="AE18" i="1139"/>
  <c r="AE8" i="1139"/>
  <c r="AD22" i="1138"/>
  <c r="AE13" i="1138" s="1"/>
  <c r="M21" i="1137"/>
  <c r="AD19" i="1137"/>
  <c r="AD12" i="1137"/>
  <c r="AC21" i="1137"/>
  <c r="AD6" i="1137"/>
  <c r="AB21" i="1137"/>
  <c r="P21" i="1137"/>
  <c r="L21" i="1136"/>
  <c r="O21" i="1136" s="1"/>
  <c r="K17" i="1136"/>
  <c r="K21" i="1136" s="1"/>
  <c r="Q21" i="1136"/>
  <c r="P6" i="1136"/>
  <c r="AC6" i="1136" s="1"/>
  <c r="AD9" i="1136"/>
  <c r="AD7" i="1136"/>
  <c r="AD8" i="1136"/>
  <c r="AD14" i="1136"/>
  <c r="AD20" i="1136"/>
  <c r="AD10" i="1136"/>
  <c r="AD15" i="1136"/>
  <c r="AD16" i="1136"/>
  <c r="AC21" i="1136"/>
  <c r="AD17" i="1136"/>
  <c r="AB19" i="1136"/>
  <c r="O11" i="1136"/>
  <c r="AD11" i="1136" s="1"/>
  <c r="M12" i="1136"/>
  <c r="AB12" i="1136"/>
  <c r="O13" i="1136"/>
  <c r="AD13" i="1136" s="1"/>
  <c r="M18" i="1136"/>
  <c r="AB18" i="1136"/>
  <c r="O19" i="1136"/>
  <c r="M6" i="1136"/>
  <c r="AB6" i="1136"/>
  <c r="O12" i="1136"/>
  <c r="M17" i="1136"/>
  <c r="O18" i="1136"/>
  <c r="P21" i="113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21" i="1135"/>
  <c r="L20" i="1135"/>
  <c r="K20" i="1135" s="1"/>
  <c r="L19" i="1135"/>
  <c r="L18" i="1135"/>
  <c r="K18" i="1135" s="1"/>
  <c r="L15" i="1135"/>
  <c r="K15" i="1135" s="1"/>
  <c r="L14" i="1135"/>
  <c r="M14" i="1135" s="1"/>
  <c r="AF14" i="1135"/>
  <c r="Q14" i="1135"/>
  <c r="O14" i="1135"/>
  <c r="K14" i="1135"/>
  <c r="K13" i="1135"/>
  <c r="L12" i="1135"/>
  <c r="K10" i="1135"/>
  <c r="AF10" i="1135"/>
  <c r="AB10" i="1135"/>
  <c r="Q10" i="1135"/>
  <c r="P10" i="1135" s="1"/>
  <c r="AC10" i="1135" s="1"/>
  <c r="AD10" i="1135" s="1"/>
  <c r="O10" i="1135"/>
  <c r="M10" i="1135"/>
  <c r="L8" i="1135"/>
  <c r="K8" i="1135" s="1"/>
  <c r="L6" i="1135"/>
  <c r="K6" i="1135" s="1"/>
  <c r="K19" i="1135"/>
  <c r="K12" i="1135"/>
  <c r="K9" i="1135"/>
  <c r="A77" i="1135"/>
  <c r="A78" i="1135" s="1"/>
  <c r="A79" i="1135" s="1"/>
  <c r="A80" i="1135" s="1"/>
  <c r="A81" i="1135" s="1"/>
  <c r="A82" i="1135" s="1"/>
  <c r="A83" i="1135" s="1"/>
  <c r="A76" i="1135"/>
  <c r="AF62" i="1135"/>
  <c r="AF61" i="1135"/>
  <c r="AF64" i="1135" s="1"/>
  <c r="AA23" i="1135"/>
  <c r="Z23" i="1135"/>
  <c r="Y23" i="1135"/>
  <c r="X23" i="1135"/>
  <c r="W23" i="1135"/>
  <c r="V23" i="1135"/>
  <c r="U23" i="1135"/>
  <c r="T23" i="1135"/>
  <c r="S23" i="1135"/>
  <c r="R23" i="1135"/>
  <c r="N23" i="1135"/>
  <c r="J23" i="1135"/>
  <c r="I23" i="1135"/>
  <c r="AF22" i="1135"/>
  <c r="AB22" i="1135"/>
  <c r="Q22" i="1135"/>
  <c r="P22" i="1135"/>
  <c r="AC22" i="1135" s="1"/>
  <c r="O22" i="1135"/>
  <c r="M22" i="1135"/>
  <c r="K22" i="1135"/>
  <c r="AF21" i="1135"/>
  <c r="AB21" i="1135"/>
  <c r="Q21" i="1135"/>
  <c r="P21" i="1135" s="1"/>
  <c r="AC21" i="1135" s="1"/>
  <c r="O21" i="1135"/>
  <c r="M21" i="1135"/>
  <c r="K21" i="1135"/>
  <c r="AF20" i="1135"/>
  <c r="Q20" i="1135"/>
  <c r="AF19" i="1135"/>
  <c r="AB19" i="1135"/>
  <c r="Q19" i="1135"/>
  <c r="P19" i="1135"/>
  <c r="AC19" i="1135" s="1"/>
  <c r="O19" i="1135"/>
  <c r="M19" i="1135"/>
  <c r="AF18" i="1135"/>
  <c r="Q18" i="1135"/>
  <c r="O18" i="1135"/>
  <c r="P18" i="1135"/>
  <c r="AC18" i="1135" s="1"/>
  <c r="AF17" i="1135"/>
  <c r="AB17" i="1135"/>
  <c r="Q17" i="1135"/>
  <c r="P17" i="1135"/>
  <c r="AC17" i="1135" s="1"/>
  <c r="AD17" i="1135" s="1"/>
  <c r="O17" i="1135"/>
  <c r="M17" i="1135"/>
  <c r="K17" i="1135"/>
  <c r="AF16" i="1135"/>
  <c r="AB16" i="1135"/>
  <c r="Q16" i="1135"/>
  <c r="P16" i="1135"/>
  <c r="AC16" i="1135" s="1"/>
  <c r="O16" i="1135"/>
  <c r="M16" i="1135"/>
  <c r="K16" i="1135"/>
  <c r="AF15" i="1135"/>
  <c r="AB15" i="1135"/>
  <c r="Q15" i="1135"/>
  <c r="P15" i="1135" s="1"/>
  <c r="AC15" i="1135" s="1"/>
  <c r="M15" i="1135"/>
  <c r="O15" i="1135"/>
  <c r="AF13" i="1135"/>
  <c r="Q13" i="1135"/>
  <c r="O13" i="1135"/>
  <c r="AF12" i="1135"/>
  <c r="AB12" i="1135"/>
  <c r="Q12" i="1135"/>
  <c r="P12" i="1135" s="1"/>
  <c r="AC12" i="1135" s="1"/>
  <c r="O12" i="1135"/>
  <c r="M12" i="1135"/>
  <c r="AF11" i="1135"/>
  <c r="AB11" i="1135"/>
  <c r="Q11" i="1135"/>
  <c r="P11" i="1135"/>
  <c r="AC11" i="1135" s="1"/>
  <c r="O11" i="1135"/>
  <c r="M11" i="1135"/>
  <c r="K11" i="1135"/>
  <c r="AF9" i="1135"/>
  <c r="Q9" i="1135"/>
  <c r="O9" i="1135"/>
  <c r="AF8" i="1135"/>
  <c r="AB8" i="1135"/>
  <c r="Q8" i="1135"/>
  <c r="P8" i="1135"/>
  <c r="AC8" i="1135" s="1"/>
  <c r="O8" i="1135"/>
  <c r="M8" i="1135"/>
  <c r="AF7" i="1135"/>
  <c r="AC7" i="1135"/>
  <c r="AB7" i="1135"/>
  <c r="Q7" i="1135"/>
  <c r="P7" i="1135"/>
  <c r="O7" i="1135"/>
  <c r="M7" i="1135"/>
  <c r="K7" i="1135"/>
  <c r="AF6" i="1135"/>
  <c r="Q6" i="1135"/>
  <c r="O6" i="1135"/>
  <c r="AE12" i="1138" l="1"/>
  <c r="AE6" i="1138"/>
  <c r="AE8" i="1138"/>
  <c r="AE16" i="1138"/>
  <c r="AE19" i="1138"/>
  <c r="AE11" i="1138"/>
  <c r="AE10" i="1138"/>
  <c r="AE7" i="1138"/>
  <c r="AE21" i="1138"/>
  <c r="AE15" i="1138"/>
  <c r="AE17" i="1138"/>
  <c r="AE9" i="1138"/>
  <c r="AE14" i="1138"/>
  <c r="AE18" i="1138"/>
  <c r="AE20" i="1138"/>
  <c r="AD21" i="1137"/>
  <c r="AE7" i="1137" s="1"/>
  <c r="AD18" i="1136"/>
  <c r="M21" i="1136"/>
  <c r="AD12" i="1136"/>
  <c r="AD19" i="1136"/>
  <c r="AB21" i="1136"/>
  <c r="AD6" i="1136"/>
  <c r="O20" i="1135"/>
  <c r="P14" i="1135"/>
  <c r="AC14" i="1135" s="1"/>
  <c r="AB14" i="1135"/>
  <c r="AD21" i="1135"/>
  <c r="AD7" i="1135"/>
  <c r="AD22" i="1135"/>
  <c r="Q23" i="1135"/>
  <c r="AD8" i="1135"/>
  <c r="AD12" i="1135"/>
  <c r="AD19" i="1135"/>
  <c r="AD11" i="1135"/>
  <c r="AD16" i="1135"/>
  <c r="AD15" i="1135"/>
  <c r="P6" i="1135"/>
  <c r="P9" i="1135"/>
  <c r="AC9" i="1135" s="1"/>
  <c r="P13" i="1135"/>
  <c r="AC13" i="1135" s="1"/>
  <c r="M18" i="1135"/>
  <c r="AB18" i="1135"/>
  <c r="AD18" i="1135" s="1"/>
  <c r="P20" i="1135"/>
  <c r="AC20" i="1135" s="1"/>
  <c r="M6" i="1135"/>
  <c r="AB6" i="1135"/>
  <c r="M9" i="1135"/>
  <c r="AB9" i="1135"/>
  <c r="M13" i="1135"/>
  <c r="AB13" i="1135"/>
  <c r="M20" i="1135"/>
  <c r="AB20" i="1135"/>
  <c r="L23" i="1135"/>
  <c r="O23" i="1135" s="1"/>
  <c r="L18" i="1134"/>
  <c r="O18" i="1134" s="1"/>
  <c r="L17" i="1134"/>
  <c r="K17" i="1134" s="1"/>
  <c r="L16" i="1134"/>
  <c r="P16" i="1134" s="1"/>
  <c r="AC16" i="1134" s="1"/>
  <c r="L13" i="1134"/>
  <c r="K13" i="1134" s="1"/>
  <c r="L12" i="1134"/>
  <c r="K12" i="1134" s="1"/>
  <c r="L11" i="1134"/>
  <c r="K10" i="1134"/>
  <c r="L9" i="1134"/>
  <c r="L8" i="1134"/>
  <c r="L6" i="1134"/>
  <c r="K6" i="1134" s="1"/>
  <c r="K19" i="1134"/>
  <c r="K11" i="1134"/>
  <c r="K9" i="1134"/>
  <c r="K8" i="1134"/>
  <c r="A74" i="1134"/>
  <c r="A75" i="1134" s="1"/>
  <c r="A76" i="1134" s="1"/>
  <c r="A77" i="1134" s="1"/>
  <c r="A78" i="1134" s="1"/>
  <c r="A79" i="1134" s="1"/>
  <c r="A80" i="1134" s="1"/>
  <c r="A81" i="1134" s="1"/>
  <c r="AF60" i="1134"/>
  <c r="AF59" i="1134"/>
  <c r="AF62" i="1134" s="1"/>
  <c r="AA21" i="1134"/>
  <c r="Z21" i="1134"/>
  <c r="Y21" i="1134"/>
  <c r="X21" i="1134"/>
  <c r="W21" i="1134"/>
  <c r="V21" i="1134"/>
  <c r="U21" i="1134"/>
  <c r="T21" i="1134"/>
  <c r="S21" i="1134"/>
  <c r="R21" i="1134"/>
  <c r="N21" i="1134"/>
  <c r="J21" i="1134"/>
  <c r="I21" i="1134"/>
  <c r="AF20" i="1134"/>
  <c r="AB20" i="1134"/>
  <c r="Q20" i="1134"/>
  <c r="P20" i="1134"/>
  <c r="AC20" i="1134" s="1"/>
  <c r="AD20" i="1134" s="1"/>
  <c r="O20" i="1134"/>
  <c r="M20" i="1134"/>
  <c r="K20" i="1134"/>
  <c r="AF19" i="1134"/>
  <c r="AB19" i="1134"/>
  <c r="Q19" i="1134"/>
  <c r="P19" i="1134"/>
  <c r="AC19" i="1134" s="1"/>
  <c r="AD19" i="1134" s="1"/>
  <c r="O19" i="1134"/>
  <c r="M19" i="1134"/>
  <c r="AF18" i="1134"/>
  <c r="Q18" i="1134"/>
  <c r="AF17" i="1134"/>
  <c r="Q17" i="1134"/>
  <c r="P17" i="1134" s="1"/>
  <c r="AC17" i="1134" s="1"/>
  <c r="AB17" i="1134"/>
  <c r="AF16" i="1134"/>
  <c r="Q16" i="1134"/>
  <c r="AF15" i="1134"/>
  <c r="AB15" i="1134"/>
  <c r="Q15" i="1134"/>
  <c r="P15" i="1134"/>
  <c r="AC15" i="1134" s="1"/>
  <c r="O15" i="1134"/>
  <c r="M15" i="1134"/>
  <c r="K15" i="1134"/>
  <c r="AF14" i="1134"/>
  <c r="AB14" i="1134"/>
  <c r="Q14" i="1134"/>
  <c r="P14" i="1134"/>
  <c r="AC14" i="1134" s="1"/>
  <c r="O14" i="1134"/>
  <c r="M14" i="1134"/>
  <c r="K14" i="1134"/>
  <c r="AF13" i="1134"/>
  <c r="AB13" i="1134"/>
  <c r="Q13" i="1134"/>
  <c r="P13" i="1134" s="1"/>
  <c r="AC13" i="1134" s="1"/>
  <c r="O13" i="1134"/>
  <c r="M13" i="1134"/>
  <c r="AF12" i="1134"/>
  <c r="AB12" i="1134"/>
  <c r="Q12" i="1134"/>
  <c r="P12" i="1134" s="1"/>
  <c r="AC12" i="1134" s="1"/>
  <c r="O12" i="1134"/>
  <c r="M12" i="1134"/>
  <c r="AF11" i="1134"/>
  <c r="Q11" i="1134"/>
  <c r="O11" i="1134"/>
  <c r="AF10" i="1134"/>
  <c r="AB10" i="1134"/>
  <c r="Q10" i="1134"/>
  <c r="P10" i="1134"/>
  <c r="AC10" i="1134" s="1"/>
  <c r="O10" i="1134"/>
  <c r="M10" i="1134"/>
  <c r="AF9" i="1134"/>
  <c r="AB9" i="1134"/>
  <c r="Q9" i="1134"/>
  <c r="P9" i="1134" s="1"/>
  <c r="AC9" i="1134" s="1"/>
  <c r="AD9" i="1134" s="1"/>
  <c r="O9" i="1134"/>
  <c r="M9" i="1134"/>
  <c r="AF8" i="1134"/>
  <c r="Q8" i="1134"/>
  <c r="O8" i="1134"/>
  <c r="AF7" i="1134"/>
  <c r="AB7" i="1134"/>
  <c r="Q7" i="1134"/>
  <c r="P7" i="1134"/>
  <c r="AC7" i="1134" s="1"/>
  <c r="AD7" i="1134" s="1"/>
  <c r="O7" i="1134"/>
  <c r="M7" i="1134"/>
  <c r="K7" i="1134"/>
  <c r="AF6" i="1134"/>
  <c r="AB6" i="1134"/>
  <c r="Q6" i="1134"/>
  <c r="O6" i="1134"/>
  <c r="M6" i="1134"/>
  <c r="AE15" i="1137" l="1"/>
  <c r="AE17" i="1137"/>
  <c r="AE14" i="1137"/>
  <c r="AE10" i="1137"/>
  <c r="AE19" i="1137"/>
  <c r="AE20" i="1137"/>
  <c r="AE13" i="1137"/>
  <c r="AE18" i="1137"/>
  <c r="AE6" i="1137"/>
  <c r="AE8" i="1137"/>
  <c r="AE16" i="1137"/>
  <c r="AE12" i="1137"/>
  <c r="AE11" i="1137"/>
  <c r="AE9" i="1137"/>
  <c r="AD21" i="1136"/>
  <c r="AE13" i="1136" s="1"/>
  <c r="AD14" i="1135"/>
  <c r="AD20" i="1135"/>
  <c r="AD9" i="1135"/>
  <c r="AB23" i="1135"/>
  <c r="AD13" i="1135"/>
  <c r="P23" i="1135"/>
  <c r="AC6" i="1135"/>
  <c r="K23" i="1135"/>
  <c r="M23" i="1135"/>
  <c r="AD15" i="1134"/>
  <c r="AB16" i="1134"/>
  <c r="AD12" i="1134"/>
  <c r="AD14" i="1134"/>
  <c r="K18" i="1134"/>
  <c r="K16" i="1134"/>
  <c r="O16" i="1134"/>
  <c r="AD16" i="1134" s="1"/>
  <c r="AD13" i="1134"/>
  <c r="Q21" i="1134"/>
  <c r="P6" i="1134"/>
  <c r="AD10" i="1134"/>
  <c r="AC6" i="1134"/>
  <c r="P8" i="1134"/>
  <c r="AC8" i="1134" s="1"/>
  <c r="P11" i="1134"/>
  <c r="AC11" i="1134" s="1"/>
  <c r="M16" i="1134"/>
  <c r="O17" i="1134"/>
  <c r="AD17" i="1134" s="1"/>
  <c r="P18" i="1134"/>
  <c r="AC18" i="1134" s="1"/>
  <c r="M8" i="1134"/>
  <c r="M11" i="1134"/>
  <c r="M18" i="1134"/>
  <c r="AB18" i="1134"/>
  <c r="L21" i="1134"/>
  <c r="O21" i="1134" s="1"/>
  <c r="AB8" i="1134"/>
  <c r="AB11" i="1134"/>
  <c r="K21" i="1134"/>
  <c r="M17" i="1134"/>
  <c r="O18" i="16"/>
  <c r="O17" i="16"/>
  <c r="O16" i="16"/>
  <c r="O15" i="16"/>
  <c r="O14" i="16"/>
  <c r="O13" i="16"/>
  <c r="O12" i="16"/>
  <c r="O11" i="16"/>
  <c r="O10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O9" i="16"/>
  <c r="O8" i="16"/>
  <c r="O7" i="16"/>
  <c r="O6" i="16"/>
  <c r="O5" i="16"/>
  <c r="O4" i="16"/>
  <c r="O3" i="16"/>
  <c r="L19" i="1133"/>
  <c r="L18" i="1133"/>
  <c r="L17" i="1133"/>
  <c r="K13" i="1133"/>
  <c r="AF13" i="1133"/>
  <c r="Q13" i="1133"/>
  <c r="AB13" i="1133"/>
  <c r="L12" i="1133"/>
  <c r="L11" i="1133"/>
  <c r="K11" i="1133" s="1"/>
  <c r="L9" i="1133"/>
  <c r="K9" i="1133" s="1"/>
  <c r="L8" i="1133"/>
  <c r="K8" i="1133" s="1"/>
  <c r="L6" i="1133"/>
  <c r="AB6" i="1133" s="1"/>
  <c r="K20" i="1133"/>
  <c r="K19" i="1133"/>
  <c r="K18" i="1133"/>
  <c r="K17" i="1133"/>
  <c r="K14" i="1133"/>
  <c r="K12" i="1133"/>
  <c r="K10" i="1133"/>
  <c r="A75" i="1133"/>
  <c r="A76" i="1133" s="1"/>
  <c r="A77" i="1133" s="1"/>
  <c r="A78" i="1133" s="1"/>
  <c r="A79" i="1133" s="1"/>
  <c r="A80" i="1133" s="1"/>
  <c r="A81" i="1133" s="1"/>
  <c r="A82" i="1133" s="1"/>
  <c r="AF61" i="1133"/>
  <c r="AF60" i="1133"/>
  <c r="AF63" i="1133" s="1"/>
  <c r="AA22" i="1133"/>
  <c r="Z22" i="1133"/>
  <c r="Y22" i="1133"/>
  <c r="X22" i="1133"/>
  <c r="W22" i="1133"/>
  <c r="V22" i="1133"/>
  <c r="U22" i="1133"/>
  <c r="T22" i="1133"/>
  <c r="S22" i="1133"/>
  <c r="R22" i="1133"/>
  <c r="N22" i="1133"/>
  <c r="J22" i="1133"/>
  <c r="I22" i="1133"/>
  <c r="AF21" i="1133"/>
  <c r="AB21" i="1133"/>
  <c r="Q21" i="1133"/>
  <c r="P21" i="1133"/>
  <c r="AC21" i="1133" s="1"/>
  <c r="O21" i="1133"/>
  <c r="M21" i="1133"/>
  <c r="K21" i="1133"/>
  <c r="AF20" i="1133"/>
  <c r="Q20" i="1133"/>
  <c r="P20" i="1133" s="1"/>
  <c r="AC20" i="1133" s="1"/>
  <c r="AF19" i="1133"/>
  <c r="AB19" i="1133"/>
  <c r="Q19" i="1133"/>
  <c r="P19" i="1133" s="1"/>
  <c r="AC19" i="1133" s="1"/>
  <c r="O19" i="1133"/>
  <c r="M19" i="1133"/>
  <c r="AF18" i="1133"/>
  <c r="AB18" i="1133"/>
  <c r="Q18" i="1133"/>
  <c r="O18" i="1133"/>
  <c r="M18" i="1133"/>
  <c r="P18" i="1133"/>
  <c r="AC18" i="1133" s="1"/>
  <c r="AF17" i="1133"/>
  <c r="AB17" i="1133"/>
  <c r="Q17" i="1133"/>
  <c r="M17" i="1133"/>
  <c r="P17" i="1133"/>
  <c r="AC17" i="1133" s="1"/>
  <c r="AF16" i="1133"/>
  <c r="AB16" i="1133"/>
  <c r="Q16" i="1133"/>
  <c r="P16" i="1133"/>
  <c r="AC16" i="1133" s="1"/>
  <c r="O16" i="1133"/>
  <c r="M16" i="1133"/>
  <c r="K16" i="1133"/>
  <c r="AF15" i="1133"/>
  <c r="AB15" i="1133"/>
  <c r="Q15" i="1133"/>
  <c r="P15" i="1133"/>
  <c r="AC15" i="1133" s="1"/>
  <c r="AD15" i="1133" s="1"/>
  <c r="O15" i="1133"/>
  <c r="M15" i="1133"/>
  <c r="K15" i="1133"/>
  <c r="AF14" i="1133"/>
  <c r="Q14" i="1133"/>
  <c r="P14" i="1133" s="1"/>
  <c r="AC14" i="1133" s="1"/>
  <c r="AF12" i="1133"/>
  <c r="AB12" i="1133"/>
  <c r="Q12" i="1133"/>
  <c r="P12" i="1133" s="1"/>
  <c r="AC12" i="1133" s="1"/>
  <c r="O12" i="1133"/>
  <c r="M12" i="1133"/>
  <c r="AF11" i="1133"/>
  <c r="Q11" i="1133"/>
  <c r="O11" i="1133"/>
  <c r="AB11" i="1133"/>
  <c r="AF10" i="1133"/>
  <c r="AB10" i="1133"/>
  <c r="Q10" i="1133"/>
  <c r="P10" i="1133" s="1"/>
  <c r="AC10" i="1133" s="1"/>
  <c r="M10" i="1133"/>
  <c r="AF9" i="1133"/>
  <c r="Q9" i="1133"/>
  <c r="P9" i="1133" s="1"/>
  <c r="AC9" i="1133" s="1"/>
  <c r="AF8" i="1133"/>
  <c r="AB8" i="1133"/>
  <c r="Q8" i="1133"/>
  <c r="P8" i="1133" s="1"/>
  <c r="AC8" i="1133" s="1"/>
  <c r="O8" i="1133"/>
  <c r="M8" i="1133"/>
  <c r="AF7" i="1133"/>
  <c r="AB7" i="1133"/>
  <c r="Q7" i="1133"/>
  <c r="P7" i="1133"/>
  <c r="AC7" i="1133" s="1"/>
  <c r="O7" i="1133"/>
  <c r="M7" i="1133"/>
  <c r="K7" i="1133"/>
  <c r="AF6" i="1133"/>
  <c r="Q6" i="1133"/>
  <c r="AE10" i="1136" l="1"/>
  <c r="AE14" i="1136"/>
  <c r="AE15" i="1136"/>
  <c r="AE12" i="1136"/>
  <c r="AE8" i="1136"/>
  <c r="AE20" i="1136"/>
  <c r="AE6" i="1136"/>
  <c r="AE7" i="1136"/>
  <c r="AE16" i="1136"/>
  <c r="AE11" i="1136"/>
  <c r="AE19" i="1136"/>
  <c r="AE18" i="1136"/>
  <c r="AE17" i="1136"/>
  <c r="AE9" i="1136"/>
  <c r="AC23" i="1135"/>
  <c r="AD6" i="1135"/>
  <c r="AD23" i="1135" s="1"/>
  <c r="AB21" i="1134"/>
  <c r="M21" i="1134"/>
  <c r="P21" i="1134"/>
  <c r="AD8" i="1134"/>
  <c r="AD18" i="1134"/>
  <c r="AD11" i="1134"/>
  <c r="AC21" i="1134"/>
  <c r="AD6" i="1134"/>
  <c r="O13" i="1133"/>
  <c r="P13" i="1133"/>
  <c r="AC13" i="1133" s="1"/>
  <c r="AD13" i="1133" s="1"/>
  <c r="M13" i="1133"/>
  <c r="Q22" i="1133"/>
  <c r="AD21" i="1133"/>
  <c r="AE13" i="1133" s="1"/>
  <c r="AD12" i="1133"/>
  <c r="P6" i="1133"/>
  <c r="AC6" i="1133" s="1"/>
  <c r="O6" i="1133"/>
  <c r="K6" i="1133"/>
  <c r="L22" i="1133"/>
  <c r="O22" i="1133" s="1"/>
  <c r="M6" i="1133"/>
  <c r="AD8" i="1133"/>
  <c r="AD18" i="1133"/>
  <c r="AD19" i="1133"/>
  <c r="AD7" i="1133"/>
  <c r="AD16" i="1133"/>
  <c r="K22" i="1133"/>
  <c r="M9" i="1133"/>
  <c r="AB9" i="1133"/>
  <c r="O10" i="1133"/>
  <c r="AD10" i="1133" s="1"/>
  <c r="P11" i="1133"/>
  <c r="AC11" i="1133" s="1"/>
  <c r="AD11" i="1133" s="1"/>
  <c r="M14" i="1133"/>
  <c r="AB14" i="1133"/>
  <c r="O17" i="1133"/>
  <c r="AD17" i="1133" s="1"/>
  <c r="M20" i="1133"/>
  <c r="AB20" i="1133"/>
  <c r="AD20" i="1133" s="1"/>
  <c r="O9" i="1133"/>
  <c r="O14" i="1133"/>
  <c r="O20" i="1133"/>
  <c r="M11" i="1133"/>
  <c r="L20" i="1132"/>
  <c r="L19" i="1132"/>
  <c r="L18" i="1132"/>
  <c r="K18" i="1132" s="1"/>
  <c r="L17" i="1132"/>
  <c r="L14" i="1132"/>
  <c r="L13" i="1132"/>
  <c r="L12" i="1132"/>
  <c r="K12" i="1132" s="1"/>
  <c r="L11" i="1132"/>
  <c r="K11" i="1132" s="1"/>
  <c r="L10" i="1132"/>
  <c r="K10" i="1132" s="1"/>
  <c r="L9" i="1132"/>
  <c r="K9" i="1132" s="1"/>
  <c r="AF9" i="1132"/>
  <c r="Q9" i="1132"/>
  <c r="P9" i="1132" s="1"/>
  <c r="AC9" i="1132" s="1"/>
  <c r="L8" i="1132"/>
  <c r="AE10" i="1135" l="1"/>
  <c r="AE14" i="1135"/>
  <c r="AE21" i="1135"/>
  <c r="AE18" i="1135"/>
  <c r="AE11" i="1135"/>
  <c r="AE7" i="1135"/>
  <c r="AE20" i="1135"/>
  <c r="AE19" i="1135"/>
  <c r="AE16" i="1135"/>
  <c r="AE12" i="1135"/>
  <c r="AE8" i="1135"/>
  <c r="AE22" i="1135"/>
  <c r="AE6" i="1135"/>
  <c r="AE17" i="1135"/>
  <c r="AE15" i="1135"/>
  <c r="AE13" i="1135"/>
  <c r="AE9" i="1135"/>
  <c r="AD21" i="1134"/>
  <c r="AE19" i="1134" s="1"/>
  <c r="AD14" i="1133"/>
  <c r="AB22" i="1133"/>
  <c r="M22" i="1133"/>
  <c r="AD9" i="1133"/>
  <c r="P22" i="1133"/>
  <c r="AC22" i="1133"/>
  <c r="AD6" i="1133"/>
  <c r="M9" i="1132"/>
  <c r="O9" i="1132"/>
  <c r="AB9" i="1132"/>
  <c r="AE13" i="1134" l="1"/>
  <c r="AE18" i="1134"/>
  <c r="AE10" i="1134"/>
  <c r="AE6" i="1134"/>
  <c r="AE15" i="1134"/>
  <c r="AE20" i="1134"/>
  <c r="AE14" i="1134"/>
  <c r="AE9" i="1134"/>
  <c r="AE8" i="1134"/>
  <c r="AE17" i="1134"/>
  <c r="AE16" i="1134"/>
  <c r="AE12" i="1134"/>
  <c r="AE11" i="1134"/>
  <c r="AE7" i="1134"/>
  <c r="AD22" i="1133"/>
  <c r="AE17" i="1133" s="1"/>
  <c r="AD9" i="1132"/>
  <c r="AE19" i="1133" l="1"/>
  <c r="AE16" i="1133"/>
  <c r="AE20" i="1133"/>
  <c r="AE12" i="1133"/>
  <c r="AE6" i="1133"/>
  <c r="AE11" i="1133"/>
  <c r="AE18" i="1133"/>
  <c r="AE9" i="1133"/>
  <c r="AE21" i="1133"/>
  <c r="AE7" i="1133"/>
  <c r="AE10" i="1133"/>
  <c r="AE8" i="1133"/>
  <c r="AE15" i="1133"/>
  <c r="AE14" i="1133"/>
  <c r="L6" i="1132"/>
  <c r="K20" i="1132"/>
  <c r="K19" i="1132"/>
  <c r="K17" i="1132"/>
  <c r="K14" i="1132"/>
  <c r="K13" i="1132"/>
  <c r="K8" i="1132"/>
  <c r="K6" i="1132"/>
  <c r="A75" i="1132"/>
  <c r="A76" i="1132" s="1"/>
  <c r="A77" i="1132" s="1"/>
  <c r="A78" i="1132" s="1"/>
  <c r="A79" i="1132" s="1"/>
  <c r="A80" i="1132" s="1"/>
  <c r="A81" i="1132" s="1"/>
  <c r="A82" i="1132" s="1"/>
  <c r="AF61" i="1132"/>
  <c r="AF63" i="1132" s="1"/>
  <c r="AF60" i="1132"/>
  <c r="AA22" i="1132"/>
  <c r="Z22" i="1132"/>
  <c r="Y22" i="1132"/>
  <c r="X22" i="1132"/>
  <c r="W22" i="1132"/>
  <c r="V22" i="1132"/>
  <c r="U22" i="1132"/>
  <c r="T22" i="1132"/>
  <c r="S22" i="1132"/>
  <c r="R22" i="1132"/>
  <c r="N22" i="1132"/>
  <c r="J22" i="1132"/>
  <c r="I22" i="1132"/>
  <c r="AF21" i="1132"/>
  <c r="AB21" i="1132"/>
  <c r="Q21" i="1132"/>
  <c r="P21" i="1132"/>
  <c r="AC21" i="1132" s="1"/>
  <c r="AD21" i="1132" s="1"/>
  <c r="O21" i="1132"/>
  <c r="M21" i="1132"/>
  <c r="K21" i="1132"/>
  <c r="AF20" i="1132"/>
  <c r="Q20" i="1132"/>
  <c r="P20" i="1132" s="1"/>
  <c r="AC20" i="1132" s="1"/>
  <c r="AF19" i="1132"/>
  <c r="Q19" i="1132"/>
  <c r="P19" i="1132" s="1"/>
  <c r="AC19" i="1132" s="1"/>
  <c r="O19" i="1132"/>
  <c r="AB19" i="1132"/>
  <c r="AF18" i="1132"/>
  <c r="AB18" i="1132"/>
  <c r="Q18" i="1132"/>
  <c r="P18" i="1132"/>
  <c r="AC18" i="1132" s="1"/>
  <c r="O18" i="1132"/>
  <c r="M18" i="1132"/>
  <c r="AF17" i="1132"/>
  <c r="Q17" i="1132"/>
  <c r="P17" i="1132" s="1"/>
  <c r="AC17" i="1132" s="1"/>
  <c r="AF16" i="1132"/>
  <c r="AB16" i="1132"/>
  <c r="Q16" i="1132"/>
  <c r="P16" i="1132"/>
  <c r="AC16" i="1132" s="1"/>
  <c r="O16" i="1132"/>
  <c r="M16" i="1132"/>
  <c r="K16" i="1132"/>
  <c r="AF15" i="1132"/>
  <c r="AB15" i="1132"/>
  <c r="Q15" i="1132"/>
  <c r="P15" i="1132"/>
  <c r="AC15" i="1132" s="1"/>
  <c r="O15" i="1132"/>
  <c r="M15" i="1132"/>
  <c r="K15" i="1132"/>
  <c r="AF14" i="1132"/>
  <c r="Q14" i="1132"/>
  <c r="P14" i="1132" s="1"/>
  <c r="AC14" i="1132" s="1"/>
  <c r="O14" i="1132"/>
  <c r="AB14" i="1132"/>
  <c r="AF13" i="1132"/>
  <c r="AB13" i="1132"/>
  <c r="Q13" i="1132"/>
  <c r="P13" i="1132"/>
  <c r="AC13" i="1132" s="1"/>
  <c r="O13" i="1132"/>
  <c r="M13" i="1132"/>
  <c r="AF12" i="1132"/>
  <c r="AB12" i="1132"/>
  <c r="Q12" i="1132"/>
  <c r="P12" i="1132" s="1"/>
  <c r="AC12" i="1132" s="1"/>
  <c r="O12" i="1132"/>
  <c r="M12" i="1132"/>
  <c r="AF11" i="1132"/>
  <c r="AB11" i="1132"/>
  <c r="Q11" i="1132"/>
  <c r="P11" i="1132" s="1"/>
  <c r="AC11" i="1132" s="1"/>
  <c r="O11" i="1132"/>
  <c r="M11" i="1132"/>
  <c r="AF10" i="1132"/>
  <c r="AB10" i="1132"/>
  <c r="Q10" i="1132"/>
  <c r="P10" i="1132" s="1"/>
  <c r="AC10" i="1132" s="1"/>
  <c r="M10" i="1132"/>
  <c r="AF8" i="1132"/>
  <c r="Q8" i="1132"/>
  <c r="P8" i="1132" s="1"/>
  <c r="AC8" i="1132" s="1"/>
  <c r="AF7" i="1132"/>
  <c r="AB7" i="1132"/>
  <c r="Q7" i="1132"/>
  <c r="P7" i="1132"/>
  <c r="AC7" i="1132" s="1"/>
  <c r="O7" i="1132"/>
  <c r="M7" i="1132"/>
  <c r="K7" i="1132"/>
  <c r="AF6" i="1132"/>
  <c r="AB6" i="1132"/>
  <c r="Q6" i="1132"/>
  <c r="M6" i="1132"/>
  <c r="L22" i="1132"/>
  <c r="O22" i="1132" s="1"/>
  <c r="AD12" i="1132" l="1"/>
  <c r="AD18" i="1132"/>
  <c r="AD16" i="1132"/>
  <c r="AD15" i="1132"/>
  <c r="Q22" i="1132"/>
  <c r="AD7" i="1132"/>
  <c r="AD13" i="1132"/>
  <c r="AD11" i="1132"/>
  <c r="AD19" i="1132"/>
  <c r="AD14" i="1132"/>
  <c r="O6" i="1132"/>
  <c r="M8" i="1132"/>
  <c r="M17" i="1132"/>
  <c r="AB17" i="1132"/>
  <c r="M20" i="1132"/>
  <c r="AB20" i="1132"/>
  <c r="AB8" i="1132"/>
  <c r="O10" i="1132"/>
  <c r="AD10" i="1132" s="1"/>
  <c r="P6" i="1132"/>
  <c r="O8" i="1132"/>
  <c r="M14" i="1132"/>
  <c r="O17" i="1132"/>
  <c r="M19" i="1132"/>
  <c r="O20" i="1132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19" i="1131"/>
  <c r="K19" i="1131" s="1"/>
  <c r="L18" i="1131"/>
  <c r="K18" i="1131" s="1"/>
  <c r="L16" i="1131"/>
  <c r="K16" i="1131" s="1"/>
  <c r="L13" i="1131"/>
  <c r="K13" i="1131" s="1"/>
  <c r="L12" i="1131"/>
  <c r="L9" i="1131"/>
  <c r="L8" i="1131"/>
  <c r="K8" i="1131" s="1"/>
  <c r="L6" i="1131"/>
  <c r="K20" i="1131"/>
  <c r="K12" i="1131"/>
  <c r="K9" i="1131"/>
  <c r="K6" i="1131"/>
  <c r="A75" i="1131"/>
  <c r="A76" i="1131" s="1"/>
  <c r="A77" i="1131" s="1"/>
  <c r="A78" i="1131" s="1"/>
  <c r="A79" i="1131" s="1"/>
  <c r="A80" i="1131" s="1"/>
  <c r="A81" i="1131" s="1"/>
  <c r="A74" i="1131"/>
  <c r="AF60" i="1131"/>
  <c r="AF59" i="1131"/>
  <c r="AF62" i="1131" s="1"/>
  <c r="AA21" i="1131"/>
  <c r="Z21" i="1131"/>
  <c r="Y21" i="1131"/>
  <c r="X21" i="1131"/>
  <c r="W21" i="1131"/>
  <c r="V21" i="1131"/>
  <c r="U21" i="1131"/>
  <c r="T21" i="1131"/>
  <c r="S21" i="1131"/>
  <c r="R21" i="1131"/>
  <c r="N21" i="1131"/>
  <c r="J21" i="1131"/>
  <c r="I21" i="1131"/>
  <c r="AF20" i="1131"/>
  <c r="Q20" i="1131"/>
  <c r="M20" i="1131"/>
  <c r="O20" i="1131"/>
  <c r="AF19" i="1131"/>
  <c r="Q19" i="1131"/>
  <c r="AB19" i="1131"/>
  <c r="AF18" i="1131"/>
  <c r="Q18" i="1131"/>
  <c r="P18" i="1131" s="1"/>
  <c r="AC18" i="1131" s="1"/>
  <c r="O18" i="1131"/>
  <c r="AB18" i="1131"/>
  <c r="AF17" i="1131"/>
  <c r="AC17" i="1131"/>
  <c r="AD17" i="1131" s="1"/>
  <c r="AB17" i="1131"/>
  <c r="Q17" i="1131"/>
  <c r="P17" i="1131"/>
  <c r="O17" i="1131"/>
  <c r="M17" i="1131"/>
  <c r="K17" i="1131"/>
  <c r="AF16" i="1131"/>
  <c r="Q16" i="1131"/>
  <c r="AF15" i="1131"/>
  <c r="AB15" i="1131"/>
  <c r="Q15" i="1131"/>
  <c r="P15" i="1131"/>
  <c r="AC15" i="1131" s="1"/>
  <c r="AD15" i="1131" s="1"/>
  <c r="O15" i="1131"/>
  <c r="M15" i="1131"/>
  <c r="K15" i="1131"/>
  <c r="AF14" i="1131"/>
  <c r="AB14" i="1131"/>
  <c r="Q14" i="1131"/>
  <c r="P14" i="1131"/>
  <c r="AC14" i="1131" s="1"/>
  <c r="O14" i="1131"/>
  <c r="M14" i="1131"/>
  <c r="K14" i="1131"/>
  <c r="AF13" i="1131"/>
  <c r="AB13" i="1131"/>
  <c r="Q13" i="1131"/>
  <c r="P13" i="1131" s="1"/>
  <c r="AC13" i="1131" s="1"/>
  <c r="O13" i="1131"/>
  <c r="M13" i="1131"/>
  <c r="AF12" i="1131"/>
  <c r="AB12" i="1131"/>
  <c r="Q12" i="1131"/>
  <c r="M12" i="1131"/>
  <c r="O12" i="1131"/>
  <c r="AF11" i="1131"/>
  <c r="AB11" i="1131"/>
  <c r="Q11" i="1131"/>
  <c r="P11" i="1131"/>
  <c r="AC11" i="1131" s="1"/>
  <c r="AD11" i="1131" s="1"/>
  <c r="O11" i="1131"/>
  <c r="M11" i="1131"/>
  <c r="K11" i="1131"/>
  <c r="AF10" i="1131"/>
  <c r="AB10" i="1131"/>
  <c r="Q10" i="1131"/>
  <c r="P10" i="1131"/>
  <c r="AC10" i="1131" s="1"/>
  <c r="AD10" i="1131" s="1"/>
  <c r="O10" i="1131"/>
  <c r="M10" i="1131"/>
  <c r="K10" i="1131"/>
  <c r="AF9" i="1131"/>
  <c r="Q9" i="1131"/>
  <c r="AB9" i="1131"/>
  <c r="AF8" i="1131"/>
  <c r="AB8" i="1131"/>
  <c r="Q8" i="1131"/>
  <c r="P8" i="1131" s="1"/>
  <c r="AC8" i="1131" s="1"/>
  <c r="O8" i="1131"/>
  <c r="M8" i="1131"/>
  <c r="AF7" i="1131"/>
  <c r="AB7" i="1131"/>
  <c r="Q7" i="1131"/>
  <c r="P7" i="1131"/>
  <c r="AC7" i="1131" s="1"/>
  <c r="AD7" i="1131" s="1"/>
  <c r="O7" i="1131"/>
  <c r="M7" i="1131"/>
  <c r="K7" i="1131"/>
  <c r="AF6" i="1131"/>
  <c r="Q6" i="1131"/>
  <c r="P6" i="1131"/>
  <c r="O6" i="1131"/>
  <c r="M22" i="1132" l="1"/>
  <c r="AD17" i="1132"/>
  <c r="AB22" i="1132"/>
  <c r="AD20" i="1132"/>
  <c r="P22" i="1132"/>
  <c r="AC6" i="1132"/>
  <c r="K22" i="1132"/>
  <c r="AD8" i="1132"/>
  <c r="AD18" i="1131"/>
  <c r="M16" i="1131"/>
  <c r="AB16" i="1131"/>
  <c r="O16" i="1131"/>
  <c r="L21" i="1131"/>
  <c r="O21" i="1131" s="1"/>
  <c r="P16" i="1131"/>
  <c r="AC16" i="1131" s="1"/>
  <c r="Q21" i="1131"/>
  <c r="AD13" i="1131"/>
  <c r="AD8" i="1131"/>
  <c r="AD14" i="1131"/>
  <c r="M6" i="1131"/>
  <c r="AB6" i="1131"/>
  <c r="AB21" i="1131" s="1"/>
  <c r="O9" i="1131"/>
  <c r="K21" i="1131"/>
  <c r="P12" i="1131"/>
  <c r="AC12" i="1131" s="1"/>
  <c r="AD12" i="1131" s="1"/>
  <c r="M18" i="1131"/>
  <c r="O19" i="1131"/>
  <c r="P20" i="1131"/>
  <c r="AC20" i="1131" s="1"/>
  <c r="AC6" i="1131"/>
  <c r="P9" i="1131"/>
  <c r="AC9" i="1131" s="1"/>
  <c r="AD9" i="1131" s="1"/>
  <c r="P19" i="1131"/>
  <c r="AC19" i="1131" s="1"/>
  <c r="AD19" i="1131" s="1"/>
  <c r="AB20" i="1131"/>
  <c r="M9" i="1131"/>
  <c r="M19" i="1131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20" i="1130"/>
  <c r="L19" i="1130"/>
  <c r="AB19" i="1130" s="1"/>
  <c r="L18" i="1130"/>
  <c r="AB18" i="1130" s="1"/>
  <c r="L13" i="1130"/>
  <c r="L12" i="1130"/>
  <c r="K12" i="1130" s="1"/>
  <c r="K10" i="1130"/>
  <c r="L9" i="1130"/>
  <c r="K9" i="1130" s="1"/>
  <c r="L6" i="1130"/>
  <c r="K6" i="1130" s="1"/>
  <c r="K20" i="1130"/>
  <c r="K19" i="1130"/>
  <c r="K18" i="1130"/>
  <c r="K13" i="1130"/>
  <c r="K8" i="1130"/>
  <c r="A74" i="1130"/>
  <c r="A75" i="1130" s="1"/>
  <c r="A76" i="1130" s="1"/>
  <c r="A77" i="1130" s="1"/>
  <c r="A78" i="1130" s="1"/>
  <c r="A79" i="1130" s="1"/>
  <c r="A80" i="1130" s="1"/>
  <c r="A81" i="1130" s="1"/>
  <c r="AF60" i="1130"/>
  <c r="AF59" i="1130"/>
  <c r="AA21" i="1130"/>
  <c r="Z21" i="1130"/>
  <c r="Y21" i="1130"/>
  <c r="X21" i="1130"/>
  <c r="W21" i="1130"/>
  <c r="V21" i="1130"/>
  <c r="U21" i="1130"/>
  <c r="T21" i="1130"/>
  <c r="S21" i="1130"/>
  <c r="R21" i="1130"/>
  <c r="N21" i="1130"/>
  <c r="J21" i="1130"/>
  <c r="I21" i="1130"/>
  <c r="AF20" i="1130"/>
  <c r="AB20" i="1130"/>
  <c r="Q20" i="1130"/>
  <c r="M20" i="1130"/>
  <c r="O20" i="1130"/>
  <c r="AF19" i="1130"/>
  <c r="Q19" i="1130"/>
  <c r="AF18" i="1130"/>
  <c r="Q18" i="1130"/>
  <c r="P18" i="1130" s="1"/>
  <c r="AC18" i="1130" s="1"/>
  <c r="AF17" i="1130"/>
  <c r="AB17" i="1130"/>
  <c r="Q17" i="1130"/>
  <c r="P17" i="1130"/>
  <c r="AC17" i="1130" s="1"/>
  <c r="O17" i="1130"/>
  <c r="M17" i="1130"/>
  <c r="K17" i="1130"/>
  <c r="AF16" i="1130"/>
  <c r="AB16" i="1130"/>
  <c r="Q16" i="1130"/>
  <c r="P16" i="1130"/>
  <c r="AC16" i="1130" s="1"/>
  <c r="O16" i="1130"/>
  <c r="M16" i="1130"/>
  <c r="K16" i="1130"/>
  <c r="AF15" i="1130"/>
  <c r="AB15" i="1130"/>
  <c r="Q15" i="1130"/>
  <c r="P15" i="1130"/>
  <c r="AC15" i="1130" s="1"/>
  <c r="O15" i="1130"/>
  <c r="M15" i="1130"/>
  <c r="K15" i="1130"/>
  <c r="AF14" i="1130"/>
  <c r="AB14" i="1130"/>
  <c r="Q14" i="1130"/>
  <c r="P14" i="1130"/>
  <c r="AC14" i="1130" s="1"/>
  <c r="O14" i="1130"/>
  <c r="M14" i="1130"/>
  <c r="K14" i="1130"/>
  <c r="AF13" i="1130"/>
  <c r="Q13" i="1130"/>
  <c r="AB13" i="1130"/>
  <c r="AF12" i="1130"/>
  <c r="AB12" i="1130"/>
  <c r="Q12" i="1130"/>
  <c r="P12" i="1130" s="1"/>
  <c r="AC12" i="1130" s="1"/>
  <c r="O12" i="1130"/>
  <c r="M12" i="1130"/>
  <c r="AF11" i="1130"/>
  <c r="AB11" i="1130"/>
  <c r="Q11" i="1130"/>
  <c r="P11" i="1130"/>
  <c r="AC11" i="1130" s="1"/>
  <c r="O11" i="1130"/>
  <c r="M11" i="1130"/>
  <c r="K11" i="1130"/>
  <c r="AF10" i="1130"/>
  <c r="AB10" i="1130"/>
  <c r="Q10" i="1130"/>
  <c r="P10" i="1130"/>
  <c r="AC10" i="1130" s="1"/>
  <c r="O10" i="1130"/>
  <c r="M10" i="1130"/>
  <c r="AF9" i="1130"/>
  <c r="AB9" i="1130"/>
  <c r="Q9" i="1130"/>
  <c r="P9" i="1130" s="1"/>
  <c r="AC9" i="1130" s="1"/>
  <c r="O9" i="1130"/>
  <c r="M9" i="1130"/>
  <c r="AF8" i="1130"/>
  <c r="AB8" i="1130"/>
  <c r="Q8" i="1130"/>
  <c r="P8" i="1130"/>
  <c r="AC8" i="1130" s="1"/>
  <c r="O8" i="1130"/>
  <c r="M8" i="1130"/>
  <c r="AF7" i="1130"/>
  <c r="AB7" i="1130"/>
  <c r="Q7" i="1130"/>
  <c r="P7" i="1130"/>
  <c r="AC7" i="1130" s="1"/>
  <c r="O7" i="1130"/>
  <c r="M7" i="1130"/>
  <c r="K7" i="1130"/>
  <c r="AF6" i="1130"/>
  <c r="Q6" i="1130"/>
  <c r="P6" i="1130"/>
  <c r="O6" i="1130"/>
  <c r="L21" i="1130"/>
  <c r="O21" i="1130" s="1"/>
  <c r="AC22" i="1132" l="1"/>
  <c r="AD6" i="1132"/>
  <c r="AD22" i="1132" s="1"/>
  <c r="AE9" i="1132" s="1"/>
  <c r="AD16" i="1131"/>
  <c r="AD20" i="1131"/>
  <c r="AC21" i="1131"/>
  <c r="AD6" i="1131"/>
  <c r="M21" i="1131"/>
  <c r="P21" i="1131"/>
  <c r="AD10" i="1130"/>
  <c r="O18" i="1130"/>
  <c r="AD18" i="1130" s="1"/>
  <c r="AF62" i="1130"/>
  <c r="AD14" i="1130"/>
  <c r="AD16" i="1130"/>
  <c r="AD15" i="1130"/>
  <c r="Q21" i="1130"/>
  <c r="AD9" i="1130"/>
  <c r="AD8" i="1130"/>
  <c r="AD11" i="1130"/>
  <c r="AD17" i="1130"/>
  <c r="AD7" i="1130"/>
  <c r="AD12" i="1130"/>
  <c r="K21" i="1130"/>
  <c r="M6" i="1130"/>
  <c r="AB6" i="1130"/>
  <c r="AB21" i="1130" s="1"/>
  <c r="O13" i="1130"/>
  <c r="M18" i="1130"/>
  <c r="O19" i="1130"/>
  <c r="P20" i="1130"/>
  <c r="AC20" i="1130" s="1"/>
  <c r="AD20" i="1130" s="1"/>
  <c r="AC6" i="1130"/>
  <c r="P13" i="1130"/>
  <c r="AC13" i="1130" s="1"/>
  <c r="P19" i="1130"/>
  <c r="AC19" i="1130" s="1"/>
  <c r="AD19" i="1130" s="1"/>
  <c r="M13" i="1130"/>
  <c r="M19" i="1130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22" i="1129"/>
  <c r="O22" i="1129" s="1"/>
  <c r="L21" i="1129"/>
  <c r="K21" i="1129" s="1"/>
  <c r="L20" i="1129"/>
  <c r="K20" i="1129" s="1"/>
  <c r="AF20" i="1129"/>
  <c r="AB20" i="1129"/>
  <c r="Q20" i="1129"/>
  <c r="P20" i="1129" s="1"/>
  <c r="AC20" i="1129" s="1"/>
  <c r="O20" i="1129"/>
  <c r="L14" i="1129"/>
  <c r="L11" i="1129"/>
  <c r="L10" i="1129"/>
  <c r="K10" i="1129" s="1"/>
  <c r="AF10" i="1129"/>
  <c r="AB10" i="1129"/>
  <c r="Q10" i="1129"/>
  <c r="P10" i="1129"/>
  <c r="AC10" i="1129" s="1"/>
  <c r="O10" i="1129"/>
  <c r="M10" i="1129"/>
  <c r="K9" i="1129"/>
  <c r="L6" i="1129"/>
  <c r="K19" i="1129"/>
  <c r="K18" i="1129"/>
  <c r="K17" i="1129"/>
  <c r="K14" i="1129"/>
  <c r="K13" i="1129"/>
  <c r="K8" i="1129"/>
  <c r="K7" i="1129"/>
  <c r="K6" i="1129"/>
  <c r="A78" i="1129"/>
  <c r="A79" i="1129" s="1"/>
  <c r="A80" i="1129" s="1"/>
  <c r="A81" i="1129" s="1"/>
  <c r="A82" i="1129" s="1"/>
  <c r="A83" i="1129" s="1"/>
  <c r="A77" i="1129"/>
  <c r="A76" i="1129"/>
  <c r="AF62" i="1129"/>
  <c r="AF61" i="1129"/>
  <c r="AF64" i="1129" s="1"/>
  <c r="AA23" i="1129"/>
  <c r="Z23" i="1129"/>
  <c r="Y23" i="1129"/>
  <c r="X23" i="1129"/>
  <c r="W23" i="1129"/>
  <c r="V23" i="1129"/>
  <c r="U23" i="1129"/>
  <c r="T23" i="1129"/>
  <c r="S23" i="1129"/>
  <c r="R23" i="1129"/>
  <c r="N23" i="1129"/>
  <c r="J23" i="1129"/>
  <c r="I23" i="1129"/>
  <c r="AF22" i="1129"/>
  <c r="AB22" i="1129"/>
  <c r="Q22" i="1129"/>
  <c r="M22" i="1129"/>
  <c r="AF21" i="1129"/>
  <c r="Q21" i="1129"/>
  <c r="AB21" i="1129"/>
  <c r="AF19" i="1129"/>
  <c r="AB19" i="1129"/>
  <c r="Q19" i="1129"/>
  <c r="P19" i="1129"/>
  <c r="AC19" i="1129" s="1"/>
  <c r="O19" i="1129"/>
  <c r="M19" i="1129"/>
  <c r="AF18" i="1129"/>
  <c r="AB18" i="1129"/>
  <c r="Q18" i="1129"/>
  <c r="P18" i="1129" s="1"/>
  <c r="AC18" i="1129" s="1"/>
  <c r="AD18" i="1129" s="1"/>
  <c r="O18" i="1129"/>
  <c r="M18" i="1129"/>
  <c r="AF17" i="1129"/>
  <c r="Q17" i="1129"/>
  <c r="P17" i="1129"/>
  <c r="AC17" i="1129" s="1"/>
  <c r="O17" i="1129"/>
  <c r="AB17" i="1129"/>
  <c r="AF16" i="1129"/>
  <c r="AB16" i="1129"/>
  <c r="Q16" i="1129"/>
  <c r="P16" i="1129"/>
  <c r="AC16" i="1129" s="1"/>
  <c r="O16" i="1129"/>
  <c r="M16" i="1129"/>
  <c r="K16" i="1129"/>
  <c r="AF15" i="1129"/>
  <c r="AB15" i="1129"/>
  <c r="Q15" i="1129"/>
  <c r="P15" i="1129"/>
  <c r="AC15" i="1129" s="1"/>
  <c r="O15" i="1129"/>
  <c r="M15" i="1129"/>
  <c r="K15" i="1129"/>
  <c r="AF14" i="1129"/>
  <c r="AB14" i="1129"/>
  <c r="Q14" i="1129"/>
  <c r="P14" i="1129" s="1"/>
  <c r="AC14" i="1129" s="1"/>
  <c r="O14" i="1129"/>
  <c r="M14" i="1129"/>
  <c r="AF13" i="1129"/>
  <c r="AB13" i="1129"/>
  <c r="Q13" i="1129"/>
  <c r="M13" i="1129"/>
  <c r="O13" i="1129"/>
  <c r="AF12" i="1129"/>
  <c r="AB12" i="1129"/>
  <c r="Q12" i="1129"/>
  <c r="P12" i="1129"/>
  <c r="AC12" i="1129" s="1"/>
  <c r="O12" i="1129"/>
  <c r="M12" i="1129"/>
  <c r="K12" i="1129"/>
  <c r="AF11" i="1129"/>
  <c r="AB11" i="1129"/>
  <c r="Q11" i="1129"/>
  <c r="P11" i="1129" s="1"/>
  <c r="AC11" i="1129" s="1"/>
  <c r="O11" i="1129"/>
  <c r="M11" i="1129"/>
  <c r="K11" i="1129"/>
  <c r="AF9" i="1129"/>
  <c r="Q9" i="1129"/>
  <c r="AB9" i="1129"/>
  <c r="AF8" i="1129"/>
  <c r="Q8" i="1129"/>
  <c r="P8" i="1129" s="1"/>
  <c r="AC8" i="1129" s="1"/>
  <c r="O8" i="1129"/>
  <c r="AB8" i="1129"/>
  <c r="AF7" i="1129"/>
  <c r="AB7" i="1129"/>
  <c r="Q7" i="1129"/>
  <c r="P7" i="1129"/>
  <c r="AC7" i="1129" s="1"/>
  <c r="O7" i="1129"/>
  <c r="M7" i="1129"/>
  <c r="AF6" i="1129"/>
  <c r="AB6" i="1129"/>
  <c r="Q6" i="1129"/>
  <c r="M6" i="1129"/>
  <c r="L23" i="1129"/>
  <c r="O23" i="1129" s="1"/>
  <c r="AE20" i="1132" l="1"/>
  <c r="AE15" i="1132"/>
  <c r="AE12" i="1132"/>
  <c r="AE10" i="1132"/>
  <c r="AE6" i="1132"/>
  <c r="AE21" i="1132"/>
  <c r="AE18" i="1132"/>
  <c r="AE13" i="1132"/>
  <c r="AE14" i="1132"/>
  <c r="AE11" i="1132"/>
  <c r="AE7" i="1132"/>
  <c r="AE17" i="1132"/>
  <c r="AE19" i="1132"/>
  <c r="AE16" i="1132"/>
  <c r="AE8" i="1132"/>
  <c r="AD21" i="1131"/>
  <c r="AE18" i="1131" s="1"/>
  <c r="AD13" i="1130"/>
  <c r="AC21" i="1130"/>
  <c r="AD6" i="1130"/>
  <c r="AD21" i="1130" s="1"/>
  <c r="M21" i="1130"/>
  <c r="P21" i="1130"/>
  <c r="K22" i="1129"/>
  <c r="AD20" i="1129"/>
  <c r="M20" i="1129"/>
  <c r="AD10" i="1129"/>
  <c r="AD17" i="1129"/>
  <c r="Q23" i="1129"/>
  <c r="AD14" i="1129"/>
  <c r="AD7" i="1129"/>
  <c r="AD11" i="1129"/>
  <c r="AD12" i="1129"/>
  <c r="AD16" i="1129"/>
  <c r="AD8" i="1129"/>
  <c r="AD15" i="1129"/>
  <c r="AD19" i="1129"/>
  <c r="AB23" i="1129"/>
  <c r="O6" i="1129"/>
  <c r="P6" i="1129"/>
  <c r="M8" i="1129"/>
  <c r="O9" i="1129"/>
  <c r="P13" i="1129"/>
  <c r="AC13" i="1129" s="1"/>
  <c r="AD13" i="1129" s="1"/>
  <c r="M17" i="1129"/>
  <c r="O21" i="1129"/>
  <c r="P22" i="1129"/>
  <c r="AC22" i="1129" s="1"/>
  <c r="AD22" i="1129" s="1"/>
  <c r="P9" i="1129"/>
  <c r="AC9" i="1129" s="1"/>
  <c r="AD9" i="1129" s="1"/>
  <c r="P21" i="1129"/>
  <c r="AC21" i="1129" s="1"/>
  <c r="M9" i="1129"/>
  <c r="M21" i="1129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20" i="1128"/>
  <c r="L19" i="1128"/>
  <c r="K18" i="1128"/>
  <c r="K17" i="1128"/>
  <c r="L16" i="1128"/>
  <c r="K16" i="1128" s="1"/>
  <c r="L13" i="1128"/>
  <c r="L12" i="1128"/>
  <c r="K12" i="1128"/>
  <c r="L9" i="1128"/>
  <c r="K9" i="1128" s="1"/>
  <c r="L8" i="1128"/>
  <c r="L7" i="1128"/>
  <c r="L6" i="1128"/>
  <c r="K6" i="1128" s="1"/>
  <c r="AF6" i="1128"/>
  <c r="Q6" i="1128"/>
  <c r="K20" i="1128"/>
  <c r="K19" i="1128"/>
  <c r="K14" i="1128"/>
  <c r="K13" i="1128"/>
  <c r="K10" i="1128"/>
  <c r="K8" i="1128"/>
  <c r="K7" i="1128"/>
  <c r="A74" i="1128"/>
  <c r="A75" i="1128" s="1"/>
  <c r="A76" i="1128" s="1"/>
  <c r="A77" i="1128" s="1"/>
  <c r="A78" i="1128" s="1"/>
  <c r="A79" i="1128" s="1"/>
  <c r="A80" i="1128" s="1"/>
  <c r="A81" i="1128" s="1"/>
  <c r="AF60" i="1128"/>
  <c r="AF59" i="1128"/>
  <c r="AF62" i="1128" s="1"/>
  <c r="AA21" i="1128"/>
  <c r="Z21" i="1128"/>
  <c r="Y21" i="1128"/>
  <c r="X21" i="1128"/>
  <c r="W21" i="1128"/>
  <c r="V21" i="1128"/>
  <c r="U21" i="1128"/>
  <c r="T21" i="1128"/>
  <c r="S21" i="1128"/>
  <c r="R21" i="1128"/>
  <c r="N21" i="1128"/>
  <c r="J21" i="1128"/>
  <c r="I21" i="1128"/>
  <c r="AF20" i="1128"/>
  <c r="Q20" i="1128"/>
  <c r="O20" i="1128"/>
  <c r="M20" i="1128"/>
  <c r="AB20" i="1128"/>
  <c r="AF19" i="1128"/>
  <c r="AB19" i="1128"/>
  <c r="Q19" i="1128"/>
  <c r="P19" i="1128" s="1"/>
  <c r="AC19" i="1128" s="1"/>
  <c r="M19" i="1128"/>
  <c r="AF18" i="1128"/>
  <c r="AB18" i="1128"/>
  <c r="Q18" i="1128"/>
  <c r="P18" i="1128" s="1"/>
  <c r="AC18" i="1128" s="1"/>
  <c r="O18" i="1128"/>
  <c r="M18" i="1128"/>
  <c r="AF17" i="1128"/>
  <c r="AB17" i="1128"/>
  <c r="Q17" i="1128"/>
  <c r="P17" i="1128"/>
  <c r="AC17" i="1128" s="1"/>
  <c r="O17" i="1128"/>
  <c r="M17" i="1128"/>
  <c r="AF16" i="1128"/>
  <c r="Q16" i="1128"/>
  <c r="O16" i="1128"/>
  <c r="AF15" i="1128"/>
  <c r="AB15" i="1128"/>
  <c r="Q15" i="1128"/>
  <c r="P15" i="1128"/>
  <c r="AC15" i="1128" s="1"/>
  <c r="AD15" i="1128" s="1"/>
  <c r="O15" i="1128"/>
  <c r="M15" i="1128"/>
  <c r="K15" i="1128"/>
  <c r="AF14" i="1128"/>
  <c r="AB14" i="1128"/>
  <c r="Q14" i="1128"/>
  <c r="P14" i="1128" s="1"/>
  <c r="AC14" i="1128" s="1"/>
  <c r="O14" i="1128"/>
  <c r="M14" i="1128"/>
  <c r="AF13" i="1128"/>
  <c r="Q13" i="1128"/>
  <c r="AB13" i="1128"/>
  <c r="AF12" i="1128"/>
  <c r="AB12" i="1128"/>
  <c r="Q12" i="1128"/>
  <c r="P12" i="1128" s="1"/>
  <c r="AC12" i="1128" s="1"/>
  <c r="O12" i="1128"/>
  <c r="M12" i="1128"/>
  <c r="AF11" i="1128"/>
  <c r="AC11" i="1128"/>
  <c r="AB11" i="1128"/>
  <c r="Q11" i="1128"/>
  <c r="P11" i="1128"/>
  <c r="O11" i="1128"/>
  <c r="M11" i="1128"/>
  <c r="K11" i="1128"/>
  <c r="AF10" i="1128"/>
  <c r="Q10" i="1128"/>
  <c r="AB10" i="1128"/>
  <c r="AF9" i="1128"/>
  <c r="Q9" i="1128"/>
  <c r="P9" i="1128" s="1"/>
  <c r="AC9" i="1128" s="1"/>
  <c r="O9" i="1128"/>
  <c r="AB9" i="1128"/>
  <c r="AF8" i="1128"/>
  <c r="AB8" i="1128"/>
  <c r="Q8" i="1128"/>
  <c r="P8" i="1128" s="1"/>
  <c r="AC8" i="1128" s="1"/>
  <c r="O8" i="1128"/>
  <c r="M8" i="1128"/>
  <c r="AF7" i="1128"/>
  <c r="AB7" i="1128"/>
  <c r="Q7" i="1128"/>
  <c r="M7" i="1128"/>
  <c r="O7" i="1128"/>
  <c r="AE16" i="1131" l="1"/>
  <c r="AE15" i="1131"/>
  <c r="AE7" i="1131"/>
  <c r="AE9" i="1131"/>
  <c r="AE13" i="1131"/>
  <c r="AE14" i="1131"/>
  <c r="AE6" i="1131"/>
  <c r="AE17" i="1131"/>
  <c r="AE12" i="1131"/>
  <c r="AE8" i="1131"/>
  <c r="AE19" i="1131"/>
  <c r="AE10" i="1131"/>
  <c r="AE11" i="1131"/>
  <c r="AE20" i="1131"/>
  <c r="AE18" i="1130"/>
  <c r="AE12" i="1130"/>
  <c r="AE10" i="1130"/>
  <c r="AE8" i="1130"/>
  <c r="AE6" i="1130"/>
  <c r="AE15" i="1130"/>
  <c r="AE13" i="1130"/>
  <c r="AE19" i="1130"/>
  <c r="AE17" i="1130"/>
  <c r="AE20" i="1130"/>
  <c r="AE11" i="1130"/>
  <c r="AE9" i="1130"/>
  <c r="AE7" i="1130"/>
  <c r="AE16" i="1130"/>
  <c r="AE14" i="1130"/>
  <c r="AD21" i="1129"/>
  <c r="M23" i="1129"/>
  <c r="K23" i="1129"/>
  <c r="AC6" i="1129"/>
  <c r="P23" i="1129"/>
  <c r="P6" i="1128"/>
  <c r="AC6" i="1128" s="1"/>
  <c r="AD6" i="1128" s="1"/>
  <c r="M6" i="1128"/>
  <c r="AD18" i="1128"/>
  <c r="Q21" i="1128"/>
  <c r="AD8" i="1128"/>
  <c r="AB6" i="1128"/>
  <c r="O6" i="1128"/>
  <c r="AD11" i="1128"/>
  <c r="AD17" i="1128"/>
  <c r="AD12" i="1128"/>
  <c r="AD14" i="1128"/>
  <c r="AD9" i="1128"/>
  <c r="K21" i="1128"/>
  <c r="P7" i="1128"/>
  <c r="AC7" i="1128" s="1"/>
  <c r="AD7" i="1128" s="1"/>
  <c r="M9" i="1128"/>
  <c r="O10" i="1128"/>
  <c r="O13" i="1128"/>
  <c r="P16" i="1128"/>
  <c r="AC16" i="1128" s="1"/>
  <c r="O19" i="1128"/>
  <c r="AD19" i="1128" s="1"/>
  <c r="P20" i="1128"/>
  <c r="AC20" i="1128" s="1"/>
  <c r="AD20" i="1128" s="1"/>
  <c r="P10" i="1128"/>
  <c r="AC10" i="1128" s="1"/>
  <c r="AD10" i="1128" s="1"/>
  <c r="P13" i="1128"/>
  <c r="AC13" i="1128" s="1"/>
  <c r="M16" i="1128"/>
  <c r="AB16" i="1128"/>
  <c r="L21" i="1128"/>
  <c r="O21" i="1128" s="1"/>
  <c r="M10" i="1128"/>
  <c r="M13" i="1128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L21" i="1127"/>
  <c r="L20" i="1127"/>
  <c r="K19" i="1127"/>
  <c r="AF19" i="1127"/>
  <c r="AB19" i="1127"/>
  <c r="Q19" i="1127"/>
  <c r="P19" i="1127" s="1"/>
  <c r="AC19" i="1127" s="1"/>
  <c r="O19" i="1127"/>
  <c r="M19" i="1127"/>
  <c r="K18" i="1127"/>
  <c r="L16" i="1127"/>
  <c r="K16" i="1127" s="1"/>
  <c r="L13" i="1127"/>
  <c r="L12" i="1127"/>
  <c r="K12" i="1127" s="1"/>
  <c r="L10" i="1127"/>
  <c r="K10" i="1127" s="1"/>
  <c r="L9" i="1127"/>
  <c r="K9" i="1127" s="1"/>
  <c r="L8" i="1127"/>
  <c r="K8" i="1127" s="1"/>
  <c r="L7" i="1127"/>
  <c r="K7" i="1127" s="1"/>
  <c r="K21" i="1127"/>
  <c r="K20" i="1127"/>
  <c r="K15" i="1127"/>
  <c r="K14" i="1127"/>
  <c r="K11" i="1127"/>
  <c r="A76" i="1127"/>
  <c r="A77" i="1127" s="1"/>
  <c r="A78" i="1127" s="1"/>
  <c r="A79" i="1127" s="1"/>
  <c r="A80" i="1127" s="1"/>
  <c r="A81" i="1127" s="1"/>
  <c r="A82" i="1127" s="1"/>
  <c r="A75" i="1127"/>
  <c r="AF61" i="1127"/>
  <c r="AF60" i="1127"/>
  <c r="AF63" i="1127" s="1"/>
  <c r="AA22" i="1127"/>
  <c r="Z22" i="1127"/>
  <c r="Y22" i="1127"/>
  <c r="X22" i="1127"/>
  <c r="W22" i="1127"/>
  <c r="V22" i="1127"/>
  <c r="U22" i="1127"/>
  <c r="T22" i="1127"/>
  <c r="S22" i="1127"/>
  <c r="R22" i="1127"/>
  <c r="N22" i="1127"/>
  <c r="J22" i="1127"/>
  <c r="I22" i="1127"/>
  <c r="AF21" i="1127"/>
  <c r="Q21" i="1127"/>
  <c r="O21" i="1127"/>
  <c r="AF20" i="1127"/>
  <c r="AB20" i="1127"/>
  <c r="Q20" i="1127"/>
  <c r="P20" i="1127" s="1"/>
  <c r="AC20" i="1127" s="1"/>
  <c r="AD20" i="1127" s="1"/>
  <c r="M20" i="1127"/>
  <c r="O20" i="1127"/>
  <c r="AF18" i="1127"/>
  <c r="AB18" i="1127"/>
  <c r="Q18" i="1127"/>
  <c r="P18" i="1127" s="1"/>
  <c r="AC18" i="1127" s="1"/>
  <c r="O18" i="1127"/>
  <c r="M18" i="1127"/>
  <c r="AF17" i="1127"/>
  <c r="AB17" i="1127"/>
  <c r="Q17" i="1127"/>
  <c r="P17" i="1127"/>
  <c r="AC17" i="1127" s="1"/>
  <c r="AD17" i="1127" s="1"/>
  <c r="O17" i="1127"/>
  <c r="M17" i="1127"/>
  <c r="K17" i="1127"/>
  <c r="AF16" i="1127"/>
  <c r="Q16" i="1127"/>
  <c r="P16" i="1127" s="1"/>
  <c r="AC16" i="1127" s="1"/>
  <c r="O16" i="1127"/>
  <c r="AF15" i="1127"/>
  <c r="AB15" i="1127"/>
  <c r="Q15" i="1127"/>
  <c r="P15" i="1127"/>
  <c r="AC15" i="1127" s="1"/>
  <c r="O15" i="1127"/>
  <c r="M15" i="1127"/>
  <c r="AF14" i="1127"/>
  <c r="AB14" i="1127"/>
  <c r="Q14" i="1127"/>
  <c r="P14" i="1127" s="1"/>
  <c r="AC14" i="1127" s="1"/>
  <c r="O14" i="1127"/>
  <c r="M14" i="1127"/>
  <c r="AF13" i="1127"/>
  <c r="AB13" i="1127"/>
  <c r="Q13" i="1127"/>
  <c r="P13" i="1127" s="1"/>
  <c r="AC13" i="1127" s="1"/>
  <c r="O13" i="1127"/>
  <c r="M13" i="1127"/>
  <c r="K13" i="1127"/>
  <c r="AF12" i="1127"/>
  <c r="Q12" i="1127"/>
  <c r="AB12" i="1127"/>
  <c r="AF11" i="1127"/>
  <c r="AB11" i="1127"/>
  <c r="Q11" i="1127"/>
  <c r="P11" i="1127"/>
  <c r="AC11" i="1127" s="1"/>
  <c r="O11" i="1127"/>
  <c r="M11" i="1127"/>
  <c r="AF10" i="1127"/>
  <c r="AB10" i="1127"/>
  <c r="Q10" i="1127"/>
  <c r="P10" i="1127" s="1"/>
  <c r="AC10" i="1127" s="1"/>
  <c r="O10" i="1127"/>
  <c r="M10" i="1127"/>
  <c r="AF9" i="1127"/>
  <c r="AB9" i="1127"/>
  <c r="Q9" i="1127"/>
  <c r="P9" i="1127"/>
  <c r="AC9" i="1127" s="1"/>
  <c r="M9" i="1127"/>
  <c r="O9" i="1127"/>
  <c r="AF8" i="1127"/>
  <c r="Q8" i="1127"/>
  <c r="O8" i="1127"/>
  <c r="P8" i="1127"/>
  <c r="AC8" i="1127" s="1"/>
  <c r="AF7" i="1127"/>
  <c r="AB7" i="1127"/>
  <c r="Q7" i="1127"/>
  <c r="P7" i="1127"/>
  <c r="AC7" i="1127" s="1"/>
  <c r="M7" i="1127"/>
  <c r="L22" i="1127"/>
  <c r="O22" i="1127" s="1"/>
  <c r="AF6" i="1127"/>
  <c r="AC6" i="1127"/>
  <c r="AB6" i="1127"/>
  <c r="Q6" i="1127"/>
  <c r="P6" i="1127"/>
  <c r="O6" i="1127"/>
  <c r="M6" i="1127"/>
  <c r="K6" i="1127"/>
  <c r="AC23" i="1129" l="1"/>
  <c r="AD6" i="1129"/>
  <c r="AD23" i="1129" s="1"/>
  <c r="AB21" i="1128"/>
  <c r="M21" i="1128"/>
  <c r="AD13" i="1128"/>
  <c r="P21" i="1128"/>
  <c r="AC21" i="1128"/>
  <c r="AD16" i="1128"/>
  <c r="AD19" i="1127"/>
  <c r="AD11" i="1127"/>
  <c r="Q22" i="1127"/>
  <c r="AD10" i="1127"/>
  <c r="AD15" i="1127"/>
  <c r="AD18" i="1127"/>
  <c r="AD13" i="1127"/>
  <c r="AD14" i="1127"/>
  <c r="AD9" i="1127"/>
  <c r="O12" i="1127"/>
  <c r="AD6" i="1127"/>
  <c r="M8" i="1127"/>
  <c r="AB8" i="1127"/>
  <c r="AD8" i="1127" s="1"/>
  <c r="P12" i="1127"/>
  <c r="AC12" i="1127" s="1"/>
  <c r="AD12" i="1127" s="1"/>
  <c r="M16" i="1127"/>
  <c r="AB16" i="1127"/>
  <c r="AD16" i="1127" s="1"/>
  <c r="P21" i="1127"/>
  <c r="AC21" i="1127" s="1"/>
  <c r="O7" i="1127"/>
  <c r="AD7" i="1127" s="1"/>
  <c r="K22" i="1127"/>
  <c r="M12" i="1127"/>
  <c r="M21" i="1127"/>
  <c r="AB21" i="1127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20" i="1126"/>
  <c r="K20" i="1126"/>
  <c r="L19" i="1126"/>
  <c r="K19" i="1126" s="1"/>
  <c r="K18" i="1126"/>
  <c r="L16" i="1126"/>
  <c r="K16" i="1126"/>
  <c r="L15" i="1126"/>
  <c r="K15" i="1126" s="1"/>
  <c r="K13" i="1126"/>
  <c r="K11" i="1126"/>
  <c r="L9" i="1126"/>
  <c r="K9" i="1126"/>
  <c r="L8" i="1126"/>
  <c r="K8" i="1126" s="1"/>
  <c r="L7" i="1126"/>
  <c r="K7" i="1126" s="1"/>
  <c r="A76" i="1126"/>
  <c r="A77" i="1126" s="1"/>
  <c r="A78" i="1126" s="1"/>
  <c r="A79" i="1126" s="1"/>
  <c r="A80" i="1126" s="1"/>
  <c r="A81" i="1126" s="1"/>
  <c r="A75" i="1126"/>
  <c r="A74" i="1126"/>
  <c r="AF60" i="1126"/>
  <c r="AF59" i="1126"/>
  <c r="AF62" i="1126" s="1"/>
  <c r="AA21" i="1126"/>
  <c r="Z21" i="1126"/>
  <c r="Y21" i="1126"/>
  <c r="X21" i="1126"/>
  <c r="W21" i="1126"/>
  <c r="V21" i="1126"/>
  <c r="U21" i="1126"/>
  <c r="T21" i="1126"/>
  <c r="S21" i="1126"/>
  <c r="R21" i="1126"/>
  <c r="N21" i="1126"/>
  <c r="J21" i="1126"/>
  <c r="I21" i="1126"/>
  <c r="AF20" i="1126"/>
  <c r="AB20" i="1126"/>
  <c r="Q20" i="1126"/>
  <c r="M20" i="1126"/>
  <c r="O20" i="1126"/>
  <c r="AF19" i="1126"/>
  <c r="Q19" i="1126"/>
  <c r="AB19" i="1126"/>
  <c r="AF18" i="1126"/>
  <c r="Q18" i="1126"/>
  <c r="P18" i="1126"/>
  <c r="AC18" i="1126" s="1"/>
  <c r="O18" i="1126"/>
  <c r="AB18" i="1126"/>
  <c r="AF17" i="1126"/>
  <c r="AC17" i="1126"/>
  <c r="AD17" i="1126" s="1"/>
  <c r="AB17" i="1126"/>
  <c r="Q17" i="1126"/>
  <c r="P17" i="1126"/>
  <c r="O17" i="1126"/>
  <c r="M17" i="1126"/>
  <c r="K17" i="1126"/>
  <c r="AF16" i="1126"/>
  <c r="Q16" i="1126"/>
  <c r="AB16" i="1126"/>
  <c r="AF15" i="1126"/>
  <c r="Q15" i="1126"/>
  <c r="P15" i="1126"/>
  <c r="AC15" i="1126" s="1"/>
  <c r="O15" i="1126"/>
  <c r="AB15" i="1126"/>
  <c r="AF14" i="1126"/>
  <c r="AB14" i="1126"/>
  <c r="Q14" i="1126"/>
  <c r="P14" i="1126" s="1"/>
  <c r="AC14" i="1126" s="1"/>
  <c r="AD14" i="1126" s="1"/>
  <c r="O14" i="1126"/>
  <c r="M14" i="1126"/>
  <c r="K14" i="1126"/>
  <c r="AF13" i="1126"/>
  <c r="AB13" i="1126"/>
  <c r="Q13" i="1126"/>
  <c r="P13" i="1126"/>
  <c r="AC13" i="1126" s="1"/>
  <c r="AD13" i="1126" s="1"/>
  <c r="O13" i="1126"/>
  <c r="M13" i="1126"/>
  <c r="AF12" i="1126"/>
  <c r="AB12" i="1126"/>
  <c r="Q12" i="1126"/>
  <c r="P12" i="1126" s="1"/>
  <c r="AC12" i="1126" s="1"/>
  <c r="AD12" i="1126" s="1"/>
  <c r="O12" i="1126"/>
  <c r="M12" i="1126"/>
  <c r="L12" i="1126"/>
  <c r="K12" i="1126"/>
  <c r="AF11" i="1126"/>
  <c r="AB11" i="1126"/>
  <c r="Q11" i="1126"/>
  <c r="P11" i="1126" s="1"/>
  <c r="AC11" i="1126" s="1"/>
  <c r="AD11" i="1126" s="1"/>
  <c r="O11" i="1126"/>
  <c r="M11" i="1126"/>
  <c r="AF10" i="1126"/>
  <c r="AB10" i="1126"/>
  <c r="Q10" i="1126"/>
  <c r="P10" i="1126"/>
  <c r="AC10" i="1126" s="1"/>
  <c r="AD10" i="1126" s="1"/>
  <c r="O10" i="1126"/>
  <c r="M10" i="1126"/>
  <c r="K10" i="1126"/>
  <c r="AF9" i="1126"/>
  <c r="AB9" i="1126"/>
  <c r="Q9" i="1126"/>
  <c r="P9" i="1126" s="1"/>
  <c r="AC9" i="1126" s="1"/>
  <c r="M9" i="1126"/>
  <c r="AF8" i="1126"/>
  <c r="Q8" i="1126"/>
  <c r="AF7" i="1126"/>
  <c r="Q7" i="1126"/>
  <c r="P7" i="1126"/>
  <c r="AC7" i="1126" s="1"/>
  <c r="O7" i="1126"/>
  <c r="AF6" i="1126"/>
  <c r="AC6" i="1126"/>
  <c r="AB6" i="1126"/>
  <c r="Q6" i="1126"/>
  <c r="P6" i="1126"/>
  <c r="O6" i="1126"/>
  <c r="M6" i="1126"/>
  <c r="K6" i="1126"/>
  <c r="AE10" i="1129" l="1"/>
  <c r="AE20" i="1129"/>
  <c r="AE19" i="1129"/>
  <c r="AE17" i="1129"/>
  <c r="AE8" i="1129"/>
  <c r="AE15" i="1129"/>
  <c r="AE21" i="1129"/>
  <c r="AE22" i="1129"/>
  <c r="AE18" i="1129"/>
  <c r="AE13" i="1129"/>
  <c r="AE6" i="1129"/>
  <c r="AE16" i="1129"/>
  <c r="AE14" i="1129"/>
  <c r="AE11" i="1129"/>
  <c r="AE7" i="1129"/>
  <c r="AE12" i="1129"/>
  <c r="AE9" i="1129"/>
  <c r="AD21" i="1128"/>
  <c r="AD21" i="1127"/>
  <c r="M22" i="1127"/>
  <c r="AC22" i="1127"/>
  <c r="P22" i="1127"/>
  <c r="AB22" i="1127"/>
  <c r="AD22" i="1127"/>
  <c r="AE19" i="1127" s="1"/>
  <c r="AD15" i="1126"/>
  <c r="Q21" i="1126"/>
  <c r="L21" i="1126"/>
  <c r="O21" i="1126" s="1"/>
  <c r="P8" i="1126"/>
  <c r="AC8" i="1126" s="1"/>
  <c r="AD18" i="1126"/>
  <c r="AD6" i="1126"/>
  <c r="M8" i="1126"/>
  <c r="AB8" i="1126"/>
  <c r="O9" i="1126"/>
  <c r="AD9" i="1126" s="1"/>
  <c r="M7" i="1126"/>
  <c r="AB7" i="1126"/>
  <c r="AD7" i="1126" s="1"/>
  <c r="O8" i="1126"/>
  <c r="M15" i="1126"/>
  <c r="O16" i="1126"/>
  <c r="M18" i="1126"/>
  <c r="O19" i="1126"/>
  <c r="K21" i="1126"/>
  <c r="P20" i="1126"/>
  <c r="AC20" i="1126" s="1"/>
  <c r="AD20" i="1126" s="1"/>
  <c r="P16" i="1126"/>
  <c r="AC16" i="1126" s="1"/>
  <c r="P19" i="1126"/>
  <c r="AC19" i="1126" s="1"/>
  <c r="AD19" i="1126" s="1"/>
  <c r="M16" i="1126"/>
  <c r="M19" i="112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20" i="1125"/>
  <c r="K20" i="1125" s="1"/>
  <c r="L19" i="1125"/>
  <c r="K19" i="1125" s="1"/>
  <c r="L18" i="1125"/>
  <c r="L16" i="1125"/>
  <c r="K16" i="1125" s="1"/>
  <c r="L15" i="1125"/>
  <c r="K15" i="1125"/>
  <c r="L12" i="1125"/>
  <c r="K12" i="1125" s="1"/>
  <c r="L9" i="1125"/>
  <c r="K9" i="1125" s="1"/>
  <c r="L8" i="1125"/>
  <c r="K8" i="1125" s="1"/>
  <c r="L7" i="1125"/>
  <c r="K7" i="1125" s="1"/>
  <c r="K18" i="1125"/>
  <c r="K17" i="1125"/>
  <c r="K13" i="1125"/>
  <c r="A75" i="1125"/>
  <c r="A76" i="1125" s="1"/>
  <c r="A77" i="1125" s="1"/>
  <c r="A78" i="1125" s="1"/>
  <c r="A79" i="1125" s="1"/>
  <c r="A80" i="1125" s="1"/>
  <c r="A81" i="1125" s="1"/>
  <c r="A74" i="1125"/>
  <c r="AF60" i="1125"/>
  <c r="AF59" i="1125"/>
  <c r="AF62" i="1125" s="1"/>
  <c r="AA21" i="1125"/>
  <c r="Z21" i="1125"/>
  <c r="Y21" i="1125"/>
  <c r="X21" i="1125"/>
  <c r="W21" i="1125"/>
  <c r="V21" i="1125"/>
  <c r="U21" i="1125"/>
  <c r="T21" i="1125"/>
  <c r="S21" i="1125"/>
  <c r="R21" i="1125"/>
  <c r="N21" i="1125"/>
  <c r="J21" i="1125"/>
  <c r="I21" i="1125"/>
  <c r="AF20" i="1125"/>
  <c r="Q20" i="1125"/>
  <c r="M20" i="1125"/>
  <c r="AF19" i="1125"/>
  <c r="Q19" i="1125"/>
  <c r="AB19" i="1125"/>
  <c r="AF18" i="1125"/>
  <c r="Q18" i="1125"/>
  <c r="P18" i="1125" s="1"/>
  <c r="AC18" i="1125" s="1"/>
  <c r="O18" i="1125"/>
  <c r="AB18" i="1125"/>
  <c r="AF17" i="1125"/>
  <c r="AB17" i="1125"/>
  <c r="Q17" i="1125"/>
  <c r="P17" i="1125"/>
  <c r="AC17" i="1125" s="1"/>
  <c r="O17" i="1125"/>
  <c r="M17" i="1125"/>
  <c r="AF16" i="1125"/>
  <c r="AB16" i="1125"/>
  <c r="Q16" i="1125"/>
  <c r="P16" i="1125" s="1"/>
  <c r="AC16" i="1125" s="1"/>
  <c r="O16" i="1125"/>
  <c r="M16" i="1125"/>
  <c r="AF15" i="1125"/>
  <c r="Q15" i="1125"/>
  <c r="P15" i="1125"/>
  <c r="AC15" i="1125" s="1"/>
  <c r="O15" i="1125"/>
  <c r="AB15" i="1125"/>
  <c r="AF14" i="1125"/>
  <c r="AC14" i="1125"/>
  <c r="AD14" i="1125" s="1"/>
  <c r="AB14" i="1125"/>
  <c r="Q14" i="1125"/>
  <c r="P14" i="1125"/>
  <c r="O14" i="1125"/>
  <c r="M14" i="1125"/>
  <c r="K14" i="1125"/>
  <c r="AF13" i="1125"/>
  <c r="AB13" i="1125"/>
  <c r="Q13" i="1125"/>
  <c r="P13" i="1125"/>
  <c r="AC13" i="1125" s="1"/>
  <c r="O13" i="1125"/>
  <c r="M13" i="1125"/>
  <c r="AF12" i="1125"/>
  <c r="AB12" i="1125"/>
  <c r="Q12" i="1125"/>
  <c r="P12" i="1125" s="1"/>
  <c r="AC12" i="1125" s="1"/>
  <c r="AD12" i="1125" s="1"/>
  <c r="O12" i="1125"/>
  <c r="M12" i="1125"/>
  <c r="AF11" i="1125"/>
  <c r="AB11" i="1125"/>
  <c r="Q11" i="1125"/>
  <c r="P11" i="1125"/>
  <c r="AC11" i="1125" s="1"/>
  <c r="AD11" i="1125" s="1"/>
  <c r="O11" i="1125"/>
  <c r="M11" i="1125"/>
  <c r="K11" i="1125"/>
  <c r="AF10" i="1125"/>
  <c r="AB10" i="1125"/>
  <c r="Q10" i="1125"/>
  <c r="P10" i="1125"/>
  <c r="AC10" i="1125" s="1"/>
  <c r="AD10" i="1125" s="1"/>
  <c r="O10" i="1125"/>
  <c r="M10" i="1125"/>
  <c r="K10" i="1125"/>
  <c r="AF9" i="1125"/>
  <c r="AB9" i="1125"/>
  <c r="Q9" i="1125"/>
  <c r="P9" i="1125" s="1"/>
  <c r="AC9" i="1125" s="1"/>
  <c r="O9" i="1125"/>
  <c r="M9" i="1125"/>
  <c r="AF8" i="1125"/>
  <c r="AB8" i="1125"/>
  <c r="Q8" i="1125"/>
  <c r="P8" i="1125"/>
  <c r="AC8" i="1125" s="1"/>
  <c r="O8" i="1125"/>
  <c r="M8" i="1125"/>
  <c r="AF7" i="1125"/>
  <c r="AB7" i="1125"/>
  <c r="Q7" i="1125"/>
  <c r="M7" i="1125"/>
  <c r="O7" i="1125"/>
  <c r="AF6" i="1125"/>
  <c r="AB6" i="1125"/>
  <c r="Q6" i="1125"/>
  <c r="P6" i="1125"/>
  <c r="O6" i="1125"/>
  <c r="M6" i="1125"/>
  <c r="K6" i="1125"/>
  <c r="AE11" i="1128" l="1"/>
  <c r="AE14" i="1128"/>
  <c r="AE16" i="1128"/>
  <c r="AE20" i="1128"/>
  <c r="AE15" i="1128"/>
  <c r="AE17" i="1128"/>
  <c r="AE19" i="1128"/>
  <c r="AE12" i="1128"/>
  <c r="AE6" i="1128"/>
  <c r="AE8" i="1128"/>
  <c r="AE18" i="1128"/>
  <c r="AE9" i="1128"/>
  <c r="AE10" i="1128"/>
  <c r="AE7" i="1128"/>
  <c r="AE13" i="1128"/>
  <c r="AE18" i="1127"/>
  <c r="AE13" i="1127"/>
  <c r="AE12" i="1127"/>
  <c r="AE6" i="1127"/>
  <c r="AE20" i="1127"/>
  <c r="AE11" i="1127"/>
  <c r="AE9" i="1127"/>
  <c r="AE14" i="1127"/>
  <c r="AE21" i="1127"/>
  <c r="AE17" i="1127"/>
  <c r="AE15" i="1127"/>
  <c r="AE10" i="1127"/>
  <c r="AE7" i="1127"/>
  <c r="AE16" i="1127"/>
  <c r="AE8" i="1127"/>
  <c r="AD16" i="1126"/>
  <c r="M21" i="1126"/>
  <c r="AD8" i="1126"/>
  <c r="AD21" i="1126" s="1"/>
  <c r="AB21" i="1126"/>
  <c r="P21" i="1126"/>
  <c r="AC21" i="1126"/>
  <c r="O20" i="1125"/>
  <c r="Q21" i="1125"/>
  <c r="AD8" i="1125"/>
  <c r="AD9" i="1125"/>
  <c r="AD16" i="1125"/>
  <c r="AD17" i="1125"/>
  <c r="AD18" i="1125"/>
  <c r="AD13" i="1125"/>
  <c r="AD15" i="1125"/>
  <c r="AC6" i="1125"/>
  <c r="P7" i="1125"/>
  <c r="AC7" i="1125" s="1"/>
  <c r="AD7" i="1125" s="1"/>
  <c r="M15" i="1125"/>
  <c r="M18" i="1125"/>
  <c r="O19" i="1125"/>
  <c r="P20" i="1125"/>
  <c r="AC20" i="1125" s="1"/>
  <c r="K21" i="1125"/>
  <c r="P19" i="1125"/>
  <c r="AC19" i="1125" s="1"/>
  <c r="AB20" i="1125"/>
  <c r="AB21" i="1125" s="1"/>
  <c r="L21" i="1125"/>
  <c r="O21" i="1125" s="1"/>
  <c r="M19" i="1125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20" i="1124"/>
  <c r="L19" i="1124"/>
  <c r="L18" i="1124"/>
  <c r="AF18" i="1124"/>
  <c r="AB18" i="1124"/>
  <c r="Q18" i="1124"/>
  <c r="P18" i="1124" s="1"/>
  <c r="AC18" i="1124" s="1"/>
  <c r="O18" i="1124"/>
  <c r="M18" i="1124"/>
  <c r="K18" i="1124"/>
  <c r="L17" i="1124"/>
  <c r="K17" i="1124" s="1"/>
  <c r="K16" i="1124"/>
  <c r="L15" i="1124"/>
  <c r="K15" i="1124" s="1"/>
  <c r="K13" i="1124"/>
  <c r="L8" i="1124"/>
  <c r="K8" i="1124" s="1"/>
  <c r="L7" i="1124"/>
  <c r="K7" i="1124" s="1"/>
  <c r="K20" i="1124"/>
  <c r="K19" i="1124"/>
  <c r="K12" i="1124"/>
  <c r="K11" i="1124"/>
  <c r="K9" i="1124"/>
  <c r="A75" i="1124"/>
  <c r="A76" i="1124" s="1"/>
  <c r="A77" i="1124" s="1"/>
  <c r="A78" i="1124" s="1"/>
  <c r="A79" i="1124" s="1"/>
  <c r="A80" i="1124" s="1"/>
  <c r="A81" i="1124" s="1"/>
  <c r="A74" i="1124"/>
  <c r="AF60" i="1124"/>
  <c r="AF59" i="1124"/>
  <c r="AF62" i="1124" s="1"/>
  <c r="AA21" i="1124"/>
  <c r="Z21" i="1124"/>
  <c r="Y21" i="1124"/>
  <c r="X21" i="1124"/>
  <c r="W21" i="1124"/>
  <c r="V21" i="1124"/>
  <c r="U21" i="1124"/>
  <c r="T21" i="1124"/>
  <c r="S21" i="1124"/>
  <c r="R21" i="1124"/>
  <c r="N21" i="1124"/>
  <c r="J21" i="1124"/>
  <c r="I21" i="1124"/>
  <c r="AF20" i="1124"/>
  <c r="Q20" i="1124"/>
  <c r="O20" i="1124"/>
  <c r="AF19" i="1124"/>
  <c r="Q19" i="1124"/>
  <c r="P19" i="1124" s="1"/>
  <c r="AC19" i="1124" s="1"/>
  <c r="AB19" i="1124"/>
  <c r="AF17" i="1124"/>
  <c r="AB17" i="1124"/>
  <c r="Q17" i="1124"/>
  <c r="P17" i="1124" s="1"/>
  <c r="AC17" i="1124" s="1"/>
  <c r="O17" i="1124"/>
  <c r="M17" i="1124"/>
  <c r="AF16" i="1124"/>
  <c r="AB16" i="1124"/>
  <c r="Q16" i="1124"/>
  <c r="P16" i="1124" s="1"/>
  <c r="AC16" i="1124" s="1"/>
  <c r="O16" i="1124"/>
  <c r="M16" i="1124"/>
  <c r="AF15" i="1124"/>
  <c r="AB15" i="1124"/>
  <c r="Q15" i="1124"/>
  <c r="P15" i="1124"/>
  <c r="AC15" i="1124" s="1"/>
  <c r="O15" i="1124"/>
  <c r="M15" i="1124"/>
  <c r="AF14" i="1124"/>
  <c r="AC14" i="1124"/>
  <c r="AB14" i="1124"/>
  <c r="Q14" i="1124"/>
  <c r="P14" i="1124"/>
  <c r="O14" i="1124"/>
  <c r="M14" i="1124"/>
  <c r="K14" i="1124"/>
  <c r="AF13" i="1124"/>
  <c r="AB13" i="1124"/>
  <c r="Q13" i="1124"/>
  <c r="P13" i="1124" s="1"/>
  <c r="AC13" i="1124" s="1"/>
  <c r="O13" i="1124"/>
  <c r="M13" i="1124"/>
  <c r="AF12" i="1124"/>
  <c r="AB12" i="1124"/>
  <c r="Q12" i="1124"/>
  <c r="P12" i="1124" s="1"/>
  <c r="AC12" i="1124" s="1"/>
  <c r="O12" i="1124"/>
  <c r="M12" i="1124"/>
  <c r="AF11" i="1124"/>
  <c r="AB11" i="1124"/>
  <c r="Q11" i="1124"/>
  <c r="P11" i="1124" s="1"/>
  <c r="AC11" i="1124" s="1"/>
  <c r="AD11" i="1124" s="1"/>
  <c r="O11" i="1124"/>
  <c r="M11" i="1124"/>
  <c r="AF10" i="1124"/>
  <c r="AB10" i="1124"/>
  <c r="Q10" i="1124"/>
  <c r="P10" i="1124"/>
  <c r="AC10" i="1124" s="1"/>
  <c r="AD10" i="1124" s="1"/>
  <c r="O10" i="1124"/>
  <c r="M10" i="1124"/>
  <c r="K10" i="1124"/>
  <c r="AF9" i="1124"/>
  <c r="Q9" i="1124"/>
  <c r="P9" i="1124"/>
  <c r="AC9" i="1124" s="1"/>
  <c r="AF8" i="1124"/>
  <c r="AB8" i="1124"/>
  <c r="Q8" i="1124"/>
  <c r="P8" i="1124"/>
  <c r="AC8" i="1124" s="1"/>
  <c r="M8" i="1124"/>
  <c r="O8" i="1124"/>
  <c r="AF7" i="1124"/>
  <c r="Q7" i="1124"/>
  <c r="O7" i="1124"/>
  <c r="L21" i="1124"/>
  <c r="O21" i="1124" s="1"/>
  <c r="AF6" i="1124"/>
  <c r="AB6" i="1124"/>
  <c r="Q6" i="1124"/>
  <c r="P6" i="1124"/>
  <c r="O6" i="1124"/>
  <c r="M6" i="1124"/>
  <c r="K6" i="1124"/>
  <c r="AE18" i="1126" l="1"/>
  <c r="AE15" i="1126"/>
  <c r="AE19" i="1126"/>
  <c r="AE16" i="1126"/>
  <c r="AE8" i="1126"/>
  <c r="AE20" i="1126"/>
  <c r="AE11" i="1126"/>
  <c r="AE9" i="1126"/>
  <c r="AE17" i="1126"/>
  <c r="AE14" i="1126"/>
  <c r="AE12" i="1126"/>
  <c r="AE6" i="1126"/>
  <c r="AE10" i="1126"/>
  <c r="AE7" i="1126"/>
  <c r="AE13" i="1126"/>
  <c r="AD20" i="1125"/>
  <c r="AD19" i="1125"/>
  <c r="M21" i="1125"/>
  <c r="P21" i="1125"/>
  <c r="AC21" i="1125"/>
  <c r="AD6" i="1125"/>
  <c r="AD21" i="1125" s="1"/>
  <c r="AD18" i="1124"/>
  <c r="AD15" i="1124"/>
  <c r="Q21" i="1124"/>
  <c r="AD12" i="1124"/>
  <c r="AD16" i="1124"/>
  <c r="AD13" i="1124"/>
  <c r="AD14" i="1124"/>
  <c r="AD17" i="1124"/>
  <c r="AD8" i="1124"/>
  <c r="K21" i="1124"/>
  <c r="AC6" i="1124"/>
  <c r="P7" i="1124"/>
  <c r="AC7" i="1124" s="1"/>
  <c r="M9" i="1124"/>
  <c r="AB9" i="1124"/>
  <c r="AD9" i="1124" s="1"/>
  <c r="O19" i="1124"/>
  <c r="AD19" i="1124" s="1"/>
  <c r="P20" i="1124"/>
  <c r="AC20" i="1124" s="1"/>
  <c r="O9" i="1124"/>
  <c r="M7" i="1124"/>
  <c r="AB7" i="1124"/>
  <c r="M20" i="1124"/>
  <c r="AB20" i="1124"/>
  <c r="M19" i="1124"/>
  <c r="B18" i="16"/>
  <c r="B17" i="16"/>
  <c r="B16" i="16"/>
  <c r="B15" i="16"/>
  <c r="B14" i="16"/>
  <c r="B13" i="16"/>
  <c r="B12" i="16"/>
  <c r="AG12" i="16" s="1"/>
  <c r="B11" i="16"/>
  <c r="B10" i="16"/>
  <c r="B9" i="16"/>
  <c r="B8" i="16"/>
  <c r="B7" i="16"/>
  <c r="B6" i="16"/>
  <c r="B5" i="16"/>
  <c r="B4" i="16"/>
  <c r="B3" i="16"/>
  <c r="AG18" i="16"/>
  <c r="AG17" i="16"/>
  <c r="AG16" i="16"/>
  <c r="AG15" i="16"/>
  <c r="AG14" i="16"/>
  <c r="AG13" i="16"/>
  <c r="AG11" i="16"/>
  <c r="AG10" i="16"/>
  <c r="AG9" i="16"/>
  <c r="AG8" i="16"/>
  <c r="AG7" i="16"/>
  <c r="AG6" i="16"/>
  <c r="AG5" i="16"/>
  <c r="AG4" i="16"/>
  <c r="AG3" i="16"/>
  <c r="L20" i="1123"/>
  <c r="L19" i="1123"/>
  <c r="K19" i="1123" s="1"/>
  <c r="L18" i="1123"/>
  <c r="K18" i="1123"/>
  <c r="L15" i="1123"/>
  <c r="K15" i="1123" s="1"/>
  <c r="K14" i="1123"/>
  <c r="K11" i="1123"/>
  <c r="L9" i="1123"/>
  <c r="K9" i="1123" s="1"/>
  <c r="L8" i="1123"/>
  <c r="K8" i="1123" s="1"/>
  <c r="L7" i="1123"/>
  <c r="K20" i="1123"/>
  <c r="K17" i="1123"/>
  <c r="K13" i="1123"/>
  <c r="K12" i="1123"/>
  <c r="AE18" i="1125" l="1"/>
  <c r="AE15" i="1125"/>
  <c r="AE9" i="1125"/>
  <c r="AE6" i="1125"/>
  <c r="AE19" i="1125"/>
  <c r="AE20" i="1125"/>
  <c r="AE16" i="1125"/>
  <c r="AE7" i="1125"/>
  <c r="AE17" i="1125"/>
  <c r="AE14" i="1125"/>
  <c r="AE12" i="1125"/>
  <c r="AE10" i="1125"/>
  <c r="AE8" i="1125"/>
  <c r="AE13" i="1125"/>
  <c r="AE11" i="1125"/>
  <c r="AB21" i="1124"/>
  <c r="M21" i="1124"/>
  <c r="AD7" i="1124"/>
  <c r="P21" i="1124"/>
  <c r="AD20" i="1124"/>
  <c r="AC21" i="1124"/>
  <c r="AD6" i="1124"/>
  <c r="AD21" i="1124" s="1"/>
  <c r="AE18" i="1124" s="1"/>
  <c r="K10" i="1123"/>
  <c r="A74" i="1123"/>
  <c r="A75" i="1123" s="1"/>
  <c r="A76" i="1123" s="1"/>
  <c r="A77" i="1123" s="1"/>
  <c r="A78" i="1123" s="1"/>
  <c r="A79" i="1123" s="1"/>
  <c r="A80" i="1123" s="1"/>
  <c r="A81" i="1123" s="1"/>
  <c r="AF60" i="1123"/>
  <c r="AF59" i="1123"/>
  <c r="AF62" i="1123" s="1"/>
  <c r="AA21" i="1123"/>
  <c r="Z21" i="1123"/>
  <c r="Y21" i="1123"/>
  <c r="X21" i="1123"/>
  <c r="W21" i="1123"/>
  <c r="V21" i="1123"/>
  <c r="U21" i="1123"/>
  <c r="T21" i="1123"/>
  <c r="S21" i="1123"/>
  <c r="R21" i="1123"/>
  <c r="N21" i="1123"/>
  <c r="J21" i="1123"/>
  <c r="I21" i="1123"/>
  <c r="AF20" i="1123"/>
  <c r="Q20" i="1123"/>
  <c r="O20" i="1123"/>
  <c r="AF19" i="1123"/>
  <c r="AB19" i="1123"/>
  <c r="Q19" i="1123"/>
  <c r="P19" i="1123" s="1"/>
  <c r="AC19" i="1123" s="1"/>
  <c r="O19" i="1123"/>
  <c r="M19" i="1123"/>
  <c r="AF18" i="1123"/>
  <c r="AB18" i="1123"/>
  <c r="Q18" i="1123"/>
  <c r="P18" i="1123"/>
  <c r="AC18" i="1123" s="1"/>
  <c r="O18" i="1123"/>
  <c r="M18" i="1123"/>
  <c r="AF17" i="1123"/>
  <c r="Q17" i="1123"/>
  <c r="P17" i="1123" s="1"/>
  <c r="AC17" i="1123" s="1"/>
  <c r="M17" i="1123"/>
  <c r="AB17" i="1123"/>
  <c r="AF16" i="1123"/>
  <c r="AB16" i="1123"/>
  <c r="Q16" i="1123"/>
  <c r="P16" i="1123"/>
  <c r="AC16" i="1123" s="1"/>
  <c r="O16" i="1123"/>
  <c r="M16" i="1123"/>
  <c r="K16" i="1123"/>
  <c r="AF15" i="1123"/>
  <c r="Q15" i="1123"/>
  <c r="O15" i="1123"/>
  <c r="AF14" i="1123"/>
  <c r="AB14" i="1123"/>
  <c r="Q14" i="1123"/>
  <c r="P14" i="1123"/>
  <c r="AC14" i="1123" s="1"/>
  <c r="O14" i="1123"/>
  <c r="M14" i="1123"/>
  <c r="AF13" i="1123"/>
  <c r="AB13" i="1123"/>
  <c r="Q13" i="1123"/>
  <c r="P13" i="1123" s="1"/>
  <c r="AC13" i="1123" s="1"/>
  <c r="O13" i="1123"/>
  <c r="M13" i="1123"/>
  <c r="AF12" i="1123"/>
  <c r="AB12" i="1123"/>
  <c r="Q12" i="1123"/>
  <c r="P12" i="1123" s="1"/>
  <c r="AC12" i="1123" s="1"/>
  <c r="O12" i="1123"/>
  <c r="M12" i="1123"/>
  <c r="AF11" i="1123"/>
  <c r="AB11" i="1123"/>
  <c r="Q11" i="1123"/>
  <c r="P11" i="1123" s="1"/>
  <c r="AC11" i="1123" s="1"/>
  <c r="O11" i="1123"/>
  <c r="M11" i="1123"/>
  <c r="AF10" i="1123"/>
  <c r="AB10" i="1123"/>
  <c r="Q10" i="1123"/>
  <c r="P10" i="1123"/>
  <c r="AC10" i="1123" s="1"/>
  <c r="O10" i="1123"/>
  <c r="M10" i="1123"/>
  <c r="AF9" i="1123"/>
  <c r="Q9" i="1123"/>
  <c r="O9" i="1123"/>
  <c r="AF8" i="1123"/>
  <c r="Q8" i="1123"/>
  <c r="P8" i="1123"/>
  <c r="AC8" i="1123" s="1"/>
  <c r="AB8" i="1123"/>
  <c r="AF7" i="1123"/>
  <c r="AB7" i="1123"/>
  <c r="Q7" i="1123"/>
  <c r="P7" i="1123" s="1"/>
  <c r="AC7" i="1123" s="1"/>
  <c r="O7" i="1123"/>
  <c r="M7" i="1123"/>
  <c r="K7" i="1123"/>
  <c r="AF6" i="1123"/>
  <c r="AB6" i="1123"/>
  <c r="Q6" i="1123"/>
  <c r="P6" i="1123"/>
  <c r="AC6" i="1123" s="1"/>
  <c r="O6" i="1123"/>
  <c r="M6" i="1123"/>
  <c r="K6" i="1123"/>
  <c r="AE11" i="1124" l="1"/>
  <c r="AE9" i="1124"/>
  <c r="AE19" i="1124"/>
  <c r="AE16" i="1124"/>
  <c r="AE6" i="1124"/>
  <c r="AE12" i="1124"/>
  <c r="AE20" i="1124"/>
  <c r="AE14" i="1124"/>
  <c r="AE10" i="1124"/>
  <c r="AE7" i="1124"/>
  <c r="AE17" i="1124"/>
  <c r="AE15" i="1124"/>
  <c r="AE8" i="1124"/>
  <c r="AE13" i="1124"/>
  <c r="AD18" i="1123"/>
  <c r="AD10" i="1123"/>
  <c r="AD14" i="1123"/>
  <c r="Q21" i="1123"/>
  <c r="AD12" i="1123"/>
  <c r="AD11" i="1123"/>
  <c r="AD7" i="1123"/>
  <c r="AD13" i="1123"/>
  <c r="AD16" i="1123"/>
  <c r="AD19" i="1123"/>
  <c r="M8" i="1123"/>
  <c r="AD6" i="1123"/>
  <c r="O8" i="1123"/>
  <c r="AD8" i="1123" s="1"/>
  <c r="K21" i="1123"/>
  <c r="P9" i="1123"/>
  <c r="AC9" i="1123" s="1"/>
  <c r="P15" i="1123"/>
  <c r="AC15" i="1123" s="1"/>
  <c r="O17" i="1123"/>
  <c r="AD17" i="1123" s="1"/>
  <c r="P20" i="1123"/>
  <c r="AC20" i="1123" s="1"/>
  <c r="M9" i="1123"/>
  <c r="AB9" i="1123"/>
  <c r="M15" i="1123"/>
  <c r="AB15" i="1123"/>
  <c r="M20" i="1123"/>
  <c r="AB20" i="1123"/>
  <c r="L21" i="1123"/>
  <c r="O21" i="1123" s="1"/>
  <c r="P21" i="1123" l="1"/>
  <c r="AB21" i="1123"/>
  <c r="M21" i="1123"/>
  <c r="AD9" i="1123"/>
  <c r="AD15" i="1123"/>
  <c r="AD20" i="1123"/>
  <c r="AC21" i="1123"/>
  <c r="AD21" i="1123" l="1"/>
  <c r="AE16" i="1123" l="1"/>
  <c r="AE18" i="1123"/>
  <c r="AE7" i="1123"/>
  <c r="AE9" i="1123"/>
  <c r="AE13" i="1123"/>
  <c r="AE12" i="1123"/>
  <c r="AE11" i="1123"/>
  <c r="AE10" i="1123"/>
  <c r="AE20" i="1123"/>
  <c r="AE8" i="1123"/>
  <c r="AE17" i="1123"/>
  <c r="AE19" i="1123"/>
  <c r="AE6" i="1123"/>
  <c r="AE15" i="1123"/>
  <c r="AE14" i="1123"/>
</calcChain>
</file>

<file path=xl/sharedStrings.xml><?xml version="1.0" encoding="utf-8"?>
<sst xmlns="http://schemas.openxmlformats.org/spreadsheetml/2006/main" count="4368" uniqueCount="917">
  <si>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</si>
  <si>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</si>
  <si>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</si>
  <si>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</si>
  <si>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</si>
  <si>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</si>
  <si>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</si>
  <si>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</si>
  <si>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</si>
  <si>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</si>
  <si>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</si>
  <si>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</si>
  <si>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</si>
  <si>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</si>
  <si>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</si>
  <si>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</si>
  <si>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</si>
  <si>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</si>
  <si>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</si>
  <si>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</si>
  <si>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</si>
  <si>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</si>
  <si>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</si>
  <si>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</si>
  <si>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</si>
  <si>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</si>
  <si>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</si>
  <si>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</si>
  <si>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</si>
  <si>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</si>
  <si>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</si>
  <si>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</si>
  <si>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</si>
  <si>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</si>
  <si>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</si>
  <si>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</si>
  <si>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</si>
  <si>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</si>
  <si>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</si>
  <si>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</si>
  <si>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</si>
  <si>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</si>
  <si>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</si>
  <si>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</si>
  <si>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</si>
  <si>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</si>
  <si>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</si>
  <si>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</si>
  <si>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</si>
  <si>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</si>
  <si>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</si>
  <si>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</si>
  <si>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</si>
  <si>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</si>
  <si>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</si>
  <si>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</si>
  <si>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</si>
  <si>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</si>
  <si>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</si>
  <si>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</si>
  <si>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</si>
  <si>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</si>
  <si>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</si>
  <si>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</si>
  <si>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</si>
  <si>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</si>
  <si>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</si>
  <si>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</si>
  <si>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</si>
  <si>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</si>
  <si>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</si>
  <si>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</si>
  <si>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</si>
  <si>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</si>
  <si>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</si>
  <si>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</si>
  <si>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</si>
  <si>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</si>
  <si>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</si>
  <si>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</si>
  <si>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</si>
  <si>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</si>
  <si>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</si>
  <si>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</si>
  <si>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</si>
  <si>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</si>
  <si>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</si>
  <si>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</si>
  <si>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</si>
  <si>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</si>
  <si>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</si>
  <si>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</si>
  <si>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</si>
  <si>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</si>
  <si>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</si>
  <si>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</si>
  <si>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</si>
  <si>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</si>
  <si>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</si>
  <si>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</si>
  <si>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</si>
  <si>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</si>
  <si>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</si>
  <si>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</si>
  <si>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</si>
  <si>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</si>
  <si>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</si>
  <si>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</si>
  <si>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</si>
  <si>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</si>
  <si>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</si>
  <si>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</si>
  <si>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</si>
  <si>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</si>
  <si>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</si>
  <si>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 xml:space="preserve"> 코아파손</t>
    <phoneticPr fontId="2" type="noConversion"/>
  </si>
  <si>
    <t>IC GUIDE</t>
    <phoneticPr fontId="2" type="noConversion"/>
  </si>
  <si>
    <t>AMB07H9A-KAA-R1</t>
    <phoneticPr fontId="2" type="noConversion"/>
  </si>
  <si>
    <t xml:space="preserve"> 미성형,단차</t>
    <phoneticPr fontId="2" type="noConversion"/>
  </si>
  <si>
    <t>38P</t>
    <phoneticPr fontId="2" type="noConversion"/>
  </si>
  <si>
    <t>AM0164A-A</t>
    <phoneticPr fontId="2" type="noConversion"/>
  </si>
  <si>
    <t>SLIDER</t>
    <phoneticPr fontId="2" type="noConversion"/>
  </si>
  <si>
    <t>SST</t>
    <phoneticPr fontId="2" type="noConversion"/>
  </si>
  <si>
    <t>ODT</t>
    <phoneticPr fontId="2" type="noConversion"/>
  </si>
  <si>
    <t>DI</t>
    <phoneticPr fontId="2" type="noConversion"/>
  </si>
  <si>
    <t>PA46</t>
    <phoneticPr fontId="2" type="noConversion"/>
  </si>
  <si>
    <t>8</t>
    <phoneticPr fontId="2" type="noConversion"/>
  </si>
  <si>
    <t>COVER</t>
    <phoneticPr fontId="2" type="noConversion"/>
  </si>
  <si>
    <t>BASE</t>
    <phoneticPr fontId="2" type="noConversion"/>
  </si>
  <si>
    <t>MCS</t>
    <phoneticPr fontId="2" type="noConversion"/>
  </si>
  <si>
    <t>수리후양산</t>
    <phoneticPr fontId="2" type="noConversion"/>
  </si>
  <si>
    <t>14</t>
    <phoneticPr fontId="2" type="noConversion"/>
  </si>
  <si>
    <t>13</t>
    <phoneticPr fontId="2" type="noConversion"/>
  </si>
  <si>
    <t>BASE</t>
    <phoneticPr fontId="2" type="noConversion"/>
  </si>
  <si>
    <t>OKINS</t>
    <phoneticPr fontId="2" type="noConversion"/>
  </si>
  <si>
    <t>STOPPER</t>
    <phoneticPr fontId="2" type="noConversion"/>
  </si>
  <si>
    <t>AMB0114B-JAA-R6</t>
    <phoneticPr fontId="2" type="noConversion"/>
  </si>
  <si>
    <t>SF2255</t>
    <phoneticPr fontId="2" type="noConversion"/>
  </si>
  <si>
    <t>SGF2033</t>
    <phoneticPr fontId="2" type="noConversion"/>
  </si>
  <si>
    <t>BASE</t>
    <phoneticPr fontId="2" type="noConversion"/>
  </si>
  <si>
    <t>SGF2050</t>
    <phoneticPr fontId="2" type="noConversion"/>
  </si>
  <si>
    <t>2</t>
    <phoneticPr fontId="2" type="noConversion"/>
  </si>
  <si>
    <t>KR6197AB841CA</t>
    <phoneticPr fontId="2" type="noConversion"/>
  </si>
  <si>
    <t xml:space="preserve">SGF2050 </t>
    <phoneticPr fontId="2" type="noConversion"/>
  </si>
  <si>
    <t>BASE</t>
    <phoneticPr fontId="2" type="noConversion"/>
  </si>
  <si>
    <t>22P(4p)</t>
    <phoneticPr fontId="2" type="noConversion"/>
  </si>
  <si>
    <t>AYE</t>
    <phoneticPr fontId="2" type="noConversion"/>
  </si>
  <si>
    <t>S475</t>
    <phoneticPr fontId="2" type="noConversion"/>
  </si>
  <si>
    <t>TST</t>
    <phoneticPr fontId="2" type="noConversion"/>
  </si>
  <si>
    <t>OK164SSD-100-T18-BA</t>
    <phoneticPr fontId="2" type="noConversion"/>
  </si>
  <si>
    <t>사출물 B</t>
    <phoneticPr fontId="2" type="noConversion"/>
  </si>
  <si>
    <t>LEN2211</t>
    <phoneticPr fontId="2" type="noConversion"/>
  </si>
  <si>
    <t>KR6197-C841TA</t>
    <phoneticPr fontId="2" type="noConversion"/>
  </si>
  <si>
    <t>JD4901</t>
    <phoneticPr fontId="2" type="noConversion"/>
  </si>
  <si>
    <t>KR6197EA293YA</t>
    <phoneticPr fontId="2" type="noConversion"/>
  </si>
  <si>
    <t>SW-003068-1</t>
    <phoneticPr fontId="2" type="noConversion"/>
  </si>
  <si>
    <t>203T</t>
    <phoneticPr fontId="2" type="noConversion"/>
  </si>
  <si>
    <t>AYE</t>
    <phoneticPr fontId="2" type="noConversion"/>
  </si>
  <si>
    <t>수정</t>
    <phoneticPr fontId="2" type="noConversion"/>
  </si>
  <si>
    <t>ODT</t>
    <phoneticPr fontId="2" type="noConversion"/>
  </si>
  <si>
    <t>203T</t>
    <phoneticPr fontId="2" type="noConversion"/>
  </si>
  <si>
    <t>PC30%</t>
    <phoneticPr fontId="2" type="noConversion"/>
  </si>
  <si>
    <t>LED A</t>
    <phoneticPr fontId="2" type="noConversion"/>
  </si>
  <si>
    <t>SW-003071</t>
    <phoneticPr fontId="2" type="noConversion"/>
  </si>
  <si>
    <t>ADAPTER</t>
    <phoneticPr fontId="2" type="noConversion"/>
  </si>
  <si>
    <t>NP595-350-008#LB</t>
    <phoneticPr fontId="2" type="noConversion"/>
  </si>
  <si>
    <t>SGP2030R N/P</t>
    <phoneticPr fontId="2" type="noConversion"/>
  </si>
  <si>
    <t>SST</t>
    <phoneticPr fontId="2" type="noConversion"/>
  </si>
  <si>
    <t>NP504-432-073#SP-A,B,C</t>
    <phoneticPr fontId="2" type="noConversion"/>
  </si>
  <si>
    <t>SPACER A,B,C</t>
    <phoneticPr fontId="2" type="noConversion"/>
  </si>
  <si>
    <t>3*1</t>
    <phoneticPr fontId="2" type="noConversion"/>
  </si>
  <si>
    <t>AYE</t>
    <phoneticPr fontId="2" type="noConversion"/>
  </si>
  <si>
    <t>SPACER A,B,C</t>
    <phoneticPr fontId="2" type="noConversion"/>
  </si>
  <si>
    <t>9</t>
    <phoneticPr fontId="2" type="noConversion"/>
  </si>
  <si>
    <t>AMM0827A-KAA-R2</t>
    <phoneticPr fontId="2" type="noConversion"/>
  </si>
  <si>
    <t>NP504-432-073#SP-A,B,C</t>
    <phoneticPr fontId="2" type="noConversion"/>
  </si>
  <si>
    <r>
      <t>2018년 02월 01일 일일생산현황</t>
    </r>
    <r>
      <rPr>
        <b/>
        <sz val="14"/>
        <color indexed="8"/>
        <rFont val="굴림체"/>
        <family val="3"/>
        <charset val="129"/>
      </rPr>
      <t>(02일(금) 09시 현재)</t>
    </r>
    <phoneticPr fontId="2" type="noConversion"/>
  </si>
  <si>
    <t>KR6197AB841CB</t>
    <phoneticPr fontId="2" type="noConversion"/>
  </si>
  <si>
    <t>NP571-178-025#LB</t>
    <phoneticPr fontId="2" type="noConversion"/>
  </si>
  <si>
    <t>SGP2030R N/P</t>
    <phoneticPr fontId="2" type="noConversion"/>
  </si>
  <si>
    <t>AMM0827A-KAA-R2</t>
    <phoneticPr fontId="2" type="noConversion"/>
  </si>
  <si>
    <t>BLUE</t>
    <phoneticPr fontId="2" type="noConversion"/>
  </si>
  <si>
    <t>AMB0450A-KAA-R1</t>
    <phoneticPr fontId="2" type="noConversion"/>
  </si>
  <si>
    <t>7301</t>
    <phoneticPr fontId="2" type="noConversion"/>
  </si>
  <si>
    <t>02월 호기별 가동현황</t>
    <phoneticPr fontId="2" type="noConversion"/>
  </si>
  <si>
    <t>전일 ISSUE 사항(01일)</t>
    <phoneticPr fontId="2" type="noConversion"/>
  </si>
  <si>
    <t>코아파손-&gt;설비이동 7호기,4호기 정지</t>
    <phoneticPr fontId="2" type="noConversion"/>
  </si>
  <si>
    <t>수리후양산-&gt;뜯김2회수리후양산</t>
    <phoneticPr fontId="2" type="noConversion"/>
  </si>
  <si>
    <t>ODT</t>
    <phoneticPr fontId="2" type="noConversion"/>
  </si>
  <si>
    <t>SW-003068-1</t>
    <phoneticPr fontId="2" type="noConversion"/>
  </si>
  <si>
    <t>발주분양산</t>
    <phoneticPr fontId="2" type="noConversion"/>
  </si>
  <si>
    <t>수리후양산-&gt;오조립-&gt;뜯김정지</t>
    <phoneticPr fontId="2" type="noConversion"/>
  </si>
  <si>
    <t>6</t>
    <phoneticPr fontId="2" type="noConversion"/>
  </si>
  <si>
    <t>NP571-178-025#LB</t>
    <phoneticPr fontId="2" type="noConversion"/>
  </si>
  <si>
    <t>치수확인후양산</t>
    <phoneticPr fontId="2" type="noConversion"/>
  </si>
  <si>
    <t>8</t>
    <phoneticPr fontId="2" type="noConversion"/>
  </si>
  <si>
    <t>AMB0158A-KAA-R1</t>
    <phoneticPr fontId="2" type="noConversion"/>
  </si>
  <si>
    <t>발주분양산-&gt;미성형정지</t>
    <phoneticPr fontId="2" type="noConversion"/>
  </si>
  <si>
    <t>13</t>
    <phoneticPr fontId="2" type="noConversion"/>
  </si>
  <si>
    <t>STOPPER</t>
    <phoneticPr fontId="2" type="noConversion"/>
  </si>
  <si>
    <t>AMB0450A-KAA-R1</t>
    <phoneticPr fontId="2" type="noConversion"/>
  </si>
  <si>
    <t>당일 진행 사항(02일)</t>
    <phoneticPr fontId="2" type="noConversion"/>
  </si>
  <si>
    <t>AMB0158A-KAA-R1</t>
    <phoneticPr fontId="2" type="noConversion"/>
  </si>
  <si>
    <t>AMB07P2A-KAA-R1</t>
    <phoneticPr fontId="2" type="noConversion"/>
  </si>
  <si>
    <t>12</t>
    <phoneticPr fontId="2" type="noConversion"/>
  </si>
  <si>
    <t>F/ADAPTER</t>
    <phoneticPr fontId="2" type="noConversion"/>
  </si>
  <si>
    <t>발주분양산</t>
    <phoneticPr fontId="2" type="noConversion"/>
  </si>
  <si>
    <t>SAMPLE 진행 사항(01일)</t>
    <phoneticPr fontId="2" type="noConversion"/>
  </si>
  <si>
    <t>0.25P</t>
    <phoneticPr fontId="2" type="noConversion"/>
  </si>
  <si>
    <t>2CAVITY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</si>
  <si>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</si>
  <si>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</si>
  <si>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2018년 02월 02일 일일생산현황</t>
    </r>
    <r>
      <rPr>
        <b/>
        <sz val="14"/>
        <color indexed="8"/>
        <rFont val="굴림체"/>
        <family val="3"/>
        <charset val="129"/>
      </rPr>
      <t>(03일(토) 09시 현재)</t>
    </r>
    <phoneticPr fontId="2" type="noConversion"/>
  </si>
  <si>
    <t>MCS</t>
    <phoneticPr fontId="2" type="noConversion"/>
  </si>
  <si>
    <t>AMB0158A-KAA-R1</t>
    <phoneticPr fontId="2" type="noConversion"/>
  </si>
  <si>
    <t>SGF2050</t>
    <phoneticPr fontId="2" type="noConversion"/>
  </si>
  <si>
    <t>MCS</t>
    <phoneticPr fontId="2" type="noConversion"/>
  </si>
  <si>
    <t>BODY</t>
    <phoneticPr fontId="2" type="noConversion"/>
  </si>
  <si>
    <t>AM0148A-K-R2</t>
    <phoneticPr fontId="2" type="noConversion"/>
  </si>
  <si>
    <t>F/ADAPTER</t>
    <phoneticPr fontId="2" type="noConversion"/>
  </si>
  <si>
    <t>AMB07P2A-KAA-R1</t>
    <phoneticPr fontId="2" type="noConversion"/>
  </si>
  <si>
    <t>전일 ISSUE 사항(02일)</t>
    <phoneticPr fontId="2" type="noConversion"/>
  </si>
  <si>
    <t>코아파손-&gt;금형이상수리후양산</t>
    <phoneticPr fontId="2" type="noConversion"/>
  </si>
  <si>
    <t>뜯김수리후양산-&gt;뜯김정지</t>
    <phoneticPr fontId="2" type="noConversion"/>
  </si>
  <si>
    <t>수리후양산 2회진행</t>
    <phoneticPr fontId="2" type="noConversion"/>
  </si>
  <si>
    <t>12</t>
    <phoneticPr fontId="2" type="noConversion"/>
  </si>
  <si>
    <t>F/ADAPTER</t>
    <phoneticPr fontId="2" type="noConversion"/>
  </si>
  <si>
    <t>발주분양산</t>
    <phoneticPr fontId="2" type="noConversion"/>
  </si>
  <si>
    <t>11</t>
    <phoneticPr fontId="2" type="noConversion"/>
  </si>
  <si>
    <t>AM0148A-K-R2</t>
    <phoneticPr fontId="2" type="noConversion"/>
  </si>
  <si>
    <t>발주분양산-&gt;오조립수리</t>
    <phoneticPr fontId="2" type="noConversion"/>
  </si>
  <si>
    <t>당일 진행 사항(04일)</t>
    <phoneticPr fontId="2" type="noConversion"/>
  </si>
  <si>
    <t>AYE</t>
    <phoneticPr fontId="2" type="noConversion"/>
  </si>
  <si>
    <t>3</t>
    <phoneticPr fontId="2" type="noConversion"/>
  </si>
  <si>
    <t>NP620-464-001#CV</t>
    <phoneticPr fontId="2" type="noConversion"/>
  </si>
  <si>
    <t>NP504-432-073#SP-A,B,C</t>
    <phoneticPr fontId="2" type="noConversion"/>
  </si>
  <si>
    <t>NP504-432-073#SP-A,B,C</t>
    <phoneticPr fontId="2" type="noConversion"/>
  </si>
  <si>
    <t>AYE</t>
    <phoneticPr fontId="2" type="noConversion"/>
  </si>
  <si>
    <t>14</t>
    <phoneticPr fontId="2" type="noConversion"/>
  </si>
  <si>
    <t>SPACER ABC</t>
    <phoneticPr fontId="2" type="noConversion"/>
  </si>
  <si>
    <t>72P</t>
    <phoneticPr fontId="2" type="noConversion"/>
  </si>
  <si>
    <t>DI</t>
    <phoneticPr fontId="2" type="noConversion"/>
  </si>
  <si>
    <t>15</t>
    <phoneticPr fontId="2" type="noConversion"/>
  </si>
  <si>
    <t>OKINS</t>
    <phoneticPr fontId="2" type="noConversion"/>
  </si>
  <si>
    <t>7</t>
    <phoneticPr fontId="2" type="noConversion"/>
  </si>
  <si>
    <t>240F51M-B047E</t>
    <phoneticPr fontId="2" type="noConversion"/>
  </si>
  <si>
    <t>승인후양산</t>
    <phoneticPr fontId="2" type="noConversion"/>
  </si>
  <si>
    <t>SW-003074</t>
    <phoneticPr fontId="2" type="noConversion"/>
  </si>
  <si>
    <t>10</t>
    <phoneticPr fontId="2" type="noConversion"/>
  </si>
  <si>
    <t>LED 6V</t>
    <phoneticPr fontId="2" type="noConversion"/>
  </si>
  <si>
    <t>발주분양산</t>
    <phoneticPr fontId="2" type="noConversion"/>
  </si>
  <si>
    <t>SAMPLE 진행 사항(02일)</t>
    <phoneticPr fontId="2" type="noConversion"/>
  </si>
  <si>
    <t>OKINS</t>
    <phoneticPr fontId="2" type="noConversion"/>
  </si>
  <si>
    <t>BASE</t>
    <phoneticPr fontId="2" type="noConversion"/>
  </si>
  <si>
    <t>240F51M-B047E</t>
    <phoneticPr fontId="2" type="noConversion"/>
  </si>
  <si>
    <t>PA9T</t>
    <phoneticPr fontId="2" type="noConversion"/>
  </si>
  <si>
    <t>AMB0159A-KAA-R2</t>
    <phoneticPr fontId="2" type="noConversion"/>
  </si>
  <si>
    <t>SF2255</t>
    <phoneticPr fontId="2" type="noConversion"/>
  </si>
  <si>
    <t>수정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</si>
  <si>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</si>
  <si>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</si>
  <si>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2018년 02월 05일 일일생산현황</t>
    </r>
    <r>
      <rPr>
        <b/>
        <sz val="14"/>
        <color indexed="8"/>
        <rFont val="굴림체"/>
        <family val="3"/>
        <charset val="129"/>
      </rPr>
      <t>(06일(화) 09시 현재)</t>
    </r>
    <phoneticPr fontId="2" type="noConversion"/>
  </si>
  <si>
    <t>NP620-464-001#CV</t>
    <phoneticPr fontId="2" type="noConversion"/>
  </si>
  <si>
    <t>SGF2030</t>
    <phoneticPr fontId="2" type="noConversion"/>
  </si>
  <si>
    <t>SLIDER</t>
    <phoneticPr fontId="2" type="noConversion"/>
  </si>
  <si>
    <t>KR6422-A556YA</t>
    <phoneticPr fontId="2" type="noConversion"/>
  </si>
  <si>
    <t>OKINS</t>
    <phoneticPr fontId="2" type="noConversion"/>
  </si>
  <si>
    <t>204F51M-B047E</t>
    <phoneticPr fontId="2" type="noConversion"/>
  </si>
  <si>
    <t>PA9T</t>
    <phoneticPr fontId="2" type="noConversion"/>
  </si>
  <si>
    <t>LED 6V</t>
    <phoneticPr fontId="2" type="noConversion"/>
  </si>
  <si>
    <t>SW-003074</t>
    <phoneticPr fontId="2" type="noConversion"/>
  </si>
  <si>
    <t>BASE/UNDER</t>
    <phoneticPr fontId="2" type="noConversion"/>
  </si>
  <si>
    <t>25SSD-127-T6-BB/UB</t>
    <phoneticPr fontId="2" type="noConversion"/>
  </si>
  <si>
    <t>2*1</t>
    <phoneticPr fontId="2" type="noConversion"/>
  </si>
  <si>
    <t>72P</t>
    <phoneticPr fontId="2" type="noConversion"/>
  </si>
  <si>
    <t>전일 ISSUE 사항(05일)</t>
    <phoneticPr fontId="2" type="noConversion"/>
  </si>
  <si>
    <t>밀핀높이수리</t>
    <phoneticPr fontId="2" type="noConversion"/>
  </si>
  <si>
    <t>SST</t>
    <phoneticPr fontId="2" type="noConversion"/>
  </si>
  <si>
    <t>4</t>
    <phoneticPr fontId="2" type="noConversion"/>
  </si>
  <si>
    <t>SLIDER</t>
    <phoneticPr fontId="2" type="noConversion"/>
  </si>
  <si>
    <t>발주분양산</t>
    <phoneticPr fontId="2" type="noConversion"/>
  </si>
  <si>
    <t>7</t>
    <phoneticPr fontId="2" type="noConversion"/>
  </si>
  <si>
    <t>BASE</t>
    <phoneticPr fontId="2" type="noConversion"/>
  </si>
  <si>
    <t>10</t>
    <phoneticPr fontId="2" type="noConversion"/>
  </si>
  <si>
    <t>6V</t>
    <phoneticPr fontId="2" type="noConversion"/>
  </si>
  <si>
    <t>11</t>
    <phoneticPr fontId="2" type="noConversion"/>
  </si>
  <si>
    <t>DI</t>
    <phoneticPr fontId="2" type="noConversion"/>
  </si>
  <si>
    <t>15</t>
    <phoneticPr fontId="2" type="noConversion"/>
  </si>
  <si>
    <t>72P</t>
    <phoneticPr fontId="2" type="noConversion"/>
  </si>
  <si>
    <t>당일 진행 사항(06일)</t>
    <phoneticPr fontId="2" type="noConversion"/>
  </si>
  <si>
    <t>SST</t>
    <phoneticPr fontId="2" type="noConversion"/>
  </si>
  <si>
    <t>KR6414-C414TA</t>
    <phoneticPr fontId="2" type="noConversion"/>
  </si>
  <si>
    <t>KR6414-A414YA</t>
    <phoneticPr fontId="2" type="noConversion"/>
  </si>
  <si>
    <t>KR6414-B414UA</t>
    <phoneticPr fontId="2" type="noConversion"/>
  </si>
  <si>
    <t>KR6414-F414UA</t>
    <phoneticPr fontId="2" type="noConversion"/>
  </si>
  <si>
    <t>LEAD GUIDE</t>
    <phoneticPr fontId="2" type="noConversion"/>
  </si>
  <si>
    <t>금형 수리 내역(05일)</t>
    <phoneticPr fontId="2" type="noConversion"/>
  </si>
  <si>
    <t>SAMPLE 진행 사항(05일)</t>
    <phoneticPr fontId="2" type="noConversion"/>
  </si>
  <si>
    <t>AYE</t>
    <phoneticPr fontId="2" type="noConversion"/>
  </si>
  <si>
    <t>ADAPTER</t>
    <phoneticPr fontId="2" type="noConversion"/>
  </si>
  <si>
    <t>NP599-290-002#LB</t>
    <phoneticPr fontId="2" type="noConversion"/>
  </si>
  <si>
    <t>수정</t>
    <phoneticPr fontId="2" type="noConversion"/>
  </si>
  <si>
    <t>SEPARATOR 1,2</t>
    <phoneticPr fontId="2" type="noConversion"/>
  </si>
  <si>
    <t>NP599-290-002#SP-1,2</t>
    <phoneticPr fontId="2" type="noConversion"/>
  </si>
  <si>
    <t>S475</t>
    <phoneticPr fontId="2" type="noConversion"/>
  </si>
  <si>
    <t>신작</t>
    <phoneticPr fontId="2" type="noConversion"/>
  </si>
  <si>
    <t>SPACER ABC</t>
    <phoneticPr fontId="2" type="noConversion"/>
  </si>
  <si>
    <t>NP599-290-002#SP-A,B,C</t>
    <phoneticPr fontId="2" type="noConversion"/>
  </si>
  <si>
    <t>SGP2030R</t>
    <phoneticPr fontId="2" type="noConversion"/>
  </si>
  <si>
    <t>설비 점검 내역(05일)</t>
    <phoneticPr fontId="2" type="noConversion"/>
  </si>
  <si>
    <r>
      <t>2018년 02월 06일 일일생산현황</t>
    </r>
    <r>
      <rPr>
        <b/>
        <sz val="14"/>
        <color indexed="8"/>
        <rFont val="굴림체"/>
        <family val="3"/>
        <charset val="129"/>
      </rPr>
      <t>(07일(수) 09시 현재)</t>
    </r>
    <phoneticPr fontId="2" type="noConversion"/>
  </si>
  <si>
    <t>SW-003068</t>
    <phoneticPr fontId="2" type="noConversion"/>
  </si>
  <si>
    <t>PC15%</t>
    <phoneticPr fontId="2" type="noConversion"/>
  </si>
  <si>
    <t>SST</t>
    <phoneticPr fontId="2" type="noConversion"/>
  </si>
  <si>
    <t>KR6414-C414TA</t>
    <phoneticPr fontId="2" type="noConversion"/>
  </si>
  <si>
    <t>KR6414-A166YA</t>
    <phoneticPr fontId="2" type="noConversion"/>
  </si>
  <si>
    <t>KR6414-B414UA</t>
    <phoneticPr fontId="2" type="noConversion"/>
  </si>
  <si>
    <t>LEAD GUIDE</t>
    <phoneticPr fontId="2" type="noConversion"/>
  </si>
  <si>
    <t>KR6414-F414UA</t>
    <phoneticPr fontId="2" type="noConversion"/>
  </si>
  <si>
    <t>전일 ISSUE 사항(06일)</t>
    <phoneticPr fontId="2" type="noConversion"/>
  </si>
  <si>
    <t>뜯김수리</t>
    <phoneticPr fontId="2" type="noConversion"/>
  </si>
  <si>
    <t>SST</t>
    <phoneticPr fontId="2" type="noConversion"/>
  </si>
  <si>
    <t>3</t>
    <phoneticPr fontId="2" type="noConversion"/>
  </si>
  <si>
    <t>COVER</t>
    <phoneticPr fontId="2" type="noConversion"/>
  </si>
  <si>
    <t>KR6414-C414TA</t>
    <phoneticPr fontId="2" type="noConversion"/>
  </si>
  <si>
    <t>8</t>
    <phoneticPr fontId="2" type="noConversion"/>
  </si>
  <si>
    <t>BASE</t>
    <phoneticPr fontId="2" type="noConversion"/>
  </si>
  <si>
    <t>발주분양산-&gt;오조립-&gt;수정정지</t>
    <phoneticPr fontId="2" type="noConversion"/>
  </si>
  <si>
    <t>11</t>
    <phoneticPr fontId="2" type="noConversion"/>
  </si>
  <si>
    <t>LEAD GUIDE</t>
    <phoneticPr fontId="2" type="noConversion"/>
  </si>
  <si>
    <t>MCS</t>
    <phoneticPr fontId="2" type="noConversion"/>
  </si>
  <si>
    <t>9</t>
    <phoneticPr fontId="2" type="noConversion"/>
  </si>
  <si>
    <t>AMM0827A-KAA-R2</t>
    <phoneticPr fontId="2" type="noConversion"/>
  </si>
  <si>
    <t>수리후양산</t>
    <phoneticPr fontId="2" type="noConversion"/>
  </si>
  <si>
    <t>AYE</t>
    <phoneticPr fontId="2" type="noConversion"/>
  </si>
  <si>
    <t>NP571-178-025#LB</t>
    <phoneticPr fontId="2" type="noConversion"/>
  </si>
  <si>
    <t>승인후양산-&gt;대기</t>
    <phoneticPr fontId="2" type="noConversion"/>
  </si>
  <si>
    <t>당일 진행 사항(07일)</t>
    <phoneticPr fontId="2" type="noConversion"/>
  </si>
  <si>
    <t>4</t>
    <phoneticPr fontId="2" type="noConversion"/>
  </si>
  <si>
    <t>SLIDER</t>
    <phoneticPr fontId="2" type="noConversion"/>
  </si>
  <si>
    <t>KR6414-A166YA</t>
    <phoneticPr fontId="2" type="noConversion"/>
  </si>
  <si>
    <t>세척후양산</t>
    <phoneticPr fontId="2" type="noConversion"/>
  </si>
  <si>
    <t>수정후양산</t>
    <phoneticPr fontId="2" type="noConversion"/>
  </si>
  <si>
    <t>AM0148B-K-R2</t>
    <phoneticPr fontId="2" type="noConversion"/>
  </si>
  <si>
    <t>7</t>
    <phoneticPr fontId="2" type="noConversion"/>
  </si>
  <si>
    <t>BODY</t>
    <phoneticPr fontId="2" type="noConversion"/>
  </si>
  <si>
    <t>발주분양산</t>
    <phoneticPr fontId="2" type="noConversion"/>
  </si>
  <si>
    <t>SAMPLE 진행 사항(06일)</t>
    <phoneticPr fontId="2" type="noConversion"/>
  </si>
  <si>
    <t>SEPARATOR</t>
    <phoneticPr fontId="2" type="noConversion"/>
  </si>
  <si>
    <t>NP504-504-018#SP-1</t>
    <phoneticPr fontId="2" type="noConversion"/>
  </si>
  <si>
    <t>SGF2033</t>
    <phoneticPr fontId="2" type="noConversion"/>
  </si>
  <si>
    <t>신작</t>
    <phoneticPr fontId="2" type="noConversion"/>
  </si>
  <si>
    <t>내부검토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</si>
  <si>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</si>
  <si>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</si>
  <si>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2018년 02월 07일 일일생산현황</t>
    </r>
    <r>
      <rPr>
        <b/>
        <sz val="14"/>
        <color indexed="8"/>
        <rFont val="굴림체"/>
        <family val="3"/>
        <charset val="129"/>
      </rPr>
      <t>(08일(목) 09시 현재)</t>
    </r>
    <phoneticPr fontId="2" type="noConversion"/>
  </si>
  <si>
    <t>SEPARATOR 1.2</t>
    <phoneticPr fontId="2" type="noConversion"/>
  </si>
  <si>
    <t>NP599-290-002#SP-1.2</t>
    <phoneticPr fontId="2" type="noConversion"/>
  </si>
  <si>
    <t>S475 B/K</t>
    <phoneticPr fontId="2" type="noConversion"/>
  </si>
  <si>
    <t>2*1</t>
    <phoneticPr fontId="2" type="noConversion"/>
  </si>
  <si>
    <t>BODY</t>
    <phoneticPr fontId="2" type="noConversion"/>
  </si>
  <si>
    <t>AM0148B-K-R2</t>
    <phoneticPr fontId="2" type="noConversion"/>
  </si>
  <si>
    <t>SPACER A,B,C</t>
    <phoneticPr fontId="2" type="noConversion"/>
  </si>
  <si>
    <t>SGP2030R</t>
    <phoneticPr fontId="2" type="noConversion"/>
  </si>
  <si>
    <t>3*1</t>
    <phoneticPr fontId="2" type="noConversion"/>
  </si>
  <si>
    <t>SST</t>
    <phoneticPr fontId="2" type="noConversion"/>
  </si>
  <si>
    <t>COVER</t>
    <phoneticPr fontId="2" type="noConversion"/>
  </si>
  <si>
    <t>KR6156-C841TB</t>
    <phoneticPr fontId="2" type="noConversion"/>
  </si>
  <si>
    <t>JD4901</t>
    <phoneticPr fontId="2" type="noConversion"/>
  </si>
  <si>
    <t>전일 ISSUE 사항(07일)</t>
    <phoneticPr fontId="2" type="noConversion"/>
  </si>
  <si>
    <t>밀핀BURR,긁힘수리 4회진행</t>
    <phoneticPr fontId="2" type="noConversion"/>
  </si>
  <si>
    <t>MCS</t>
    <phoneticPr fontId="2" type="noConversion"/>
  </si>
  <si>
    <t>발주분양산-&gt;칼퀴파손정지</t>
    <phoneticPr fontId="2" type="noConversion"/>
  </si>
  <si>
    <t>5</t>
    <phoneticPr fontId="2" type="noConversion"/>
  </si>
  <si>
    <t>SEPARATOR 1-2</t>
    <phoneticPr fontId="2" type="noConversion"/>
  </si>
  <si>
    <t>발주분양산-&gt;BURR정지</t>
    <phoneticPr fontId="2" type="noConversion"/>
  </si>
  <si>
    <t>수리후양산</t>
    <phoneticPr fontId="2" type="noConversion"/>
  </si>
  <si>
    <t>AYE</t>
    <phoneticPr fontId="2" type="noConversion"/>
  </si>
  <si>
    <t>13</t>
    <phoneticPr fontId="2" type="noConversion"/>
  </si>
  <si>
    <t>NP599-290-002#SP-A,B,C</t>
    <phoneticPr fontId="2" type="noConversion"/>
  </si>
  <si>
    <t>13</t>
    <phoneticPr fontId="2" type="noConversion"/>
  </si>
  <si>
    <t>COVER</t>
    <phoneticPr fontId="2" type="noConversion"/>
  </si>
  <si>
    <t>KR6156-C841TB</t>
    <phoneticPr fontId="2" type="noConversion"/>
  </si>
  <si>
    <t>발주분양산</t>
    <phoneticPr fontId="2" type="noConversion"/>
  </si>
  <si>
    <t>당일 진행 사항(08일)</t>
    <phoneticPr fontId="2" type="noConversion"/>
  </si>
  <si>
    <t>KR6156-C841TB</t>
    <phoneticPr fontId="2" type="noConversion"/>
  </si>
  <si>
    <t>1</t>
    <phoneticPr fontId="2" type="noConversion"/>
  </si>
  <si>
    <t>설비이동양산</t>
    <phoneticPr fontId="2" type="noConversion"/>
  </si>
  <si>
    <t>BASE</t>
    <phoneticPr fontId="2" type="noConversion"/>
  </si>
  <si>
    <t>K-JR01918-B484AWA</t>
    <phoneticPr fontId="2" type="noConversion"/>
  </si>
  <si>
    <t>AMB1901D-JAA-R2</t>
    <phoneticPr fontId="2" type="noConversion"/>
  </si>
  <si>
    <t>MCS</t>
    <phoneticPr fontId="2" type="noConversion"/>
  </si>
  <si>
    <t>ACTUATOR</t>
    <phoneticPr fontId="2" type="noConversion"/>
  </si>
  <si>
    <t>SAMPLE 진행 사항(07일)</t>
    <phoneticPr fontId="2" type="noConversion"/>
  </si>
  <si>
    <t>SST</t>
    <phoneticPr fontId="2" type="noConversion"/>
  </si>
  <si>
    <t>BASE</t>
    <phoneticPr fontId="2" type="noConversion"/>
  </si>
  <si>
    <t>KR6197AB841CB</t>
    <phoneticPr fontId="2" type="noConversion"/>
  </si>
  <si>
    <t>수정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</si>
  <si>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</si>
  <si>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</si>
  <si>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2018년 02월 08일 일일생산현황</t>
    </r>
    <r>
      <rPr>
        <b/>
        <sz val="14"/>
        <color indexed="8"/>
        <rFont val="굴림체"/>
        <family val="3"/>
        <charset val="129"/>
      </rPr>
      <t>(09일(금) 09시 현재)</t>
    </r>
    <phoneticPr fontId="2" type="noConversion"/>
  </si>
  <si>
    <t>K-JR01918-B484AWA</t>
    <phoneticPr fontId="2" type="noConversion"/>
  </si>
  <si>
    <t>SGF2030</t>
    <phoneticPr fontId="2" type="noConversion"/>
  </si>
  <si>
    <t>AYE</t>
    <phoneticPr fontId="2" type="noConversion"/>
  </si>
  <si>
    <t>ADAPTER</t>
    <phoneticPr fontId="2" type="noConversion"/>
  </si>
  <si>
    <t>NP599-290-002#LB</t>
    <phoneticPr fontId="2" type="noConversion"/>
  </si>
  <si>
    <t>MCS</t>
    <phoneticPr fontId="2" type="noConversion"/>
  </si>
  <si>
    <t>ACTUATOR</t>
    <phoneticPr fontId="2" type="noConversion"/>
  </si>
  <si>
    <t>AMB1901D-JAA-R2</t>
    <phoneticPr fontId="2" type="noConversion"/>
  </si>
  <si>
    <t>SGF2030</t>
    <phoneticPr fontId="2" type="noConversion"/>
  </si>
  <si>
    <t>전일 ISSUE 사항(08일)</t>
    <phoneticPr fontId="2" type="noConversion"/>
  </si>
  <si>
    <t>밀핀BURR수리후양산</t>
    <phoneticPr fontId="2" type="noConversion"/>
  </si>
  <si>
    <t>SST</t>
    <phoneticPr fontId="2" type="noConversion"/>
  </si>
  <si>
    <t>BASE</t>
    <phoneticPr fontId="2" type="noConversion"/>
  </si>
  <si>
    <t>발주분양산-&gt;코아파손수리-&gt;하측박힘정지</t>
    <phoneticPr fontId="2" type="noConversion"/>
  </si>
  <si>
    <t>밀핀파손정지</t>
    <phoneticPr fontId="2" type="noConversion"/>
  </si>
  <si>
    <t>BURR수리후양산</t>
    <phoneticPr fontId="2" type="noConversion"/>
  </si>
  <si>
    <t>1</t>
    <phoneticPr fontId="2" type="noConversion"/>
  </si>
  <si>
    <t>설비이동양산</t>
    <phoneticPr fontId="2" type="noConversion"/>
  </si>
  <si>
    <t>4</t>
    <phoneticPr fontId="2" type="noConversion"/>
  </si>
  <si>
    <t>SLIDER</t>
    <phoneticPr fontId="2" type="noConversion"/>
  </si>
  <si>
    <t>KR6414-A166YA</t>
    <phoneticPr fontId="2" type="noConversion"/>
  </si>
  <si>
    <t>세척후양산</t>
    <phoneticPr fontId="2" type="noConversion"/>
  </si>
  <si>
    <t>12</t>
    <phoneticPr fontId="2" type="noConversion"/>
  </si>
  <si>
    <t>ADAPTER</t>
    <phoneticPr fontId="2" type="noConversion"/>
  </si>
  <si>
    <t>NP504-432-073#LB</t>
    <phoneticPr fontId="2" type="noConversion"/>
  </si>
  <si>
    <t>발주분양산</t>
    <phoneticPr fontId="2" type="noConversion"/>
  </si>
  <si>
    <t>MCS</t>
    <phoneticPr fontId="2" type="noConversion"/>
  </si>
  <si>
    <t>13</t>
    <phoneticPr fontId="2" type="noConversion"/>
  </si>
  <si>
    <t>ACTUATOR</t>
    <phoneticPr fontId="2" type="noConversion"/>
  </si>
  <si>
    <t>AMB1901D-JAA-R2</t>
    <phoneticPr fontId="2" type="noConversion"/>
  </si>
  <si>
    <t>당일 진행 사항(09일)</t>
    <phoneticPr fontId="2" type="noConversion"/>
  </si>
  <si>
    <t>KR6197EA293YA</t>
    <phoneticPr fontId="2" type="noConversion"/>
  </si>
  <si>
    <t>4</t>
    <phoneticPr fontId="2" type="noConversion"/>
  </si>
  <si>
    <t>SLIDER</t>
    <phoneticPr fontId="2" type="noConversion"/>
  </si>
  <si>
    <t>KR6182-A426WA</t>
    <phoneticPr fontId="2" type="noConversion"/>
  </si>
  <si>
    <t>수리후양산</t>
    <phoneticPr fontId="2" type="noConversion"/>
  </si>
  <si>
    <t>AYE</t>
    <phoneticPr fontId="2" type="noConversion"/>
  </si>
  <si>
    <t>5</t>
    <phoneticPr fontId="2" type="noConversion"/>
  </si>
  <si>
    <t>NP599-290-002#SP-1.2</t>
    <phoneticPr fontId="2" type="noConversion"/>
  </si>
  <si>
    <t>NP599-290-002#SP-1.2</t>
    <phoneticPr fontId="2" type="noConversion"/>
  </si>
  <si>
    <t>SEPARATOR 1-2</t>
    <phoneticPr fontId="2" type="noConversion"/>
  </si>
  <si>
    <t>SEPARATOR 1-2</t>
    <phoneticPr fontId="2" type="noConversion"/>
  </si>
  <si>
    <t>SAMPLE 진행 사항(08일)</t>
    <phoneticPr fontId="2" type="noConversion"/>
  </si>
  <si>
    <t>SEPARATOR</t>
    <phoneticPr fontId="2" type="noConversion"/>
  </si>
  <si>
    <t>NP504-504-018#SP-1</t>
    <phoneticPr fontId="2" type="noConversion"/>
  </si>
  <si>
    <t>내부검토용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</si>
  <si>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</si>
  <si>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</si>
  <si>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2018년 02월 09일 일일생산현황</t>
    </r>
    <r>
      <rPr>
        <b/>
        <sz val="14"/>
        <color indexed="8"/>
        <rFont val="굴림체"/>
        <family val="3"/>
        <charset val="129"/>
      </rPr>
      <t>(10일(토) 09시 현재)</t>
    </r>
    <phoneticPr fontId="2" type="noConversion"/>
  </si>
  <si>
    <t>KR6182-A426WA</t>
    <phoneticPr fontId="2" type="noConversion"/>
  </si>
  <si>
    <t>KR6197EA293YA</t>
    <phoneticPr fontId="2" type="noConversion"/>
  </si>
  <si>
    <t>SGF2050</t>
    <phoneticPr fontId="2" type="noConversion"/>
  </si>
  <si>
    <t>BASE</t>
    <phoneticPr fontId="2" type="noConversion"/>
  </si>
  <si>
    <t>KR6197AB841CB</t>
    <phoneticPr fontId="2" type="noConversion"/>
  </si>
  <si>
    <t>SGF2033</t>
    <phoneticPr fontId="2" type="noConversion"/>
  </si>
  <si>
    <t>전일 ISSUE 사항(09일)</t>
    <phoneticPr fontId="2" type="noConversion"/>
  </si>
  <si>
    <t>SST</t>
    <phoneticPr fontId="2" type="noConversion"/>
  </si>
  <si>
    <t>SLIDER</t>
    <phoneticPr fontId="2" type="noConversion"/>
  </si>
  <si>
    <t>KR6182-A426WA</t>
    <phoneticPr fontId="2" type="noConversion"/>
  </si>
  <si>
    <t>발주분양산</t>
    <phoneticPr fontId="2" type="noConversion"/>
  </si>
  <si>
    <t>수리후양산-&gt;코아파손정지-&gt;하측박힘정지</t>
    <phoneticPr fontId="2" type="noConversion"/>
  </si>
  <si>
    <t>수리후양산-&gt;코아파손정지</t>
    <phoneticPr fontId="2" type="noConversion"/>
  </si>
  <si>
    <t>BASE</t>
    <phoneticPr fontId="2" type="noConversion"/>
  </si>
  <si>
    <t>KR6197AB841CB</t>
    <phoneticPr fontId="2" type="noConversion"/>
  </si>
  <si>
    <t>수정후양산</t>
    <phoneticPr fontId="2" type="noConversion"/>
  </si>
  <si>
    <t>SLIDER</t>
    <phoneticPr fontId="2" type="noConversion"/>
  </si>
  <si>
    <t>당일 진행 사항(10일)</t>
    <phoneticPr fontId="2" type="noConversion"/>
  </si>
  <si>
    <t>KR6156FA841YA</t>
    <phoneticPr fontId="2" type="noConversion"/>
  </si>
  <si>
    <t>KR6156DB841CA</t>
    <phoneticPr fontId="2" type="noConversion"/>
  </si>
  <si>
    <t>SAMPLE 진행 사항(09일)</t>
    <phoneticPr fontId="2" type="noConversion"/>
  </si>
  <si>
    <t>SST</t>
    <phoneticPr fontId="2" type="noConversion"/>
  </si>
  <si>
    <t>HICON</t>
    <phoneticPr fontId="2" type="noConversion"/>
  </si>
  <si>
    <t>SLIDER</t>
    <phoneticPr fontId="2" type="noConversion"/>
  </si>
  <si>
    <t>HSB05-M002B1-15BI</t>
    <phoneticPr fontId="2" type="noConversion"/>
  </si>
  <si>
    <t>SGF2041 N/P</t>
    <phoneticPr fontId="2" type="noConversion"/>
  </si>
  <si>
    <t>수정</t>
    <phoneticPr fontId="2" type="noConversion"/>
  </si>
  <si>
    <t>형상이상 내부검토용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</si>
  <si>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</si>
  <si>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</si>
  <si>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2018년 02월 10일 일일생산현황</t>
    </r>
    <r>
      <rPr>
        <b/>
        <sz val="14"/>
        <color indexed="8"/>
        <rFont val="굴림체"/>
        <family val="3"/>
        <charset val="129"/>
      </rPr>
      <t>(11일(일) 09시 현재)</t>
    </r>
    <phoneticPr fontId="2" type="noConversion"/>
  </si>
  <si>
    <t>KR6156FA841YA</t>
    <phoneticPr fontId="2" type="noConversion"/>
  </si>
  <si>
    <t>SGF2050</t>
    <phoneticPr fontId="2" type="noConversion"/>
  </si>
  <si>
    <t>HICON</t>
    <phoneticPr fontId="2" type="noConversion"/>
  </si>
  <si>
    <t>SLIDER</t>
    <phoneticPr fontId="2" type="noConversion"/>
  </si>
  <si>
    <t>HSB05-M002B1-15BI</t>
    <phoneticPr fontId="2" type="noConversion"/>
  </si>
  <si>
    <t>SGF2041 N/P</t>
    <phoneticPr fontId="2" type="noConversion"/>
  </si>
  <si>
    <t>SGF2033</t>
    <phoneticPr fontId="2" type="noConversion"/>
  </si>
  <si>
    <t>SEPARATOR</t>
    <phoneticPr fontId="2" type="noConversion"/>
  </si>
  <si>
    <t>NP504-504-018#SP-1</t>
    <phoneticPr fontId="2" type="noConversion"/>
  </si>
  <si>
    <t>KR6156DB841CA</t>
    <phoneticPr fontId="2" type="noConversion"/>
  </si>
  <si>
    <t>SGF2033</t>
    <phoneticPr fontId="2" type="noConversion"/>
  </si>
  <si>
    <t>전일 ISSUE 사항(10일)</t>
    <phoneticPr fontId="2" type="noConversion"/>
  </si>
  <si>
    <t>KR6156DB841CA</t>
    <phoneticPr fontId="2" type="noConversion"/>
  </si>
  <si>
    <t>BURR정지</t>
    <phoneticPr fontId="2" type="noConversion"/>
  </si>
  <si>
    <t>당일 진행 사항(12일)</t>
    <phoneticPr fontId="2" type="noConversion"/>
  </si>
  <si>
    <t>13</t>
    <phoneticPr fontId="2" type="noConversion"/>
  </si>
  <si>
    <t>BASE</t>
    <phoneticPr fontId="2" type="noConversion"/>
  </si>
  <si>
    <t>K-JR01918-B484AWA</t>
    <phoneticPr fontId="2" type="noConversion"/>
  </si>
  <si>
    <t>수리후양산</t>
    <phoneticPr fontId="2" type="noConversion"/>
  </si>
  <si>
    <t>2</t>
    <phoneticPr fontId="2" type="noConversion"/>
  </si>
  <si>
    <t>LEAD GUIDE</t>
    <phoneticPr fontId="2" type="noConversion"/>
  </si>
  <si>
    <t>HSF05-M05B1</t>
    <phoneticPr fontId="2" type="noConversion"/>
  </si>
  <si>
    <t>11</t>
    <phoneticPr fontId="2" type="noConversion"/>
  </si>
  <si>
    <t>STOPPER</t>
    <phoneticPr fontId="2" type="noConversion"/>
  </si>
  <si>
    <t>HSF05-M04B1</t>
    <phoneticPr fontId="2" type="noConversion"/>
  </si>
  <si>
    <t>6</t>
    <phoneticPr fontId="2" type="noConversion"/>
  </si>
  <si>
    <t>SLIDER</t>
    <phoneticPr fontId="2" type="noConversion"/>
  </si>
  <si>
    <t>HSF05-M02B1</t>
    <phoneticPr fontId="2" type="noConversion"/>
  </si>
  <si>
    <t>셈플 승인후양산</t>
    <phoneticPr fontId="2" type="noConversion"/>
  </si>
  <si>
    <t>HSF05-M01B1</t>
    <phoneticPr fontId="2" type="noConversion"/>
  </si>
  <si>
    <t>SAMPLE 진행 사항(10일)</t>
    <phoneticPr fontId="2" type="noConversion"/>
  </si>
  <si>
    <t>AYE</t>
    <phoneticPr fontId="2" type="noConversion"/>
  </si>
  <si>
    <t>SEPARATOR</t>
    <phoneticPr fontId="2" type="noConversion"/>
  </si>
  <si>
    <t>NP504-504-018#SP-1</t>
    <phoneticPr fontId="2" type="noConversion"/>
  </si>
  <si>
    <t>양산 테스트</t>
    <phoneticPr fontId="2" type="noConversion"/>
  </si>
  <si>
    <t>이형제 테스트(단차발생 10회-&gt;5회줄임)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</si>
  <si>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</si>
  <si>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</si>
  <si>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2018년 02월 12일 일일생산현황</t>
    </r>
    <r>
      <rPr>
        <b/>
        <sz val="14"/>
        <color indexed="8"/>
        <rFont val="굴림체"/>
        <family val="3"/>
        <charset val="129"/>
      </rPr>
      <t>(13일(화) 09시 현재)</t>
    </r>
    <phoneticPr fontId="2" type="noConversion"/>
  </si>
  <si>
    <t>MPT</t>
    <phoneticPr fontId="2" type="noConversion"/>
  </si>
  <si>
    <t>INSULATOR</t>
    <phoneticPr fontId="2" type="noConversion"/>
  </si>
  <si>
    <t>MPT-02</t>
    <phoneticPr fontId="2" type="noConversion"/>
  </si>
  <si>
    <t>PBT</t>
    <phoneticPr fontId="2" type="noConversion"/>
  </si>
  <si>
    <t>KR6197AB841CB</t>
    <phoneticPr fontId="2" type="noConversion"/>
  </si>
  <si>
    <t>SGF2033</t>
    <phoneticPr fontId="2" type="noConversion"/>
  </si>
  <si>
    <t>HICON</t>
    <phoneticPr fontId="2" type="noConversion"/>
  </si>
  <si>
    <t>STOPPER</t>
    <phoneticPr fontId="2" type="noConversion"/>
  </si>
  <si>
    <t>HSF05-M04B1</t>
    <phoneticPr fontId="2" type="noConversion"/>
  </si>
  <si>
    <t>SGF2041</t>
    <phoneticPr fontId="2" type="noConversion"/>
  </si>
  <si>
    <t>HICON</t>
    <phoneticPr fontId="2" type="noConversion"/>
  </si>
  <si>
    <t>HSF05-M01B1</t>
    <phoneticPr fontId="2" type="noConversion"/>
  </si>
  <si>
    <t>SGF2041</t>
    <phoneticPr fontId="2" type="noConversion"/>
  </si>
  <si>
    <t>전일 ISSUE 사항(12일)</t>
    <phoneticPr fontId="2" type="noConversion"/>
  </si>
  <si>
    <t>MPT</t>
    <phoneticPr fontId="2" type="noConversion"/>
  </si>
  <si>
    <t>3</t>
    <phoneticPr fontId="2" type="noConversion"/>
  </si>
  <si>
    <t>INSULATOR</t>
    <phoneticPr fontId="2" type="noConversion"/>
  </si>
  <si>
    <t>8</t>
    <phoneticPr fontId="2" type="noConversion"/>
  </si>
  <si>
    <t>KR6197AB841CB</t>
    <phoneticPr fontId="2" type="noConversion"/>
  </si>
  <si>
    <t>세척후양산</t>
    <phoneticPr fontId="2" type="noConversion"/>
  </si>
  <si>
    <t>BURR-&gt;수리후양산</t>
    <phoneticPr fontId="2" type="noConversion"/>
  </si>
  <si>
    <t>HICON</t>
    <phoneticPr fontId="2" type="noConversion"/>
  </si>
  <si>
    <t>11</t>
    <phoneticPr fontId="2" type="noConversion"/>
  </si>
  <si>
    <t>발주분양산</t>
    <phoneticPr fontId="2" type="noConversion"/>
  </si>
  <si>
    <t>13</t>
    <phoneticPr fontId="2" type="noConversion"/>
  </si>
  <si>
    <t>BASE</t>
    <phoneticPr fontId="2" type="noConversion"/>
  </si>
  <si>
    <t>당일 진행 사항(13일)</t>
    <phoneticPr fontId="2" type="noConversion"/>
  </si>
  <si>
    <t>SST</t>
    <phoneticPr fontId="2" type="noConversion"/>
  </si>
  <si>
    <t>7</t>
    <phoneticPr fontId="2" type="noConversion"/>
  </si>
  <si>
    <t>KR6156DB841CA</t>
    <phoneticPr fontId="2" type="noConversion"/>
  </si>
  <si>
    <t>코아파손정지</t>
    <phoneticPr fontId="2" type="noConversion"/>
  </si>
  <si>
    <t>KR6156DB841CA</t>
    <phoneticPr fontId="2" type="noConversion"/>
  </si>
  <si>
    <t>SAMPLE 진행 사항(12일)</t>
    <phoneticPr fontId="2" type="noConversion"/>
  </si>
  <si>
    <t>MCS</t>
    <phoneticPr fontId="2" type="noConversion"/>
  </si>
  <si>
    <t>BODY</t>
    <phoneticPr fontId="2" type="noConversion"/>
  </si>
  <si>
    <t>AMB0104J-KAA-R3</t>
    <phoneticPr fontId="2" type="noConversion"/>
  </si>
  <si>
    <t>HSF05-M02B1</t>
    <phoneticPr fontId="2" type="noConversion"/>
  </si>
  <si>
    <t>SGF2030 N/P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</si>
  <si>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</si>
  <si>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</si>
  <si>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2018년 02월 13일 일일생산현황</t>
    </r>
    <r>
      <rPr>
        <b/>
        <sz val="14"/>
        <color indexed="8"/>
        <rFont val="굴림체"/>
        <family val="3"/>
        <charset val="129"/>
      </rPr>
      <t>(14일(수) 09시 현재)</t>
    </r>
    <phoneticPr fontId="2" type="noConversion"/>
  </si>
  <si>
    <t>LEAD GUIDE</t>
    <phoneticPr fontId="2" type="noConversion"/>
  </si>
  <si>
    <t>HSF05-M05B1</t>
    <phoneticPr fontId="2" type="noConversion"/>
  </si>
  <si>
    <t>SGF2041</t>
    <phoneticPr fontId="2" type="noConversion"/>
  </si>
  <si>
    <t>KR6197EA293YA</t>
    <phoneticPr fontId="2" type="noConversion"/>
  </si>
  <si>
    <t>NP599-290-002#SP-1.2</t>
    <phoneticPr fontId="2" type="noConversion"/>
  </si>
  <si>
    <t>S475</t>
    <phoneticPr fontId="2" type="noConversion"/>
  </si>
  <si>
    <t>2*1</t>
    <phoneticPr fontId="2" type="noConversion"/>
  </si>
  <si>
    <t>HSF05-M02B1</t>
    <phoneticPr fontId="2" type="noConversion"/>
  </si>
  <si>
    <t>SGF2030 N/P</t>
    <phoneticPr fontId="2" type="noConversion"/>
  </si>
  <si>
    <t>HSF05-M03B1</t>
    <phoneticPr fontId="2" type="noConversion"/>
  </si>
  <si>
    <t>SGF2030 N/P</t>
    <phoneticPr fontId="2" type="noConversion"/>
  </si>
  <si>
    <t>전일 ISSUE 사항(13일)</t>
    <phoneticPr fontId="2" type="noConversion"/>
  </si>
  <si>
    <t>HICON</t>
    <phoneticPr fontId="2" type="noConversion"/>
  </si>
  <si>
    <t>LEAD GUIDE</t>
    <phoneticPr fontId="2" type="noConversion"/>
  </si>
  <si>
    <t>HSF05-M05B1</t>
    <phoneticPr fontId="2" type="noConversion"/>
  </si>
  <si>
    <t>미성형정지</t>
    <phoneticPr fontId="2" type="noConversion"/>
  </si>
  <si>
    <t>AYE</t>
    <phoneticPr fontId="2" type="noConversion"/>
  </si>
  <si>
    <t>SLIDER</t>
    <phoneticPr fontId="2" type="noConversion"/>
  </si>
  <si>
    <t>HSF05-M02B1</t>
    <phoneticPr fontId="2" type="noConversion"/>
  </si>
  <si>
    <t>승인후양산-&gt;코아파손정지</t>
    <phoneticPr fontId="2" type="noConversion"/>
  </si>
  <si>
    <t>당일 진행 사항(14일)</t>
    <phoneticPr fontId="2" type="noConversion"/>
  </si>
  <si>
    <t>BASE</t>
    <phoneticPr fontId="2" type="noConversion"/>
  </si>
  <si>
    <t>KR6197AB841CB</t>
    <phoneticPr fontId="2" type="noConversion"/>
  </si>
  <si>
    <t>수리후양산</t>
    <phoneticPr fontId="2" type="noConversion"/>
  </si>
  <si>
    <t>13</t>
    <phoneticPr fontId="2" type="noConversion"/>
  </si>
  <si>
    <t>SAMPLE 진행 사항(13일)</t>
    <phoneticPr fontId="2" type="noConversion"/>
  </si>
  <si>
    <t>SST</t>
    <phoneticPr fontId="2" type="noConversion"/>
  </si>
  <si>
    <t>KR6422-B589CA</t>
    <phoneticPr fontId="2" type="noConversion"/>
  </si>
  <si>
    <t>SGF2033</t>
    <phoneticPr fontId="2" type="noConversion"/>
  </si>
  <si>
    <t>치수NG</t>
    <phoneticPr fontId="2" type="noConversion"/>
  </si>
  <si>
    <t>COVER</t>
    <phoneticPr fontId="2" type="noConversion"/>
  </si>
  <si>
    <t>KR6182-C624TB</t>
    <phoneticPr fontId="2" type="noConversion"/>
  </si>
  <si>
    <t>JD4901</t>
    <phoneticPr fontId="2" type="noConversion"/>
  </si>
  <si>
    <t>요청</t>
    <phoneticPr fontId="2" type="noConversion"/>
  </si>
  <si>
    <t>LATCH PLATE</t>
    <phoneticPr fontId="2" type="noConversion"/>
  </si>
  <si>
    <t>KR6202-EP01TA</t>
    <phoneticPr fontId="2" type="noConversion"/>
  </si>
  <si>
    <t>JD4901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</si>
  <si>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</si>
  <si>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</si>
  <si>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2018년 02월 14일 일일생산현황</t>
    </r>
    <r>
      <rPr>
        <b/>
        <sz val="14"/>
        <color indexed="8"/>
        <rFont val="굴림체"/>
        <family val="3"/>
        <charset val="129"/>
      </rPr>
      <t>(15일(목) 09시 현재)</t>
    </r>
    <phoneticPr fontId="2" type="noConversion"/>
  </si>
  <si>
    <t>전일 ISSUE 사항(14일)</t>
    <phoneticPr fontId="2" type="noConversion"/>
  </si>
  <si>
    <t>셈플작업후양산</t>
    <phoneticPr fontId="2" type="noConversion"/>
  </si>
  <si>
    <t>수리후양산</t>
    <phoneticPr fontId="2" type="noConversion"/>
  </si>
  <si>
    <t>BURR수리후양산-&gt;BURR정지</t>
    <phoneticPr fontId="2" type="noConversion"/>
  </si>
  <si>
    <t>K-JR01918-B484AWA</t>
    <phoneticPr fontId="2" type="noConversion"/>
  </si>
  <si>
    <t>당일 진행 사항(19일)</t>
    <phoneticPr fontId="2" type="noConversion"/>
  </si>
  <si>
    <t>1</t>
    <phoneticPr fontId="2" type="noConversion"/>
  </si>
  <si>
    <t>COVER</t>
    <phoneticPr fontId="2" type="noConversion"/>
  </si>
  <si>
    <t>KR6197-C841TA</t>
    <phoneticPr fontId="2" type="noConversion"/>
  </si>
  <si>
    <t>발주분양산</t>
    <phoneticPr fontId="2" type="noConversion"/>
  </si>
  <si>
    <t>SAMPLE 진행 사항(14일)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</si>
  <si>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</si>
  <si>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</si>
  <si>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2018년 02월 19일 일일생산현황</t>
    </r>
    <r>
      <rPr>
        <b/>
        <sz val="14"/>
        <color indexed="8"/>
        <rFont val="굴림체"/>
        <family val="3"/>
        <charset val="129"/>
      </rPr>
      <t>(20일(화) 09시 현재)</t>
    </r>
    <phoneticPr fontId="2" type="noConversion"/>
  </si>
  <si>
    <t>KR6197-C841TA</t>
    <phoneticPr fontId="2" type="noConversion"/>
  </si>
  <si>
    <t>SGF2033</t>
    <phoneticPr fontId="2" type="noConversion"/>
  </si>
  <si>
    <t>전일 ISSUE 사항(19일)</t>
    <phoneticPr fontId="2" type="noConversion"/>
  </si>
  <si>
    <t>COVER</t>
    <phoneticPr fontId="2" type="noConversion"/>
  </si>
  <si>
    <t>KR6197-C841TA</t>
    <phoneticPr fontId="2" type="noConversion"/>
  </si>
  <si>
    <t>발주분양산</t>
    <phoneticPr fontId="2" type="noConversion"/>
  </si>
  <si>
    <t>BURR수리후양산-&gt;밀핀파손정지</t>
    <phoneticPr fontId="2" type="noConversion"/>
  </si>
  <si>
    <t>5</t>
    <phoneticPr fontId="2" type="noConversion"/>
  </si>
  <si>
    <t>SEPARATOR</t>
    <phoneticPr fontId="2" type="noConversion"/>
  </si>
  <si>
    <t>치수NG-&gt;밀핀높음정지</t>
    <phoneticPr fontId="2" type="noConversion"/>
  </si>
  <si>
    <t>당일 진행 사항(20일)</t>
    <phoneticPr fontId="2" type="noConversion"/>
  </si>
  <si>
    <t>HICON</t>
    <phoneticPr fontId="2" type="noConversion"/>
  </si>
  <si>
    <t>HSB05-M005B1</t>
    <phoneticPr fontId="2" type="noConversion"/>
  </si>
  <si>
    <t>NEXT</t>
    <phoneticPr fontId="2" type="noConversion"/>
  </si>
  <si>
    <t>7</t>
    <phoneticPr fontId="2" type="noConversion"/>
  </si>
  <si>
    <t>0.35P</t>
    <phoneticPr fontId="2" type="noConversion"/>
  </si>
  <si>
    <t>SST</t>
    <phoneticPr fontId="2" type="noConversion"/>
  </si>
  <si>
    <t>SHAFT</t>
    <phoneticPr fontId="2" type="noConversion"/>
  </si>
  <si>
    <t>KR6202-06KA</t>
    <phoneticPr fontId="2" type="noConversion"/>
  </si>
  <si>
    <t>SAMPLE 진행 사항(19일)</t>
    <phoneticPr fontId="2" type="noConversion"/>
  </si>
  <si>
    <t>AYE</t>
    <phoneticPr fontId="2" type="noConversion"/>
  </si>
  <si>
    <t>NP504-504-018#SP-1</t>
    <phoneticPr fontId="2" type="noConversion"/>
  </si>
  <si>
    <t>치수NG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</si>
  <si>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</si>
  <si>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</si>
  <si>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2018년 02월 20일 일일생산현황</t>
    </r>
    <r>
      <rPr>
        <b/>
        <sz val="14"/>
        <color indexed="8"/>
        <rFont val="굴림체"/>
        <family val="3"/>
        <charset val="129"/>
      </rPr>
      <t>(21일(수) 09시 현재)</t>
    </r>
    <phoneticPr fontId="2" type="noConversion"/>
  </si>
  <si>
    <t>SHAFT</t>
    <phoneticPr fontId="2" type="noConversion"/>
  </si>
  <si>
    <t>KR6202-06KA</t>
    <phoneticPr fontId="2" type="noConversion"/>
  </si>
  <si>
    <t>JCL3030</t>
    <phoneticPr fontId="2" type="noConversion"/>
  </si>
  <si>
    <t>NEXT</t>
    <phoneticPr fontId="2" type="noConversion"/>
  </si>
  <si>
    <t>TOP/BOTTOM</t>
    <phoneticPr fontId="2" type="noConversion"/>
  </si>
  <si>
    <t>0.35P</t>
    <phoneticPr fontId="2" type="noConversion"/>
  </si>
  <si>
    <t>SF2255</t>
    <phoneticPr fontId="2" type="noConversion"/>
  </si>
  <si>
    <t>2*1</t>
    <phoneticPr fontId="2" type="noConversion"/>
  </si>
  <si>
    <t>STOPPER</t>
    <phoneticPr fontId="2" type="noConversion"/>
  </si>
  <si>
    <t>HSB05-M004B1</t>
    <phoneticPr fontId="2" type="noConversion"/>
  </si>
  <si>
    <t>LEAD GUIDE</t>
    <phoneticPr fontId="2" type="noConversion"/>
  </si>
  <si>
    <t>HSB05-M004B1</t>
    <phoneticPr fontId="2" type="noConversion"/>
  </si>
  <si>
    <t>HSB05-M005B1</t>
    <phoneticPr fontId="2" type="noConversion"/>
  </si>
  <si>
    <t>전일 ISSUE 사항(20일)</t>
    <phoneticPr fontId="2" type="noConversion"/>
  </si>
  <si>
    <t>SST</t>
    <phoneticPr fontId="2" type="noConversion"/>
  </si>
  <si>
    <t>4</t>
    <phoneticPr fontId="2" type="noConversion"/>
  </si>
  <si>
    <t>SHAFT</t>
    <phoneticPr fontId="2" type="noConversion"/>
  </si>
  <si>
    <t>발주분양산-&gt;미성형정지</t>
    <phoneticPr fontId="2" type="noConversion"/>
  </si>
  <si>
    <t>밀핀파손수리양산-&gt;뜯김수리</t>
    <phoneticPr fontId="2" type="noConversion"/>
  </si>
  <si>
    <t>치수NG정지</t>
    <phoneticPr fontId="2" type="noConversion"/>
  </si>
  <si>
    <t>HICON</t>
    <phoneticPr fontId="2" type="noConversion"/>
  </si>
  <si>
    <t>STOPPER</t>
    <phoneticPr fontId="2" type="noConversion"/>
  </si>
  <si>
    <t>발주분양산</t>
    <phoneticPr fontId="2" type="noConversion"/>
  </si>
  <si>
    <t>NEXT</t>
    <phoneticPr fontId="2" type="noConversion"/>
  </si>
  <si>
    <t>TOP/BOTTOM</t>
    <phoneticPr fontId="2" type="noConversion"/>
  </si>
  <si>
    <t>0.35P</t>
    <phoneticPr fontId="2" type="noConversion"/>
  </si>
  <si>
    <t>발주분양산</t>
    <phoneticPr fontId="2" type="noConversion"/>
  </si>
  <si>
    <t>당일 진행 사항(21일)</t>
    <phoneticPr fontId="2" type="noConversion"/>
  </si>
  <si>
    <t>KR6202-06KA</t>
    <phoneticPr fontId="2" type="noConversion"/>
  </si>
  <si>
    <t>세척후양산</t>
    <phoneticPr fontId="2" type="noConversion"/>
  </si>
  <si>
    <t>SAMPLE 진행 사항(20일)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</si>
  <si>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</si>
  <si>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</si>
  <si>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t>AMM0853A-KAA-R1</t>
    <phoneticPr fontId="2" type="noConversion"/>
  </si>
  <si>
    <t>PA9T</t>
    <phoneticPr fontId="2" type="noConversion"/>
  </si>
  <si>
    <t>전일 ISSUE 사항(21일)</t>
    <phoneticPr fontId="2" type="noConversion"/>
  </si>
  <si>
    <t>코아파손수리후양산</t>
    <phoneticPr fontId="2" type="noConversion"/>
  </si>
  <si>
    <t>MCS</t>
    <phoneticPr fontId="2" type="noConversion"/>
  </si>
  <si>
    <t>9</t>
    <phoneticPr fontId="2" type="noConversion"/>
  </si>
  <si>
    <t>BASE</t>
    <phoneticPr fontId="2" type="noConversion"/>
  </si>
  <si>
    <t>발주분양산</t>
    <phoneticPr fontId="2" type="noConversion"/>
  </si>
  <si>
    <t>당일 진행 사항(22일)</t>
    <phoneticPr fontId="2" type="noConversion"/>
  </si>
  <si>
    <t>204F51M-B047E</t>
    <phoneticPr fontId="2" type="noConversion"/>
  </si>
  <si>
    <t>OKINS</t>
    <phoneticPr fontId="2" type="noConversion"/>
  </si>
  <si>
    <t>7</t>
    <phoneticPr fontId="2" type="noConversion"/>
  </si>
  <si>
    <t>SAMPLE 진행 사항(21일)</t>
    <phoneticPr fontId="2" type="noConversion"/>
  </si>
  <si>
    <t>메카텍</t>
    <phoneticPr fontId="2" type="noConversion"/>
  </si>
  <si>
    <t>BASE/UNDER</t>
    <phoneticPr fontId="2" type="noConversion"/>
  </si>
  <si>
    <t>IF-L14.30-34P-0.8P-IM-R1</t>
    <phoneticPr fontId="2" type="noConversion"/>
  </si>
  <si>
    <t>신작</t>
    <phoneticPr fontId="2" type="noConversion"/>
  </si>
  <si>
    <t>IF-L14.30-44P-0.8P-IM-R1</t>
    <phoneticPr fontId="2" type="noConversion"/>
  </si>
  <si>
    <t>금형 수리 내역(21일)</t>
    <phoneticPr fontId="2" type="noConversion"/>
  </si>
  <si>
    <t>HRCS-00C12A</t>
    <phoneticPr fontId="2" type="noConversion"/>
  </si>
  <si>
    <t>HRCS-00C12B</t>
    <phoneticPr fontId="2" type="noConversion"/>
  </si>
  <si>
    <t>하이콘</t>
    <phoneticPr fontId="2" type="noConversion"/>
  </si>
  <si>
    <t>BOTTOM</t>
    <phoneticPr fontId="2" type="noConversion"/>
  </si>
  <si>
    <t>BOTTOM</t>
    <phoneticPr fontId="2" type="noConversion"/>
  </si>
  <si>
    <t>수정</t>
    <phoneticPr fontId="2" type="noConversion"/>
  </si>
  <si>
    <r>
      <t>2018년 02월 22일 일일생산현황</t>
    </r>
    <r>
      <rPr>
        <b/>
        <sz val="14"/>
        <color indexed="8"/>
        <rFont val="굴림체"/>
        <family val="3"/>
        <charset val="129"/>
      </rPr>
      <t>(23일(금) 09시 현재)</t>
    </r>
    <phoneticPr fontId="2" type="noConversion"/>
  </si>
  <si>
    <r>
      <t>2018년 02월 21일 일일생산현황</t>
    </r>
    <r>
      <rPr>
        <b/>
        <sz val="14"/>
        <color indexed="8"/>
        <rFont val="굴림체"/>
        <family val="3"/>
        <charset val="129"/>
      </rPr>
      <t>(22일(목) 09시 현재)</t>
    </r>
    <phoneticPr fontId="2" type="noConversion"/>
  </si>
  <si>
    <t>OKINS</t>
    <phoneticPr fontId="2" type="noConversion"/>
  </si>
  <si>
    <t>BASE</t>
    <phoneticPr fontId="2" type="noConversion"/>
  </si>
  <si>
    <t>204F51M-B047E</t>
    <phoneticPr fontId="2" type="noConversion"/>
  </si>
  <si>
    <t>PA9T</t>
    <phoneticPr fontId="2" type="noConversion"/>
  </si>
  <si>
    <t>전일 ISSUE 사항(22일)</t>
    <phoneticPr fontId="2" type="noConversion"/>
  </si>
  <si>
    <t>MCS</t>
    <phoneticPr fontId="2" type="noConversion"/>
  </si>
  <si>
    <t>13</t>
    <phoneticPr fontId="2" type="noConversion"/>
  </si>
  <si>
    <t>STOPPER</t>
    <phoneticPr fontId="2" type="noConversion"/>
  </si>
  <si>
    <t>AMB0450A-KAA-R1</t>
    <phoneticPr fontId="2" type="noConversion"/>
  </si>
  <si>
    <t>발주분양산</t>
    <phoneticPr fontId="2" type="noConversion"/>
  </si>
  <si>
    <t>OKINS</t>
    <phoneticPr fontId="2" type="noConversion"/>
  </si>
  <si>
    <t>7</t>
    <phoneticPr fontId="2" type="noConversion"/>
  </si>
  <si>
    <t>HICON</t>
    <phoneticPr fontId="2" type="noConversion"/>
  </si>
  <si>
    <t>13</t>
    <phoneticPr fontId="2" type="noConversion"/>
  </si>
  <si>
    <t>HSF05-M01B1</t>
    <phoneticPr fontId="2" type="noConversion"/>
  </si>
  <si>
    <t>세척후양산</t>
    <phoneticPr fontId="2" type="noConversion"/>
  </si>
  <si>
    <t>AYE</t>
    <phoneticPr fontId="2" type="noConversion"/>
  </si>
  <si>
    <t>14</t>
    <phoneticPr fontId="2" type="noConversion"/>
  </si>
  <si>
    <t>SPACER ABC</t>
    <phoneticPr fontId="2" type="noConversion"/>
  </si>
  <si>
    <t>NP504-432-073#SP-A,B,C</t>
    <phoneticPr fontId="2" type="noConversion"/>
  </si>
  <si>
    <t>세척후양산-&gt;BURR수리</t>
    <phoneticPr fontId="2" type="noConversion"/>
  </si>
  <si>
    <t>당일 진행 사항(23일)</t>
    <phoneticPr fontId="2" type="noConversion"/>
  </si>
  <si>
    <t>SST</t>
    <phoneticPr fontId="2" type="noConversion"/>
  </si>
  <si>
    <t>1</t>
    <phoneticPr fontId="2" type="noConversion"/>
  </si>
  <si>
    <t>K-JR01920-C01AWA</t>
    <phoneticPr fontId="2" type="noConversion"/>
  </si>
  <si>
    <t>7</t>
    <phoneticPr fontId="2" type="noConversion"/>
  </si>
  <si>
    <t>204F51M-A047A-1</t>
    <phoneticPr fontId="2" type="noConversion"/>
  </si>
  <si>
    <t>K-JR01920-D432AZA</t>
    <phoneticPr fontId="2" type="noConversion"/>
  </si>
  <si>
    <t>K-JR01920-B414AZB</t>
    <phoneticPr fontId="2" type="noConversion"/>
  </si>
  <si>
    <t>HOLDER</t>
    <phoneticPr fontId="2" type="noConversion"/>
  </si>
  <si>
    <t>MCS</t>
    <phoneticPr fontId="2" type="noConversion"/>
  </si>
  <si>
    <t>10</t>
    <phoneticPr fontId="2" type="noConversion"/>
  </si>
  <si>
    <t>ADAPTER</t>
    <phoneticPr fontId="2" type="noConversion"/>
  </si>
  <si>
    <t>SAMPLE 진행 사항(22일)</t>
    <phoneticPr fontId="2" type="noConversion"/>
  </si>
  <si>
    <t>메카텍</t>
    <phoneticPr fontId="2" type="noConversion"/>
  </si>
  <si>
    <t>SHORT-L5.70-2P-1.5p-IM-R1</t>
    <phoneticPr fontId="2" type="noConversion"/>
  </si>
  <si>
    <t>NP599-290-002#SP-A,B,C</t>
    <phoneticPr fontId="2" type="noConversion"/>
  </si>
  <si>
    <t>SPACER A,B,C</t>
    <phoneticPr fontId="2" type="noConversion"/>
  </si>
  <si>
    <t>SGP2030R</t>
    <phoneticPr fontId="2" type="noConversion"/>
  </si>
  <si>
    <t>수정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</si>
  <si>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</si>
  <si>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</si>
  <si>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t>설비 점검 내역(21일)</t>
    <phoneticPr fontId="2" type="noConversion"/>
  </si>
  <si>
    <r>
      <t>2018년 02월 23일 일일생산현황</t>
    </r>
    <r>
      <rPr>
        <b/>
        <sz val="14"/>
        <color indexed="8"/>
        <rFont val="굴림체"/>
        <family val="3"/>
        <charset val="129"/>
      </rPr>
      <t>(24일(토) 09시 현재)</t>
    </r>
    <phoneticPr fontId="2" type="noConversion"/>
  </si>
  <si>
    <t>K-JR01920-C01AWA</t>
    <phoneticPr fontId="2" type="noConversion"/>
  </si>
  <si>
    <t>SGF2030</t>
    <phoneticPr fontId="2" type="noConversion"/>
  </si>
  <si>
    <t>204F51M-A047A-1</t>
    <phoneticPr fontId="2" type="noConversion"/>
  </si>
  <si>
    <t>HOLDER</t>
    <phoneticPr fontId="2" type="noConversion"/>
  </si>
  <si>
    <t>K-JR01920-D432AZA</t>
    <phoneticPr fontId="2" type="noConversion"/>
  </si>
  <si>
    <t>SGP2020R</t>
    <phoneticPr fontId="2" type="noConversion"/>
  </si>
  <si>
    <t>AMB0158A-KAA-R1</t>
    <phoneticPr fontId="2" type="noConversion"/>
  </si>
  <si>
    <t>SGF2050</t>
    <phoneticPr fontId="2" type="noConversion"/>
  </si>
  <si>
    <t>ADAPTER</t>
    <phoneticPr fontId="2" type="noConversion"/>
  </si>
  <si>
    <t>AMB07P2A-KAA-R1</t>
    <phoneticPr fontId="2" type="noConversion"/>
  </si>
  <si>
    <t>전일 ISSUE 사항(23일)</t>
    <phoneticPr fontId="2" type="noConversion"/>
  </si>
  <si>
    <t>ADAPTER</t>
    <phoneticPr fontId="2" type="noConversion"/>
  </si>
  <si>
    <t>6</t>
    <phoneticPr fontId="2" type="noConversion"/>
  </si>
  <si>
    <t>SLIDER</t>
    <phoneticPr fontId="2" type="noConversion"/>
  </si>
  <si>
    <t>HSF05-M02B1</t>
    <phoneticPr fontId="2" type="noConversion"/>
  </si>
  <si>
    <t>HICON</t>
    <phoneticPr fontId="2" type="noConversion"/>
  </si>
  <si>
    <t>11</t>
    <phoneticPr fontId="2" type="noConversion"/>
  </si>
  <si>
    <t>STOPPER</t>
    <phoneticPr fontId="2" type="noConversion"/>
  </si>
  <si>
    <t>HSF05-M04B1</t>
    <phoneticPr fontId="2" type="noConversion"/>
  </si>
  <si>
    <t>코아파손정지</t>
    <phoneticPr fontId="2" type="noConversion"/>
  </si>
  <si>
    <t>SST</t>
    <phoneticPr fontId="2" type="noConversion"/>
  </si>
  <si>
    <t>1</t>
    <phoneticPr fontId="2" type="noConversion"/>
  </si>
  <si>
    <t>COVER</t>
    <phoneticPr fontId="2" type="noConversion"/>
  </si>
  <si>
    <t>HOLDER</t>
    <phoneticPr fontId="2" type="noConversion"/>
  </si>
  <si>
    <t>K-JR01920-D432AZA</t>
    <phoneticPr fontId="2" type="noConversion"/>
  </si>
  <si>
    <t>발주분양산-&gt;하측박힘정지</t>
    <phoneticPr fontId="2" type="noConversion"/>
  </si>
  <si>
    <t>당일 진행 사항(24일)</t>
    <phoneticPr fontId="2" type="noConversion"/>
  </si>
  <si>
    <t>STOPPER</t>
    <phoneticPr fontId="2" type="noConversion"/>
  </si>
  <si>
    <t>K-JR01920-H432AZA</t>
    <phoneticPr fontId="2" type="noConversion"/>
  </si>
  <si>
    <t>BASE</t>
    <phoneticPr fontId="2" type="noConversion"/>
  </si>
  <si>
    <t>SAMPLE 진행 사항(23일)</t>
    <phoneticPr fontId="2" type="noConversion"/>
  </si>
  <si>
    <t>SEPARATOR</t>
    <phoneticPr fontId="2" type="noConversion"/>
  </si>
  <si>
    <t>NP504-504-018#SP-1</t>
    <phoneticPr fontId="2" type="noConversion"/>
  </si>
  <si>
    <t>SGF2033</t>
    <phoneticPr fontId="2" type="noConversion"/>
  </si>
  <si>
    <t>수정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</si>
  <si>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</si>
  <si>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</si>
  <si>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2018년 02월 24일 일일생산현황</t>
    </r>
    <r>
      <rPr>
        <b/>
        <sz val="14"/>
        <color indexed="8"/>
        <rFont val="굴림체"/>
        <family val="3"/>
        <charset val="129"/>
      </rPr>
      <t>(25일(일) 09시 현재)</t>
    </r>
    <phoneticPr fontId="2" type="noConversion"/>
  </si>
  <si>
    <t>STOPPER</t>
    <phoneticPr fontId="2" type="noConversion"/>
  </si>
  <si>
    <t>K-JR01920-H432AZA</t>
    <phoneticPr fontId="2" type="noConversion"/>
  </si>
  <si>
    <t>SGP2020R</t>
    <phoneticPr fontId="2" type="noConversion"/>
  </si>
  <si>
    <t>FLOAT</t>
    <phoneticPr fontId="2" type="noConversion"/>
  </si>
  <si>
    <t>K-JR01920-A414AWA</t>
    <phoneticPr fontId="2" type="noConversion"/>
  </si>
  <si>
    <t>K-JR01920-B414AZB</t>
    <phoneticPr fontId="2" type="noConversion"/>
  </si>
  <si>
    <t>전일 ISSUE 사항(24일)</t>
    <phoneticPr fontId="2" type="noConversion"/>
  </si>
  <si>
    <t>SST</t>
    <phoneticPr fontId="2" type="noConversion"/>
  </si>
  <si>
    <t>FLOAT</t>
    <phoneticPr fontId="2" type="noConversion"/>
  </si>
  <si>
    <t>K-JR01920-A414AWA</t>
    <phoneticPr fontId="2" type="noConversion"/>
  </si>
  <si>
    <t>K-JR01920-H432AZA</t>
    <phoneticPr fontId="2" type="noConversion"/>
  </si>
  <si>
    <t>AYE</t>
    <phoneticPr fontId="2" type="noConversion"/>
  </si>
  <si>
    <t>BURR정지</t>
    <phoneticPr fontId="2" type="noConversion"/>
  </si>
  <si>
    <t>당일 진행 사항(26일)</t>
    <phoneticPr fontId="2" type="noConversion"/>
  </si>
  <si>
    <t>SPACER A,B,C</t>
    <phoneticPr fontId="2" type="noConversion"/>
  </si>
  <si>
    <t>NP504-432-073#SP-A,B,C</t>
    <phoneticPr fontId="2" type="noConversion"/>
  </si>
  <si>
    <t>NP504-432-073#SP-A,B,C</t>
    <phoneticPr fontId="2" type="noConversion"/>
  </si>
  <si>
    <t>수리후양산</t>
    <phoneticPr fontId="2" type="noConversion"/>
  </si>
  <si>
    <t>SEPARATOR</t>
    <phoneticPr fontId="2" type="noConversion"/>
  </si>
  <si>
    <t>SEPARATOR</t>
    <phoneticPr fontId="2" type="noConversion"/>
  </si>
  <si>
    <t>NP504-504-018#SP-1</t>
    <phoneticPr fontId="2" type="noConversion"/>
  </si>
  <si>
    <t>NP504-504-018#SP-1</t>
    <phoneticPr fontId="2" type="noConversion"/>
  </si>
  <si>
    <t>수리후양산</t>
    <phoneticPr fontId="2" type="noConversion"/>
  </si>
  <si>
    <t>SW-003092</t>
    <phoneticPr fontId="2" type="noConversion"/>
  </si>
  <si>
    <t>ODT</t>
    <phoneticPr fontId="2" type="noConversion"/>
  </si>
  <si>
    <t>2</t>
    <phoneticPr fontId="2" type="noConversion"/>
  </si>
  <si>
    <t>HOLDER</t>
    <phoneticPr fontId="2" type="noConversion"/>
  </si>
  <si>
    <t>발주분양산</t>
    <phoneticPr fontId="2" type="noConversion"/>
  </si>
  <si>
    <t>SW-003394</t>
    <phoneticPr fontId="2" type="noConversion"/>
  </si>
  <si>
    <t>CASE</t>
    <phoneticPr fontId="2" type="noConversion"/>
  </si>
  <si>
    <t>SW-003215</t>
    <phoneticPr fontId="2" type="noConversion"/>
  </si>
  <si>
    <t>12</t>
    <phoneticPr fontId="2" type="noConversion"/>
  </si>
  <si>
    <t>HOLDER</t>
    <phoneticPr fontId="2" type="noConversion"/>
  </si>
  <si>
    <t>SAMPLE 진행 사항(24일)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</si>
  <si>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</si>
  <si>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</si>
  <si>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2018년 02월 26일 일일생산현황</t>
    </r>
    <r>
      <rPr>
        <b/>
        <sz val="14"/>
        <color indexed="8"/>
        <rFont val="굴림체"/>
        <family val="3"/>
        <charset val="129"/>
      </rPr>
      <t>(27일(화) 09시 현재)</t>
    </r>
    <phoneticPr fontId="2" type="noConversion"/>
  </si>
  <si>
    <t>HOLDER</t>
    <phoneticPr fontId="2" type="noConversion"/>
  </si>
  <si>
    <t>SW-003092/003152</t>
    <phoneticPr fontId="2" type="noConversion"/>
  </si>
  <si>
    <t>PBT</t>
    <phoneticPr fontId="2" type="noConversion"/>
  </si>
  <si>
    <t>2*1</t>
    <phoneticPr fontId="2" type="noConversion"/>
  </si>
  <si>
    <t>ODT</t>
    <phoneticPr fontId="2" type="noConversion"/>
  </si>
  <si>
    <t>CASE</t>
    <phoneticPr fontId="2" type="noConversion"/>
  </si>
  <si>
    <t>SW-003394</t>
    <phoneticPr fontId="2" type="noConversion"/>
  </si>
  <si>
    <t>PBT</t>
    <phoneticPr fontId="2" type="noConversion"/>
  </si>
  <si>
    <t>CASE(7-SEGMENT)</t>
    <phoneticPr fontId="2" type="noConversion"/>
  </si>
  <si>
    <t>LEN2211</t>
    <phoneticPr fontId="2" type="noConversion"/>
  </si>
  <si>
    <t>전일 ISSUE 사항(26일)</t>
    <phoneticPr fontId="2" type="noConversion"/>
  </si>
  <si>
    <t>ODT</t>
    <phoneticPr fontId="2" type="noConversion"/>
  </si>
  <si>
    <t>3</t>
    <phoneticPr fontId="2" type="noConversion"/>
  </si>
  <si>
    <t>SW-003394</t>
    <phoneticPr fontId="2" type="noConversion"/>
  </si>
  <si>
    <t>HOLDER</t>
    <phoneticPr fontId="2" type="noConversion"/>
  </si>
  <si>
    <t>발주분양산-&gt;BURR정지</t>
    <phoneticPr fontId="2" type="noConversion"/>
  </si>
  <si>
    <t>수리후양산</t>
    <phoneticPr fontId="2" type="noConversion"/>
  </si>
  <si>
    <t>AYE</t>
    <phoneticPr fontId="2" type="noConversion"/>
  </si>
  <si>
    <t>5</t>
    <phoneticPr fontId="2" type="noConversion"/>
  </si>
  <si>
    <t>SEPARATOR</t>
    <phoneticPr fontId="2" type="noConversion"/>
  </si>
  <si>
    <t>NP504-504-018#SP-1</t>
    <phoneticPr fontId="2" type="noConversion"/>
  </si>
  <si>
    <t>NP504-504-018#SP-1</t>
    <phoneticPr fontId="2" type="noConversion"/>
  </si>
  <si>
    <t>12</t>
    <phoneticPr fontId="2" type="noConversion"/>
  </si>
  <si>
    <t>CASE</t>
    <phoneticPr fontId="2" type="noConversion"/>
  </si>
  <si>
    <t>SW-003215</t>
    <phoneticPr fontId="2" type="noConversion"/>
  </si>
  <si>
    <t>SW-003215</t>
    <phoneticPr fontId="2" type="noConversion"/>
  </si>
  <si>
    <t>발주분양산</t>
    <phoneticPr fontId="2" type="noConversion"/>
  </si>
  <si>
    <t>당일 진행 사항(27일)</t>
    <phoneticPr fontId="2" type="noConversion"/>
  </si>
  <si>
    <t>HSA08-M06A1</t>
    <phoneticPr fontId="2" type="noConversion"/>
  </si>
  <si>
    <t>HICON</t>
    <phoneticPr fontId="2" type="noConversion"/>
  </si>
  <si>
    <t>1</t>
    <phoneticPr fontId="2" type="noConversion"/>
  </si>
  <si>
    <t>LATCH</t>
    <phoneticPr fontId="2" type="noConversion"/>
  </si>
  <si>
    <t>발주분양산</t>
    <phoneticPr fontId="2" type="noConversion"/>
  </si>
  <si>
    <t>HSB05-M002B1-15BI</t>
    <phoneticPr fontId="2" type="noConversion"/>
  </si>
  <si>
    <t>HICON</t>
    <phoneticPr fontId="2" type="noConversion"/>
  </si>
  <si>
    <t>6</t>
    <phoneticPr fontId="2" type="noConversion"/>
  </si>
  <si>
    <t>SLIDER</t>
    <phoneticPr fontId="2" type="noConversion"/>
  </si>
  <si>
    <t>HSA08-M01A1(4C)</t>
    <phoneticPr fontId="2" type="noConversion"/>
  </si>
  <si>
    <t>13</t>
    <phoneticPr fontId="2" type="noConversion"/>
  </si>
  <si>
    <t>BASE</t>
    <phoneticPr fontId="2" type="noConversion"/>
  </si>
  <si>
    <t>SAMPLE 진행 사항(26일)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</si>
  <si>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</si>
  <si>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</si>
  <si>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2018년 02월 27일 일일생산현황</t>
    </r>
    <r>
      <rPr>
        <b/>
        <sz val="14"/>
        <color indexed="8"/>
        <rFont val="굴림체"/>
        <family val="3"/>
        <charset val="129"/>
      </rPr>
      <t>(28일(수) 09시 현재)</t>
    </r>
    <phoneticPr fontId="2" type="noConversion"/>
  </si>
  <si>
    <t>LATCH</t>
    <phoneticPr fontId="2" type="noConversion"/>
  </si>
  <si>
    <t>HSA08-M06A1</t>
    <phoneticPr fontId="2" type="noConversion"/>
  </si>
  <si>
    <t>JD4901</t>
    <phoneticPr fontId="2" type="noConversion"/>
  </si>
  <si>
    <t>HSB05-M002B1-15BI</t>
    <phoneticPr fontId="2" type="noConversion"/>
  </si>
  <si>
    <t>KR6156BB841CA</t>
    <phoneticPr fontId="2" type="noConversion"/>
  </si>
  <si>
    <t>SGF2033</t>
    <phoneticPr fontId="2" type="noConversion"/>
  </si>
  <si>
    <t>HSA08-M01A1</t>
    <phoneticPr fontId="2" type="noConversion"/>
  </si>
  <si>
    <t>SF2255</t>
    <phoneticPr fontId="2" type="noConversion"/>
  </si>
  <si>
    <t>전일 ISSUE 사항(27일)</t>
    <phoneticPr fontId="2" type="noConversion"/>
  </si>
  <si>
    <t>수리후양산</t>
    <phoneticPr fontId="2" type="noConversion"/>
  </si>
  <si>
    <t>HICON</t>
    <phoneticPr fontId="2" type="noConversion"/>
  </si>
  <si>
    <t>13</t>
    <phoneticPr fontId="2" type="noConversion"/>
  </si>
  <si>
    <t>BASE</t>
    <phoneticPr fontId="2" type="noConversion"/>
  </si>
  <si>
    <t>발주분양산</t>
    <phoneticPr fontId="2" type="noConversion"/>
  </si>
  <si>
    <t>SST</t>
    <phoneticPr fontId="2" type="noConversion"/>
  </si>
  <si>
    <t>LATCH</t>
    <phoneticPr fontId="2" type="noConversion"/>
  </si>
  <si>
    <t>SLIDER</t>
    <phoneticPr fontId="2" type="noConversion"/>
  </si>
  <si>
    <t>당일 진행 사항(28일)</t>
    <phoneticPr fontId="2" type="noConversion"/>
  </si>
  <si>
    <t>HSA08-M01A1(4C)</t>
    <phoneticPr fontId="2" type="noConversion"/>
  </si>
  <si>
    <t>AMB0156A-KAA-R2</t>
    <phoneticPr fontId="2" type="noConversion"/>
  </si>
  <si>
    <t>MCS</t>
    <phoneticPr fontId="2" type="noConversion"/>
  </si>
  <si>
    <t>AMB0227A-KAA-R1</t>
    <phoneticPr fontId="2" type="noConversion"/>
  </si>
  <si>
    <t>11</t>
    <phoneticPr fontId="2" type="noConversion"/>
  </si>
  <si>
    <t>STOPPER</t>
    <phoneticPr fontId="2" type="noConversion"/>
  </si>
  <si>
    <t>SAMPLE 진행 사항(27일)</t>
    <phoneticPr fontId="2" type="noConversion"/>
  </si>
  <si>
    <t>KR6180-E03TA</t>
    <phoneticPr fontId="2" type="noConversion"/>
  </si>
  <si>
    <t>JD4901</t>
    <phoneticPr fontId="2" type="noConversion"/>
  </si>
  <si>
    <t>수정</t>
    <phoneticPr fontId="2" type="noConversion"/>
  </si>
  <si>
    <t>KR6180-E02TA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</si>
  <si>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</si>
  <si>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</si>
  <si>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2018년 02월 28일 일일생산현황</t>
    </r>
    <r>
      <rPr>
        <b/>
        <sz val="14"/>
        <color indexed="8"/>
        <rFont val="굴림체"/>
        <family val="3"/>
        <charset val="129"/>
      </rPr>
      <t>(01일(목) 09시 현재)</t>
    </r>
    <phoneticPr fontId="2" type="noConversion"/>
  </si>
  <si>
    <t>AMB0156A-KAA-R2</t>
    <phoneticPr fontId="2" type="noConversion"/>
  </si>
  <si>
    <t>STOPPER</t>
    <phoneticPr fontId="2" type="noConversion"/>
  </si>
  <si>
    <t>AMB0227A-KAA-R1</t>
    <phoneticPr fontId="2" type="noConversion"/>
  </si>
  <si>
    <t>SF2255</t>
    <phoneticPr fontId="2" type="noConversion"/>
  </si>
  <si>
    <t>전일 ISSUE 사항(28일)</t>
    <phoneticPr fontId="2" type="noConversion"/>
  </si>
  <si>
    <t>MCS</t>
    <phoneticPr fontId="2" type="noConversion"/>
  </si>
  <si>
    <t>발주분양산</t>
    <phoneticPr fontId="2" type="noConversion"/>
  </si>
  <si>
    <t>STOPPER</t>
    <phoneticPr fontId="2" type="noConversion"/>
  </si>
  <si>
    <t>BURR수리후양산</t>
    <phoneticPr fontId="2" type="noConversion"/>
  </si>
  <si>
    <t>런너수정후양산-&gt;밀핀파손정지</t>
    <phoneticPr fontId="2" type="noConversion"/>
  </si>
  <si>
    <t>당일 진행 사항(01일)</t>
    <phoneticPr fontId="2" type="noConversion"/>
  </si>
  <si>
    <t>ACTUATOR</t>
    <phoneticPr fontId="2" type="noConversion"/>
  </si>
  <si>
    <t>AMB1919B-KAA-R2</t>
    <phoneticPr fontId="2" type="noConversion"/>
  </si>
  <si>
    <t>AYE</t>
    <phoneticPr fontId="2" type="noConversion"/>
  </si>
  <si>
    <t>SEPARATOR</t>
    <phoneticPr fontId="2" type="noConversion"/>
  </si>
  <si>
    <t>NP504-504-018#SP-1</t>
    <phoneticPr fontId="2" type="noConversion"/>
  </si>
  <si>
    <t>SAMPLE 진행 사항(28일)</t>
    <phoneticPr fontId="2" type="noConversion"/>
  </si>
  <si>
    <t>KR6190-E02TA</t>
    <phoneticPr fontId="2" type="noConversion"/>
  </si>
  <si>
    <t>성형안됨 2회진행</t>
    <phoneticPr fontId="2" type="noConversion"/>
  </si>
  <si>
    <t>금형 수리 내역(28일)</t>
    <phoneticPr fontId="2" type="noConversion"/>
  </si>
  <si>
    <t>설비 점검 내역(28일)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</si>
</sst>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65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/>
    </xf>
    <xf numFmtId="41" fontId="8" fillId="0" borderId="6" xfId="4" applyFont="1" applyFill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Fill="1" applyBorder="1" applyAlignment="1">
      <alignment horizontal="center" vertical="center"/>
    </xf>
    <xf numFmtId="9" fontId="9" fillId="0" borderId="7" xfId="3" applyFont="1" applyFill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 wrapText="1"/>
    </xf>
    <xf numFmtId="178" fontId="8" fillId="0" borderId="10" xfId="4" applyNumberFormat="1" applyFont="1" applyFill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9" xfId="4" applyFont="1" applyFill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 wrapText="1"/>
    </xf>
    <xf numFmtId="41" fontId="4" fillId="0" borderId="7" xfId="4" applyFont="1" applyFill="1" applyBorder="1" applyAlignment="1">
      <alignment horizontal="center" vertical="center" wrapText="1"/>
    </xf>
    <xf numFmtId="41" fontId="8" fillId="0" borderId="4" xfId="4" applyFont="1" applyFill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 wrapText="1"/>
    </xf>
    <xf numFmtId="41" fontId="8" fillId="0" borderId="8" xfId="4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Fill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Fill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shrinkToFit="1"/>
    </xf>
    <xf numFmtId="0" fontId="8" fillId="0" borderId="9" xfId="2" applyFont="1" applyFill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1" fillId="0" borderId="0" xfId="2" applyFont="1" applyBorder="1">
      <alignment vertical="center"/>
    </xf>
    <xf numFmtId="178" fontId="11" fillId="0" borderId="0" xfId="4" applyNumberFormat="1" applyFont="1" applyBorder="1">
      <alignment vertical="center"/>
    </xf>
    <xf numFmtId="0" fontId="13" fillId="0" borderId="0" xfId="2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shrinkToFit="1"/>
    </xf>
    <xf numFmtId="41" fontId="13" fillId="0" borderId="0" xfId="4" applyFont="1" applyBorder="1" applyAlignment="1">
      <alignment vertical="center"/>
    </xf>
    <xf numFmtId="49" fontId="13" fillId="0" borderId="0" xfId="2" applyNumberFormat="1" applyFont="1" applyBorder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8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0" fontId="17" fillId="0" borderId="0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</cellXfs>
  <cellStyles count="3845">
    <cellStyle name="_x0002_._x0011__x0002_._x001b__x0002_ _x0015_%_x0018__x0001_" xfId="3128"/>
    <cellStyle name="?" xfId="3129"/>
    <cellStyle name="20% - 강조색1 2" xfId="10"/>
    <cellStyle name="20% - 강조색1 2 10" xfId="11"/>
    <cellStyle name="20% - 강조색1 2 10 2" xfId="12"/>
    <cellStyle name="20% - 강조색1 2 10 3" xfId="13"/>
    <cellStyle name="20% - 강조색1 2 10 4" xfId="14"/>
    <cellStyle name="20% - 강조색1 2 10 5" xfId="15"/>
    <cellStyle name="20% - 강조색1 2 10 6" xfId="16"/>
    <cellStyle name="20% - 강조색1 2 11" xfId="17"/>
    <cellStyle name="20% - 강조색1 2 11 2" xfId="18"/>
    <cellStyle name="20% - 강조색1 2 11 3" xfId="19"/>
    <cellStyle name="20% - 강조색1 2 11 4" xfId="20"/>
    <cellStyle name="20% - 강조색1 2 11 5" xfId="21"/>
    <cellStyle name="20% - 강조색1 2 11 6" xfId="22"/>
    <cellStyle name="20% - 강조색1 2 12" xfId="23"/>
    <cellStyle name="20% - 강조색1 2 12 2" xfId="24"/>
    <cellStyle name="20% - 강조색1 2 12 3" xfId="25"/>
    <cellStyle name="20% - 강조색1 2 12 4" xfId="26"/>
    <cellStyle name="20% - 강조색1 2 12 5" xfId="27"/>
    <cellStyle name="20% - 강조색1 2 12 6" xfId="28"/>
    <cellStyle name="20% - 강조색1 2 13" xfId="29"/>
    <cellStyle name="20% - 강조색1 2 13 2" xfId="30"/>
    <cellStyle name="20% - 강조색1 2 13 3" xfId="31"/>
    <cellStyle name="20% - 강조색1 2 13 4" xfId="32"/>
    <cellStyle name="20% - 강조색1 2 13 5" xfId="33"/>
    <cellStyle name="20% - 강조색1 2 13 6" xfId="34"/>
    <cellStyle name="20% - 강조색1 2 14" xfId="35"/>
    <cellStyle name="20% - 강조색1 2 14 2" xfId="36"/>
    <cellStyle name="20% - 강조색1 2 14 3" xfId="37"/>
    <cellStyle name="20% - 강조색1 2 14 4" xfId="38"/>
    <cellStyle name="20% - 강조색1 2 14 5" xfId="39"/>
    <cellStyle name="20% - 강조색1 2 14 6" xfId="40"/>
    <cellStyle name="20% - 강조색1 2 15" xfId="41"/>
    <cellStyle name="20% - 강조색1 2 16" xfId="42"/>
    <cellStyle name="20% - 강조색1 2 17" xfId="43"/>
    <cellStyle name="20% - 강조색1 2 18" xfId="44"/>
    <cellStyle name="20% - 강조색1 2 19" xfId="45"/>
    <cellStyle name="20% - 강조색1 2 2" xfId="46"/>
    <cellStyle name="20% - 강조색1 2 2 2" xfId="47"/>
    <cellStyle name="20% - 강조색1 2 2 3" xfId="48"/>
    <cellStyle name="20% - 강조색1 2 2 4" xfId="49"/>
    <cellStyle name="20% - 강조색1 2 2 5" xfId="50"/>
    <cellStyle name="20% - 강조색1 2 2 6" xfId="51"/>
    <cellStyle name="20% - 강조색1 2 3" xfId="52"/>
    <cellStyle name="20% - 강조색1 2 3 2" xfId="53"/>
    <cellStyle name="20% - 강조색1 2 3 3" xfId="54"/>
    <cellStyle name="20% - 강조색1 2 3 4" xfId="55"/>
    <cellStyle name="20% - 강조색1 2 3 5" xfId="56"/>
    <cellStyle name="20% - 강조색1 2 3 6" xfId="57"/>
    <cellStyle name="20% - 강조색1 2 4" xfId="58"/>
    <cellStyle name="20% - 강조색1 2 4 2" xfId="59"/>
    <cellStyle name="20% - 강조색1 2 4 3" xfId="60"/>
    <cellStyle name="20% - 강조색1 2 4 4" xfId="61"/>
    <cellStyle name="20% - 강조색1 2 4 5" xfId="62"/>
    <cellStyle name="20% - 강조색1 2 4 6" xfId="63"/>
    <cellStyle name="20% - 강조색1 2 5" xfId="64"/>
    <cellStyle name="20% - 강조색1 2 5 2" xfId="65"/>
    <cellStyle name="20% - 강조색1 2 5 3" xfId="66"/>
    <cellStyle name="20% - 강조색1 2 5 4" xfId="67"/>
    <cellStyle name="20% - 강조색1 2 5 5" xfId="68"/>
    <cellStyle name="20% - 강조색1 2 5 6" xfId="69"/>
    <cellStyle name="20% - 강조색1 2 6" xfId="70"/>
    <cellStyle name="20% - 강조색1 2 6 2" xfId="71"/>
    <cellStyle name="20% - 강조색1 2 6 3" xfId="72"/>
    <cellStyle name="20% - 강조색1 2 6 4" xfId="73"/>
    <cellStyle name="20% - 강조색1 2 6 5" xfId="74"/>
    <cellStyle name="20% - 강조색1 2 6 6" xfId="75"/>
    <cellStyle name="20% - 강조색1 2 7" xfId="76"/>
    <cellStyle name="20% - 강조색1 2 7 2" xfId="77"/>
    <cellStyle name="20% - 강조색1 2 7 3" xfId="78"/>
    <cellStyle name="20% - 강조색1 2 7 4" xfId="79"/>
    <cellStyle name="20% - 강조색1 2 7 5" xfId="80"/>
    <cellStyle name="20% - 강조색1 2 7 6" xfId="81"/>
    <cellStyle name="20% - 강조색1 2 8" xfId="82"/>
    <cellStyle name="20% - 강조색1 2 8 2" xfId="83"/>
    <cellStyle name="20% - 강조색1 2 8 3" xfId="84"/>
    <cellStyle name="20% - 강조색1 2 8 4" xfId="85"/>
    <cellStyle name="20% - 강조색1 2 8 5" xfId="86"/>
    <cellStyle name="20% - 강조색1 2 8 6" xfId="87"/>
    <cellStyle name="20% - 강조색1 2 9" xfId="88"/>
    <cellStyle name="20% - 강조색1 2 9 2" xfId="89"/>
    <cellStyle name="20% - 강조색1 2 9 3" xfId="90"/>
    <cellStyle name="20% - 강조색1 2 9 4" xfId="91"/>
    <cellStyle name="20% - 강조색1 2 9 5" xfId="92"/>
    <cellStyle name="20% - 강조색1 2 9 6" xfId="93"/>
    <cellStyle name="20% - 강조색2 2" xfId="94"/>
    <cellStyle name="20% - 강조색2 2 10" xfId="95"/>
    <cellStyle name="20% - 강조색2 2 10 2" xfId="96"/>
    <cellStyle name="20% - 강조색2 2 10 3" xfId="97"/>
    <cellStyle name="20% - 강조색2 2 10 4" xfId="98"/>
    <cellStyle name="20% - 강조색2 2 10 5" xfId="99"/>
    <cellStyle name="20% - 강조색2 2 10 6" xfId="100"/>
    <cellStyle name="20% - 강조색2 2 11" xfId="101"/>
    <cellStyle name="20% - 강조색2 2 11 2" xfId="102"/>
    <cellStyle name="20% - 강조색2 2 11 3" xfId="103"/>
    <cellStyle name="20% - 강조색2 2 11 4" xfId="104"/>
    <cellStyle name="20% - 강조색2 2 11 5" xfId="105"/>
    <cellStyle name="20% - 강조색2 2 11 6" xfId="106"/>
    <cellStyle name="20% - 강조색2 2 12" xfId="107"/>
    <cellStyle name="20% - 강조색2 2 12 2" xfId="108"/>
    <cellStyle name="20% - 강조색2 2 12 3" xfId="109"/>
    <cellStyle name="20% - 강조색2 2 12 4" xfId="110"/>
    <cellStyle name="20% - 강조색2 2 12 5" xfId="111"/>
    <cellStyle name="20% - 강조색2 2 12 6" xfId="112"/>
    <cellStyle name="20% - 강조색2 2 13" xfId="113"/>
    <cellStyle name="20% - 강조색2 2 13 2" xfId="114"/>
    <cellStyle name="20% - 강조색2 2 13 3" xfId="115"/>
    <cellStyle name="20% - 강조색2 2 13 4" xfId="116"/>
    <cellStyle name="20% - 강조색2 2 13 5" xfId="117"/>
    <cellStyle name="20% - 강조색2 2 13 6" xfId="118"/>
    <cellStyle name="20% - 강조색2 2 14" xfId="119"/>
    <cellStyle name="20% - 강조색2 2 14 2" xfId="120"/>
    <cellStyle name="20% - 강조색2 2 14 3" xfId="121"/>
    <cellStyle name="20% - 강조색2 2 14 4" xfId="122"/>
    <cellStyle name="20% - 강조색2 2 14 5" xfId="123"/>
    <cellStyle name="20% - 강조색2 2 14 6" xfId="124"/>
    <cellStyle name="20% - 강조색2 2 15" xfId="125"/>
    <cellStyle name="20% - 강조색2 2 16" xfId="126"/>
    <cellStyle name="20% - 강조색2 2 17" xfId="127"/>
    <cellStyle name="20% - 강조색2 2 18" xfId="128"/>
    <cellStyle name="20% - 강조색2 2 19" xfId="129"/>
    <cellStyle name="20% - 강조색2 2 2" xfId="130"/>
    <cellStyle name="20% - 강조색2 2 2 2" xfId="131"/>
    <cellStyle name="20% - 강조색2 2 2 3" xfId="132"/>
    <cellStyle name="20% - 강조색2 2 2 4" xfId="133"/>
    <cellStyle name="20% - 강조색2 2 2 5" xfId="134"/>
    <cellStyle name="20% - 강조색2 2 2 6" xfId="135"/>
    <cellStyle name="20% - 강조색2 2 3" xfId="136"/>
    <cellStyle name="20% - 강조색2 2 3 2" xfId="137"/>
    <cellStyle name="20% - 강조색2 2 3 3" xfId="138"/>
    <cellStyle name="20% - 강조색2 2 3 4" xfId="139"/>
    <cellStyle name="20% - 강조색2 2 3 5" xfId="140"/>
    <cellStyle name="20% - 강조색2 2 3 6" xfId="141"/>
    <cellStyle name="20% - 강조색2 2 4" xfId="142"/>
    <cellStyle name="20% - 강조색2 2 4 2" xfId="143"/>
    <cellStyle name="20% - 강조색2 2 4 3" xfId="144"/>
    <cellStyle name="20% - 강조색2 2 4 4" xfId="145"/>
    <cellStyle name="20% - 강조색2 2 4 5" xfId="146"/>
    <cellStyle name="20% - 강조색2 2 4 6" xfId="147"/>
    <cellStyle name="20% - 강조색2 2 5" xfId="148"/>
    <cellStyle name="20% - 강조색2 2 5 2" xfId="149"/>
    <cellStyle name="20% - 강조색2 2 5 3" xfId="150"/>
    <cellStyle name="20% - 강조색2 2 5 4" xfId="151"/>
    <cellStyle name="20% - 강조색2 2 5 5" xfId="152"/>
    <cellStyle name="20% - 강조색2 2 5 6" xfId="153"/>
    <cellStyle name="20% - 강조색2 2 6" xfId="154"/>
    <cellStyle name="20% - 강조색2 2 6 2" xfId="155"/>
    <cellStyle name="20% - 강조색2 2 6 3" xfId="156"/>
    <cellStyle name="20% - 강조색2 2 6 4" xfId="157"/>
    <cellStyle name="20% - 강조색2 2 6 5" xfId="158"/>
    <cellStyle name="20% - 강조색2 2 6 6" xfId="159"/>
    <cellStyle name="20% - 강조색2 2 7" xfId="160"/>
    <cellStyle name="20% - 강조색2 2 7 2" xfId="161"/>
    <cellStyle name="20% - 강조색2 2 7 3" xfId="162"/>
    <cellStyle name="20% - 강조색2 2 7 4" xfId="163"/>
    <cellStyle name="20% - 강조색2 2 7 5" xfId="164"/>
    <cellStyle name="20% - 강조색2 2 7 6" xfId="165"/>
    <cellStyle name="20% - 강조색2 2 8" xfId="166"/>
    <cellStyle name="20% - 강조색2 2 8 2" xfId="167"/>
    <cellStyle name="20% - 강조색2 2 8 3" xfId="168"/>
    <cellStyle name="20% - 강조색2 2 8 4" xfId="169"/>
    <cellStyle name="20% - 강조색2 2 8 5" xfId="170"/>
    <cellStyle name="20% - 강조색2 2 8 6" xfId="171"/>
    <cellStyle name="20% - 강조색2 2 9" xfId="172"/>
    <cellStyle name="20% - 강조색2 2 9 2" xfId="173"/>
    <cellStyle name="20% - 강조색2 2 9 3" xfId="174"/>
    <cellStyle name="20% - 강조색2 2 9 4" xfId="175"/>
    <cellStyle name="20% - 강조색2 2 9 5" xfId="176"/>
    <cellStyle name="20% - 강조색2 2 9 6" xfId="177"/>
    <cellStyle name="20% - 강조색3 2" xfId="178"/>
    <cellStyle name="20% - 강조색3 2 10" xfId="179"/>
    <cellStyle name="20% - 강조색3 2 10 2" xfId="180"/>
    <cellStyle name="20% - 강조색3 2 10 3" xfId="181"/>
    <cellStyle name="20% - 강조색3 2 10 4" xfId="182"/>
    <cellStyle name="20% - 강조색3 2 10 5" xfId="183"/>
    <cellStyle name="20% - 강조색3 2 10 6" xfId="184"/>
    <cellStyle name="20% - 강조색3 2 11" xfId="185"/>
    <cellStyle name="20% - 강조색3 2 11 2" xfId="186"/>
    <cellStyle name="20% - 강조색3 2 11 3" xfId="187"/>
    <cellStyle name="20% - 강조색3 2 11 4" xfId="188"/>
    <cellStyle name="20% - 강조색3 2 11 5" xfId="189"/>
    <cellStyle name="20% - 강조색3 2 11 6" xfId="190"/>
    <cellStyle name="20% - 강조색3 2 12" xfId="191"/>
    <cellStyle name="20% - 강조색3 2 12 2" xfId="192"/>
    <cellStyle name="20% - 강조색3 2 12 3" xfId="193"/>
    <cellStyle name="20% - 강조색3 2 12 4" xfId="194"/>
    <cellStyle name="20% - 강조색3 2 12 5" xfId="195"/>
    <cellStyle name="20% - 강조색3 2 12 6" xfId="196"/>
    <cellStyle name="20% - 강조색3 2 13" xfId="197"/>
    <cellStyle name="20% - 강조색3 2 13 2" xfId="198"/>
    <cellStyle name="20% - 강조색3 2 13 3" xfId="199"/>
    <cellStyle name="20% - 강조색3 2 13 4" xfId="200"/>
    <cellStyle name="20% - 강조색3 2 13 5" xfId="201"/>
    <cellStyle name="20% - 강조색3 2 13 6" xfId="202"/>
    <cellStyle name="20% - 강조색3 2 14" xfId="203"/>
    <cellStyle name="20% - 강조색3 2 14 2" xfId="204"/>
    <cellStyle name="20% - 강조색3 2 14 3" xfId="205"/>
    <cellStyle name="20% - 강조색3 2 14 4" xfId="206"/>
    <cellStyle name="20% - 강조색3 2 14 5" xfId="207"/>
    <cellStyle name="20% - 강조색3 2 14 6" xfId="208"/>
    <cellStyle name="20% - 강조색3 2 15" xfId="209"/>
    <cellStyle name="20% - 강조색3 2 16" xfId="210"/>
    <cellStyle name="20% - 강조색3 2 17" xfId="211"/>
    <cellStyle name="20% - 강조색3 2 18" xfId="212"/>
    <cellStyle name="20% - 강조색3 2 19" xfId="213"/>
    <cellStyle name="20% - 강조색3 2 2" xfId="214"/>
    <cellStyle name="20% - 강조색3 2 2 2" xfId="215"/>
    <cellStyle name="20% - 강조색3 2 2 3" xfId="216"/>
    <cellStyle name="20% - 강조색3 2 2 4" xfId="217"/>
    <cellStyle name="20% - 강조색3 2 2 5" xfId="218"/>
    <cellStyle name="20% - 강조색3 2 2 6" xfId="219"/>
    <cellStyle name="20% - 강조색3 2 3" xfId="220"/>
    <cellStyle name="20% - 강조색3 2 3 2" xfId="221"/>
    <cellStyle name="20% - 강조색3 2 3 3" xfId="222"/>
    <cellStyle name="20% - 강조색3 2 3 4" xfId="223"/>
    <cellStyle name="20% - 강조색3 2 3 5" xfId="224"/>
    <cellStyle name="20% - 강조색3 2 3 6" xfId="225"/>
    <cellStyle name="20% - 강조색3 2 4" xfId="226"/>
    <cellStyle name="20% - 강조색3 2 4 2" xfId="227"/>
    <cellStyle name="20% - 강조색3 2 4 3" xfId="228"/>
    <cellStyle name="20% - 강조색3 2 4 4" xfId="229"/>
    <cellStyle name="20% - 강조색3 2 4 5" xfId="230"/>
    <cellStyle name="20% - 강조색3 2 4 6" xfId="231"/>
    <cellStyle name="20% - 강조색3 2 5" xfId="232"/>
    <cellStyle name="20% - 강조색3 2 5 2" xfId="233"/>
    <cellStyle name="20% - 강조색3 2 5 3" xfId="234"/>
    <cellStyle name="20% - 강조색3 2 5 4" xfId="235"/>
    <cellStyle name="20% - 강조색3 2 5 5" xfId="236"/>
    <cellStyle name="20% - 강조색3 2 5 6" xfId="237"/>
    <cellStyle name="20% - 강조색3 2 6" xfId="238"/>
    <cellStyle name="20% - 강조색3 2 6 2" xfId="239"/>
    <cellStyle name="20% - 강조색3 2 6 3" xfId="240"/>
    <cellStyle name="20% - 강조색3 2 6 4" xfId="241"/>
    <cellStyle name="20% - 강조색3 2 6 5" xfId="242"/>
    <cellStyle name="20% - 강조색3 2 6 6" xfId="243"/>
    <cellStyle name="20% - 강조색3 2 7" xfId="244"/>
    <cellStyle name="20% - 강조색3 2 7 2" xfId="245"/>
    <cellStyle name="20% - 강조색3 2 7 3" xfId="246"/>
    <cellStyle name="20% - 강조색3 2 7 4" xfId="247"/>
    <cellStyle name="20% - 강조색3 2 7 5" xfId="248"/>
    <cellStyle name="20% - 강조색3 2 7 6" xfId="249"/>
    <cellStyle name="20% - 강조색3 2 8" xfId="250"/>
    <cellStyle name="20% - 강조색3 2 8 2" xfId="251"/>
    <cellStyle name="20% - 강조색3 2 8 3" xfId="252"/>
    <cellStyle name="20% - 강조색3 2 8 4" xfId="253"/>
    <cellStyle name="20% - 강조색3 2 8 5" xfId="254"/>
    <cellStyle name="20% - 강조색3 2 8 6" xfId="255"/>
    <cellStyle name="20% - 강조색3 2 9" xfId="256"/>
    <cellStyle name="20% - 강조색3 2 9 2" xfId="257"/>
    <cellStyle name="20% - 강조색3 2 9 3" xfId="258"/>
    <cellStyle name="20% - 강조색3 2 9 4" xfId="259"/>
    <cellStyle name="20% - 강조색3 2 9 5" xfId="260"/>
    <cellStyle name="20% - 강조색3 2 9 6" xfId="261"/>
    <cellStyle name="20% - 강조색4 2" xfId="262"/>
    <cellStyle name="20% - 강조색4 2 10" xfId="263"/>
    <cellStyle name="20% - 강조색4 2 10 2" xfId="264"/>
    <cellStyle name="20% - 강조색4 2 10 3" xfId="265"/>
    <cellStyle name="20% - 강조색4 2 10 4" xfId="266"/>
    <cellStyle name="20% - 강조색4 2 10 5" xfId="267"/>
    <cellStyle name="20% - 강조색4 2 10 6" xfId="268"/>
    <cellStyle name="20% - 강조색4 2 11" xfId="269"/>
    <cellStyle name="20% - 강조색4 2 11 2" xfId="270"/>
    <cellStyle name="20% - 강조색4 2 11 3" xfId="271"/>
    <cellStyle name="20% - 강조색4 2 11 4" xfId="272"/>
    <cellStyle name="20% - 강조색4 2 11 5" xfId="273"/>
    <cellStyle name="20% - 강조색4 2 11 6" xfId="274"/>
    <cellStyle name="20% - 강조색4 2 12" xfId="275"/>
    <cellStyle name="20% - 강조색4 2 12 2" xfId="276"/>
    <cellStyle name="20% - 강조색4 2 12 3" xfId="277"/>
    <cellStyle name="20% - 강조색4 2 12 4" xfId="278"/>
    <cellStyle name="20% - 강조색4 2 12 5" xfId="279"/>
    <cellStyle name="20% - 강조색4 2 12 6" xfId="280"/>
    <cellStyle name="20% - 강조색4 2 13" xfId="281"/>
    <cellStyle name="20% - 강조색4 2 13 2" xfId="282"/>
    <cellStyle name="20% - 강조색4 2 13 3" xfId="283"/>
    <cellStyle name="20% - 강조색4 2 13 4" xfId="284"/>
    <cellStyle name="20% - 강조색4 2 13 5" xfId="285"/>
    <cellStyle name="20% - 강조색4 2 13 6" xfId="286"/>
    <cellStyle name="20% - 강조색4 2 14" xfId="287"/>
    <cellStyle name="20% - 강조색4 2 14 2" xfId="288"/>
    <cellStyle name="20% - 강조색4 2 14 3" xfId="289"/>
    <cellStyle name="20% - 강조색4 2 14 4" xfId="290"/>
    <cellStyle name="20% - 강조색4 2 14 5" xfId="291"/>
    <cellStyle name="20% - 강조색4 2 14 6" xfId="292"/>
    <cellStyle name="20% - 강조색4 2 15" xfId="293"/>
    <cellStyle name="20% - 강조색4 2 16" xfId="294"/>
    <cellStyle name="20% - 강조색4 2 17" xfId="295"/>
    <cellStyle name="20% - 강조색4 2 18" xfId="296"/>
    <cellStyle name="20% - 강조색4 2 19" xfId="297"/>
    <cellStyle name="20% - 강조색4 2 2" xfId="298"/>
    <cellStyle name="20% - 강조색4 2 2 2" xfId="299"/>
    <cellStyle name="20% - 강조색4 2 2 3" xfId="300"/>
    <cellStyle name="20% - 강조색4 2 2 4" xfId="301"/>
    <cellStyle name="20% - 강조색4 2 2 5" xfId="302"/>
    <cellStyle name="20% - 강조색4 2 2 6" xfId="303"/>
    <cellStyle name="20% - 강조색4 2 3" xfId="304"/>
    <cellStyle name="20% - 강조색4 2 3 2" xfId="305"/>
    <cellStyle name="20% - 강조색4 2 3 3" xfId="306"/>
    <cellStyle name="20% - 강조색4 2 3 4" xfId="307"/>
    <cellStyle name="20% - 강조색4 2 3 5" xfId="308"/>
    <cellStyle name="20% - 강조색4 2 3 6" xfId="309"/>
    <cellStyle name="20% - 강조색4 2 4" xfId="310"/>
    <cellStyle name="20% - 강조색4 2 4 2" xfId="311"/>
    <cellStyle name="20% - 강조색4 2 4 3" xfId="312"/>
    <cellStyle name="20% - 강조색4 2 4 4" xfId="313"/>
    <cellStyle name="20% - 강조색4 2 4 5" xfId="314"/>
    <cellStyle name="20% - 강조색4 2 4 6" xfId="315"/>
    <cellStyle name="20% - 강조색4 2 5" xfId="316"/>
    <cellStyle name="20% - 강조색4 2 5 2" xfId="317"/>
    <cellStyle name="20% - 강조색4 2 5 3" xfId="318"/>
    <cellStyle name="20% - 강조색4 2 5 4" xfId="319"/>
    <cellStyle name="20% - 강조색4 2 5 5" xfId="320"/>
    <cellStyle name="20% - 강조색4 2 5 6" xfId="321"/>
    <cellStyle name="20% - 강조색4 2 6" xfId="322"/>
    <cellStyle name="20% - 강조색4 2 6 2" xfId="323"/>
    <cellStyle name="20% - 강조색4 2 6 3" xfId="324"/>
    <cellStyle name="20% - 강조색4 2 6 4" xfId="325"/>
    <cellStyle name="20% - 강조색4 2 6 5" xfId="326"/>
    <cellStyle name="20% - 강조색4 2 6 6" xfId="327"/>
    <cellStyle name="20% - 강조색4 2 7" xfId="328"/>
    <cellStyle name="20% - 강조색4 2 7 2" xfId="329"/>
    <cellStyle name="20% - 강조색4 2 7 3" xfId="330"/>
    <cellStyle name="20% - 강조색4 2 7 4" xfId="331"/>
    <cellStyle name="20% - 강조색4 2 7 5" xfId="332"/>
    <cellStyle name="20% - 강조색4 2 7 6" xfId="333"/>
    <cellStyle name="20% - 강조색4 2 8" xfId="334"/>
    <cellStyle name="20% - 강조색4 2 8 2" xfId="335"/>
    <cellStyle name="20% - 강조색4 2 8 3" xfId="336"/>
    <cellStyle name="20% - 강조색4 2 8 4" xfId="337"/>
    <cellStyle name="20% - 강조색4 2 8 5" xfId="338"/>
    <cellStyle name="20% - 강조색4 2 8 6" xfId="339"/>
    <cellStyle name="20% - 강조색4 2 9" xfId="340"/>
    <cellStyle name="20% - 강조색4 2 9 2" xfId="341"/>
    <cellStyle name="20% - 강조색4 2 9 3" xfId="342"/>
    <cellStyle name="20% - 강조색4 2 9 4" xfId="343"/>
    <cellStyle name="20% - 강조색4 2 9 5" xfId="344"/>
    <cellStyle name="20% - 강조색4 2 9 6" xfId="345"/>
    <cellStyle name="20% - 강조색5 2" xfId="346"/>
    <cellStyle name="20% - 강조색5 2 10" xfId="347"/>
    <cellStyle name="20% - 강조색5 2 10 2" xfId="348"/>
    <cellStyle name="20% - 강조색5 2 10 3" xfId="349"/>
    <cellStyle name="20% - 강조색5 2 10 4" xfId="350"/>
    <cellStyle name="20% - 강조색5 2 10 5" xfId="351"/>
    <cellStyle name="20% - 강조색5 2 10 6" xfId="352"/>
    <cellStyle name="20% - 강조색5 2 11" xfId="353"/>
    <cellStyle name="20% - 강조색5 2 11 2" xfId="354"/>
    <cellStyle name="20% - 강조색5 2 11 3" xfId="355"/>
    <cellStyle name="20% - 강조색5 2 11 4" xfId="356"/>
    <cellStyle name="20% - 강조색5 2 11 5" xfId="357"/>
    <cellStyle name="20% - 강조색5 2 11 6" xfId="358"/>
    <cellStyle name="20% - 강조색5 2 12" xfId="359"/>
    <cellStyle name="20% - 강조색5 2 12 2" xfId="360"/>
    <cellStyle name="20% - 강조색5 2 12 3" xfId="361"/>
    <cellStyle name="20% - 강조색5 2 12 4" xfId="362"/>
    <cellStyle name="20% - 강조색5 2 12 5" xfId="363"/>
    <cellStyle name="20% - 강조색5 2 12 6" xfId="364"/>
    <cellStyle name="20% - 강조색5 2 13" xfId="365"/>
    <cellStyle name="20% - 강조색5 2 13 2" xfId="366"/>
    <cellStyle name="20% - 강조색5 2 13 3" xfId="367"/>
    <cellStyle name="20% - 강조색5 2 13 4" xfId="368"/>
    <cellStyle name="20% - 강조색5 2 13 5" xfId="369"/>
    <cellStyle name="20% - 강조색5 2 13 6" xfId="370"/>
    <cellStyle name="20% - 강조색5 2 14" xfId="371"/>
    <cellStyle name="20% - 강조색5 2 14 2" xfId="372"/>
    <cellStyle name="20% - 강조색5 2 14 3" xfId="373"/>
    <cellStyle name="20% - 강조색5 2 14 4" xfId="374"/>
    <cellStyle name="20% - 강조색5 2 14 5" xfId="375"/>
    <cellStyle name="20% - 강조색5 2 14 6" xfId="376"/>
    <cellStyle name="20% - 강조색5 2 15" xfId="377"/>
    <cellStyle name="20% - 강조색5 2 16" xfId="378"/>
    <cellStyle name="20% - 강조색5 2 17" xfId="379"/>
    <cellStyle name="20% - 강조색5 2 18" xfId="380"/>
    <cellStyle name="20% - 강조색5 2 19" xfId="381"/>
    <cellStyle name="20% - 강조색5 2 2" xfId="382"/>
    <cellStyle name="20% - 강조색5 2 2 2" xfId="383"/>
    <cellStyle name="20% - 강조색5 2 2 3" xfId="384"/>
    <cellStyle name="20% - 강조색5 2 2 4" xfId="385"/>
    <cellStyle name="20% - 강조색5 2 2 5" xfId="386"/>
    <cellStyle name="20% - 강조색5 2 2 6" xfId="387"/>
    <cellStyle name="20% - 강조색5 2 3" xfId="388"/>
    <cellStyle name="20% - 강조색5 2 3 2" xfId="389"/>
    <cellStyle name="20% - 강조색5 2 3 3" xfId="390"/>
    <cellStyle name="20% - 강조색5 2 3 4" xfId="391"/>
    <cellStyle name="20% - 강조색5 2 3 5" xfId="392"/>
    <cellStyle name="20% - 강조색5 2 3 6" xfId="393"/>
    <cellStyle name="20% - 강조색5 2 4" xfId="394"/>
    <cellStyle name="20% - 강조색5 2 4 2" xfId="395"/>
    <cellStyle name="20% - 강조색5 2 4 3" xfId="396"/>
    <cellStyle name="20% - 강조색5 2 4 4" xfId="397"/>
    <cellStyle name="20% - 강조색5 2 4 5" xfId="398"/>
    <cellStyle name="20% - 강조색5 2 4 6" xfId="399"/>
    <cellStyle name="20% - 강조색5 2 5" xfId="400"/>
    <cellStyle name="20% - 강조색5 2 5 2" xfId="401"/>
    <cellStyle name="20% - 강조색5 2 5 3" xfId="402"/>
    <cellStyle name="20% - 강조색5 2 5 4" xfId="403"/>
    <cellStyle name="20% - 강조색5 2 5 5" xfId="404"/>
    <cellStyle name="20% - 강조색5 2 5 6" xfId="405"/>
    <cellStyle name="20% - 강조색5 2 6" xfId="406"/>
    <cellStyle name="20% - 강조색5 2 6 2" xfId="407"/>
    <cellStyle name="20% - 강조색5 2 6 3" xfId="408"/>
    <cellStyle name="20% - 강조색5 2 6 4" xfId="409"/>
    <cellStyle name="20% - 강조색5 2 6 5" xfId="410"/>
    <cellStyle name="20% - 강조색5 2 6 6" xfId="411"/>
    <cellStyle name="20% - 강조색5 2 7" xfId="412"/>
    <cellStyle name="20% - 강조색5 2 7 2" xfId="413"/>
    <cellStyle name="20% - 강조색5 2 7 3" xfId="414"/>
    <cellStyle name="20% - 강조색5 2 7 4" xfId="415"/>
    <cellStyle name="20% - 강조색5 2 7 5" xfId="416"/>
    <cellStyle name="20% - 강조색5 2 7 6" xfId="417"/>
    <cellStyle name="20% - 강조색5 2 8" xfId="418"/>
    <cellStyle name="20% - 강조색5 2 8 2" xfId="419"/>
    <cellStyle name="20% - 강조색5 2 8 3" xfId="420"/>
    <cellStyle name="20% - 강조색5 2 8 4" xfId="421"/>
    <cellStyle name="20% - 강조색5 2 8 5" xfId="422"/>
    <cellStyle name="20% - 강조색5 2 8 6" xfId="423"/>
    <cellStyle name="20% - 강조색5 2 9" xfId="424"/>
    <cellStyle name="20% - 강조색5 2 9 2" xfId="425"/>
    <cellStyle name="20% - 강조색5 2 9 3" xfId="426"/>
    <cellStyle name="20% - 강조색5 2 9 4" xfId="427"/>
    <cellStyle name="20% - 강조색5 2 9 5" xfId="428"/>
    <cellStyle name="20% - 강조색5 2 9 6" xfId="429"/>
    <cellStyle name="20% - 강조색6 2" xfId="430"/>
    <cellStyle name="20% - 강조색6 2 10" xfId="431"/>
    <cellStyle name="20% - 강조색6 2 10 2" xfId="432"/>
    <cellStyle name="20% - 강조색6 2 10 3" xfId="433"/>
    <cellStyle name="20% - 강조색6 2 10 4" xfId="434"/>
    <cellStyle name="20% - 강조색6 2 10 5" xfId="435"/>
    <cellStyle name="20% - 강조색6 2 10 6" xfId="436"/>
    <cellStyle name="20% - 강조색6 2 11" xfId="437"/>
    <cellStyle name="20% - 강조색6 2 11 2" xfId="438"/>
    <cellStyle name="20% - 강조색6 2 11 3" xfId="439"/>
    <cellStyle name="20% - 강조색6 2 11 4" xfId="440"/>
    <cellStyle name="20% - 강조색6 2 11 5" xfId="441"/>
    <cellStyle name="20% - 강조색6 2 11 6" xfId="442"/>
    <cellStyle name="20% - 강조색6 2 12" xfId="443"/>
    <cellStyle name="20% - 강조색6 2 12 2" xfId="444"/>
    <cellStyle name="20% - 강조색6 2 12 3" xfId="445"/>
    <cellStyle name="20% - 강조색6 2 12 4" xfId="446"/>
    <cellStyle name="20% - 강조색6 2 12 5" xfId="447"/>
    <cellStyle name="20% - 강조색6 2 12 6" xfId="448"/>
    <cellStyle name="20% - 강조색6 2 13" xfId="449"/>
    <cellStyle name="20% - 강조색6 2 13 2" xfId="450"/>
    <cellStyle name="20% - 강조색6 2 13 3" xfId="451"/>
    <cellStyle name="20% - 강조색6 2 13 4" xfId="452"/>
    <cellStyle name="20% - 강조색6 2 13 5" xfId="453"/>
    <cellStyle name="20% - 강조색6 2 13 6" xfId="454"/>
    <cellStyle name="20% - 강조색6 2 14" xfId="455"/>
    <cellStyle name="20% - 강조색6 2 14 2" xfId="456"/>
    <cellStyle name="20% - 강조색6 2 14 3" xfId="457"/>
    <cellStyle name="20% - 강조색6 2 14 4" xfId="458"/>
    <cellStyle name="20% - 강조색6 2 14 5" xfId="459"/>
    <cellStyle name="20% - 강조색6 2 14 6" xfId="460"/>
    <cellStyle name="20% - 강조색6 2 15" xfId="461"/>
    <cellStyle name="20% - 강조색6 2 16" xfId="462"/>
    <cellStyle name="20% - 강조색6 2 17" xfId="463"/>
    <cellStyle name="20% - 강조색6 2 18" xfId="464"/>
    <cellStyle name="20% - 강조색6 2 19" xfId="465"/>
    <cellStyle name="20% - 강조색6 2 2" xfId="466"/>
    <cellStyle name="20% - 강조색6 2 2 2" xfId="467"/>
    <cellStyle name="20% - 강조색6 2 2 3" xfId="468"/>
    <cellStyle name="20% - 강조색6 2 2 4" xfId="469"/>
    <cellStyle name="20% - 강조색6 2 2 5" xfId="470"/>
    <cellStyle name="20% - 강조색6 2 2 6" xfId="471"/>
    <cellStyle name="20% - 강조색6 2 3" xfId="472"/>
    <cellStyle name="20% - 강조색6 2 3 2" xfId="473"/>
    <cellStyle name="20% - 강조색6 2 3 3" xfId="474"/>
    <cellStyle name="20% - 강조색6 2 3 4" xfId="475"/>
    <cellStyle name="20% - 강조색6 2 3 5" xfId="476"/>
    <cellStyle name="20% - 강조색6 2 3 6" xfId="477"/>
    <cellStyle name="20% - 강조색6 2 4" xfId="478"/>
    <cellStyle name="20% - 강조색6 2 4 2" xfId="479"/>
    <cellStyle name="20% - 강조색6 2 4 3" xfId="480"/>
    <cellStyle name="20% - 강조색6 2 4 4" xfId="481"/>
    <cellStyle name="20% - 강조색6 2 4 5" xfId="482"/>
    <cellStyle name="20% - 강조색6 2 4 6" xfId="483"/>
    <cellStyle name="20% - 강조색6 2 5" xfId="484"/>
    <cellStyle name="20% - 강조색6 2 5 2" xfId="485"/>
    <cellStyle name="20% - 강조색6 2 5 3" xfId="486"/>
    <cellStyle name="20% - 강조색6 2 5 4" xfId="487"/>
    <cellStyle name="20% - 강조색6 2 5 5" xfId="488"/>
    <cellStyle name="20% - 강조색6 2 5 6" xfId="489"/>
    <cellStyle name="20% - 강조색6 2 6" xfId="490"/>
    <cellStyle name="20% - 강조색6 2 6 2" xfId="491"/>
    <cellStyle name="20% - 강조색6 2 6 3" xfId="492"/>
    <cellStyle name="20% - 강조색6 2 6 4" xfId="493"/>
    <cellStyle name="20% - 강조색6 2 6 5" xfId="494"/>
    <cellStyle name="20% - 강조색6 2 6 6" xfId="495"/>
    <cellStyle name="20% - 강조색6 2 7" xfId="496"/>
    <cellStyle name="20% - 강조색6 2 7 2" xfId="497"/>
    <cellStyle name="20% - 강조색6 2 7 3" xfId="498"/>
    <cellStyle name="20% - 강조색6 2 7 4" xfId="499"/>
    <cellStyle name="20% - 강조색6 2 7 5" xfId="500"/>
    <cellStyle name="20% - 강조색6 2 7 6" xfId="501"/>
    <cellStyle name="20% - 강조색6 2 8" xfId="502"/>
    <cellStyle name="20% - 강조색6 2 8 2" xfId="503"/>
    <cellStyle name="20% - 강조색6 2 8 3" xfId="504"/>
    <cellStyle name="20% - 강조색6 2 8 4" xfId="505"/>
    <cellStyle name="20% - 강조색6 2 8 5" xfId="506"/>
    <cellStyle name="20% - 강조색6 2 8 6" xfId="507"/>
    <cellStyle name="20% - 강조색6 2 9" xfId="508"/>
    <cellStyle name="20% - 강조색6 2 9 2" xfId="509"/>
    <cellStyle name="20% - 강조색6 2 9 3" xfId="510"/>
    <cellStyle name="20% - 강조색6 2 9 4" xfId="511"/>
    <cellStyle name="20% - 강조색6 2 9 5" xfId="512"/>
    <cellStyle name="20% - 강조색6 2 9 6" xfId="513"/>
    <cellStyle name="40% - 강조색1 2" xfId="514"/>
    <cellStyle name="40% - 강조색1 2 10" xfId="515"/>
    <cellStyle name="40% - 강조색1 2 10 2" xfId="516"/>
    <cellStyle name="40% - 강조색1 2 10 3" xfId="517"/>
    <cellStyle name="40% - 강조색1 2 10 4" xfId="518"/>
    <cellStyle name="40% - 강조색1 2 10 5" xfId="519"/>
    <cellStyle name="40% - 강조색1 2 10 6" xfId="520"/>
    <cellStyle name="40% - 강조색1 2 11" xfId="521"/>
    <cellStyle name="40% - 강조색1 2 11 2" xfId="522"/>
    <cellStyle name="40% - 강조색1 2 11 3" xfId="523"/>
    <cellStyle name="40% - 강조색1 2 11 4" xfId="524"/>
    <cellStyle name="40% - 강조색1 2 11 5" xfId="525"/>
    <cellStyle name="40% - 강조색1 2 11 6" xfId="526"/>
    <cellStyle name="40% - 강조색1 2 12" xfId="527"/>
    <cellStyle name="40% - 강조색1 2 12 2" xfId="528"/>
    <cellStyle name="40% - 강조색1 2 12 3" xfId="529"/>
    <cellStyle name="40% - 강조색1 2 12 4" xfId="530"/>
    <cellStyle name="40% - 강조색1 2 12 5" xfId="531"/>
    <cellStyle name="40% - 강조색1 2 12 6" xfId="532"/>
    <cellStyle name="40% - 강조색1 2 13" xfId="533"/>
    <cellStyle name="40% - 강조색1 2 13 2" xfId="534"/>
    <cellStyle name="40% - 강조색1 2 13 3" xfId="535"/>
    <cellStyle name="40% - 강조색1 2 13 4" xfId="536"/>
    <cellStyle name="40% - 강조색1 2 13 5" xfId="537"/>
    <cellStyle name="40% - 강조색1 2 13 6" xfId="538"/>
    <cellStyle name="40% - 강조색1 2 14" xfId="539"/>
    <cellStyle name="40% - 강조색1 2 14 2" xfId="540"/>
    <cellStyle name="40% - 강조색1 2 14 3" xfId="541"/>
    <cellStyle name="40% - 강조색1 2 14 4" xfId="542"/>
    <cellStyle name="40% - 강조색1 2 14 5" xfId="543"/>
    <cellStyle name="40% - 강조색1 2 14 6" xfId="544"/>
    <cellStyle name="40% - 강조색1 2 15" xfId="545"/>
    <cellStyle name="40% - 강조색1 2 16" xfId="546"/>
    <cellStyle name="40% - 강조색1 2 17" xfId="547"/>
    <cellStyle name="40% - 강조색1 2 18" xfId="548"/>
    <cellStyle name="40% - 강조색1 2 19" xfId="549"/>
    <cellStyle name="40% - 강조색1 2 2" xfId="550"/>
    <cellStyle name="40% - 강조색1 2 2 2" xfId="551"/>
    <cellStyle name="40% - 강조색1 2 2 3" xfId="552"/>
    <cellStyle name="40% - 강조색1 2 2 4" xfId="553"/>
    <cellStyle name="40% - 강조색1 2 2 5" xfId="554"/>
    <cellStyle name="40% - 강조색1 2 2 6" xfId="555"/>
    <cellStyle name="40% - 강조색1 2 3" xfId="556"/>
    <cellStyle name="40% - 강조색1 2 3 2" xfId="557"/>
    <cellStyle name="40% - 강조색1 2 3 3" xfId="558"/>
    <cellStyle name="40% - 강조색1 2 3 4" xfId="559"/>
    <cellStyle name="40% - 강조색1 2 3 5" xfId="560"/>
    <cellStyle name="40% - 강조색1 2 3 6" xfId="561"/>
    <cellStyle name="40% - 강조색1 2 4" xfId="562"/>
    <cellStyle name="40% - 강조색1 2 4 2" xfId="563"/>
    <cellStyle name="40% - 강조색1 2 4 3" xfId="564"/>
    <cellStyle name="40% - 강조색1 2 4 4" xfId="565"/>
    <cellStyle name="40% - 강조색1 2 4 5" xfId="566"/>
    <cellStyle name="40% - 강조색1 2 4 6" xfId="567"/>
    <cellStyle name="40% - 강조색1 2 5" xfId="568"/>
    <cellStyle name="40% - 강조색1 2 5 2" xfId="569"/>
    <cellStyle name="40% - 강조색1 2 5 3" xfId="570"/>
    <cellStyle name="40% - 강조색1 2 5 4" xfId="571"/>
    <cellStyle name="40% - 강조색1 2 5 5" xfId="572"/>
    <cellStyle name="40% - 강조색1 2 5 6" xfId="573"/>
    <cellStyle name="40% - 강조색1 2 6" xfId="574"/>
    <cellStyle name="40% - 강조색1 2 6 2" xfId="575"/>
    <cellStyle name="40% - 강조색1 2 6 3" xfId="576"/>
    <cellStyle name="40% - 강조색1 2 6 4" xfId="577"/>
    <cellStyle name="40% - 강조색1 2 6 5" xfId="578"/>
    <cellStyle name="40% - 강조색1 2 6 6" xfId="579"/>
    <cellStyle name="40% - 강조색1 2 7" xfId="580"/>
    <cellStyle name="40% - 강조색1 2 7 2" xfId="581"/>
    <cellStyle name="40% - 강조색1 2 7 3" xfId="582"/>
    <cellStyle name="40% - 강조색1 2 7 4" xfId="583"/>
    <cellStyle name="40% - 강조색1 2 7 5" xfId="584"/>
    <cellStyle name="40% - 강조색1 2 7 6" xfId="585"/>
    <cellStyle name="40% - 강조색1 2 8" xfId="586"/>
    <cellStyle name="40% - 강조색1 2 8 2" xfId="587"/>
    <cellStyle name="40% - 강조색1 2 8 3" xfId="588"/>
    <cellStyle name="40% - 강조색1 2 8 4" xfId="589"/>
    <cellStyle name="40% - 강조색1 2 8 5" xfId="590"/>
    <cellStyle name="40% - 강조색1 2 8 6" xfId="591"/>
    <cellStyle name="40% - 강조색1 2 9" xfId="592"/>
    <cellStyle name="40% - 강조색1 2 9 2" xfId="593"/>
    <cellStyle name="40% - 강조색1 2 9 3" xfId="594"/>
    <cellStyle name="40% - 강조색1 2 9 4" xfId="595"/>
    <cellStyle name="40% - 강조색1 2 9 5" xfId="596"/>
    <cellStyle name="40% - 강조색1 2 9 6" xfId="597"/>
    <cellStyle name="40% - 강조색2 2" xfId="598"/>
    <cellStyle name="40% - 강조색2 2 10" xfId="599"/>
    <cellStyle name="40% - 강조색2 2 10 2" xfId="600"/>
    <cellStyle name="40% - 강조색2 2 10 3" xfId="601"/>
    <cellStyle name="40% - 강조색2 2 10 4" xfId="602"/>
    <cellStyle name="40% - 강조색2 2 10 5" xfId="603"/>
    <cellStyle name="40% - 강조색2 2 10 6" xfId="604"/>
    <cellStyle name="40% - 강조색2 2 11" xfId="605"/>
    <cellStyle name="40% - 강조색2 2 11 2" xfId="606"/>
    <cellStyle name="40% - 강조색2 2 11 3" xfId="607"/>
    <cellStyle name="40% - 강조색2 2 11 4" xfId="608"/>
    <cellStyle name="40% - 강조색2 2 11 5" xfId="609"/>
    <cellStyle name="40% - 강조색2 2 11 6" xfId="610"/>
    <cellStyle name="40% - 강조색2 2 12" xfId="611"/>
    <cellStyle name="40% - 강조색2 2 12 2" xfId="612"/>
    <cellStyle name="40% - 강조색2 2 12 3" xfId="613"/>
    <cellStyle name="40% - 강조색2 2 12 4" xfId="614"/>
    <cellStyle name="40% - 강조색2 2 12 5" xfId="615"/>
    <cellStyle name="40% - 강조색2 2 12 6" xfId="616"/>
    <cellStyle name="40% - 강조색2 2 13" xfId="617"/>
    <cellStyle name="40% - 강조색2 2 13 2" xfId="618"/>
    <cellStyle name="40% - 강조색2 2 13 3" xfId="619"/>
    <cellStyle name="40% - 강조색2 2 13 4" xfId="620"/>
    <cellStyle name="40% - 강조색2 2 13 5" xfId="621"/>
    <cellStyle name="40% - 강조색2 2 13 6" xfId="622"/>
    <cellStyle name="40% - 강조색2 2 14" xfId="623"/>
    <cellStyle name="40% - 강조색2 2 14 2" xfId="624"/>
    <cellStyle name="40% - 강조색2 2 14 3" xfId="625"/>
    <cellStyle name="40% - 강조색2 2 14 4" xfId="626"/>
    <cellStyle name="40% - 강조색2 2 14 5" xfId="627"/>
    <cellStyle name="40% - 강조색2 2 14 6" xfId="628"/>
    <cellStyle name="40% - 강조색2 2 15" xfId="629"/>
    <cellStyle name="40% - 강조색2 2 16" xfId="630"/>
    <cellStyle name="40% - 강조색2 2 17" xfId="631"/>
    <cellStyle name="40% - 강조색2 2 18" xfId="632"/>
    <cellStyle name="40% - 강조색2 2 19" xfId="633"/>
    <cellStyle name="40% - 강조색2 2 2" xfId="634"/>
    <cellStyle name="40% - 강조색2 2 2 2" xfId="635"/>
    <cellStyle name="40% - 강조색2 2 2 3" xfId="636"/>
    <cellStyle name="40% - 강조색2 2 2 4" xfId="637"/>
    <cellStyle name="40% - 강조색2 2 2 5" xfId="638"/>
    <cellStyle name="40% - 강조색2 2 2 6" xfId="639"/>
    <cellStyle name="40% - 강조색2 2 3" xfId="640"/>
    <cellStyle name="40% - 강조색2 2 3 2" xfId="641"/>
    <cellStyle name="40% - 강조색2 2 3 3" xfId="642"/>
    <cellStyle name="40% - 강조색2 2 3 4" xfId="643"/>
    <cellStyle name="40% - 강조색2 2 3 5" xfId="644"/>
    <cellStyle name="40% - 강조색2 2 3 6" xfId="645"/>
    <cellStyle name="40% - 강조색2 2 4" xfId="646"/>
    <cellStyle name="40% - 강조색2 2 4 2" xfId="647"/>
    <cellStyle name="40% - 강조색2 2 4 3" xfId="648"/>
    <cellStyle name="40% - 강조색2 2 4 4" xfId="649"/>
    <cellStyle name="40% - 강조색2 2 4 5" xfId="650"/>
    <cellStyle name="40% - 강조색2 2 4 6" xfId="651"/>
    <cellStyle name="40% - 강조색2 2 5" xfId="652"/>
    <cellStyle name="40% - 강조색2 2 5 2" xfId="653"/>
    <cellStyle name="40% - 강조색2 2 5 3" xfId="654"/>
    <cellStyle name="40% - 강조색2 2 5 4" xfId="655"/>
    <cellStyle name="40% - 강조색2 2 5 5" xfId="656"/>
    <cellStyle name="40% - 강조색2 2 5 6" xfId="657"/>
    <cellStyle name="40% - 강조색2 2 6" xfId="658"/>
    <cellStyle name="40% - 강조색2 2 6 2" xfId="659"/>
    <cellStyle name="40% - 강조색2 2 6 3" xfId="660"/>
    <cellStyle name="40% - 강조색2 2 6 4" xfId="661"/>
    <cellStyle name="40% - 강조색2 2 6 5" xfId="662"/>
    <cellStyle name="40% - 강조색2 2 6 6" xfId="663"/>
    <cellStyle name="40% - 강조색2 2 7" xfId="664"/>
    <cellStyle name="40% - 강조색2 2 7 2" xfId="665"/>
    <cellStyle name="40% - 강조색2 2 7 3" xfId="666"/>
    <cellStyle name="40% - 강조색2 2 7 4" xfId="667"/>
    <cellStyle name="40% - 강조색2 2 7 5" xfId="668"/>
    <cellStyle name="40% - 강조색2 2 7 6" xfId="669"/>
    <cellStyle name="40% - 강조색2 2 8" xfId="670"/>
    <cellStyle name="40% - 강조색2 2 8 2" xfId="671"/>
    <cellStyle name="40% - 강조색2 2 8 3" xfId="672"/>
    <cellStyle name="40% - 강조색2 2 8 4" xfId="673"/>
    <cellStyle name="40% - 강조색2 2 8 5" xfId="674"/>
    <cellStyle name="40% - 강조색2 2 8 6" xfId="675"/>
    <cellStyle name="40% - 강조색2 2 9" xfId="676"/>
    <cellStyle name="40% - 강조색2 2 9 2" xfId="677"/>
    <cellStyle name="40% - 강조색2 2 9 3" xfId="678"/>
    <cellStyle name="40% - 강조색2 2 9 4" xfId="679"/>
    <cellStyle name="40% - 강조색2 2 9 5" xfId="680"/>
    <cellStyle name="40% - 강조색2 2 9 6" xfId="681"/>
    <cellStyle name="40% - 강조색3 2" xfId="682"/>
    <cellStyle name="40% - 강조색3 2 10" xfId="683"/>
    <cellStyle name="40% - 강조색3 2 10 2" xfId="684"/>
    <cellStyle name="40% - 강조색3 2 10 3" xfId="685"/>
    <cellStyle name="40% - 강조색3 2 10 4" xfId="686"/>
    <cellStyle name="40% - 강조색3 2 10 5" xfId="687"/>
    <cellStyle name="40% - 강조색3 2 10 6" xfId="688"/>
    <cellStyle name="40% - 강조색3 2 11" xfId="689"/>
    <cellStyle name="40% - 강조색3 2 11 2" xfId="690"/>
    <cellStyle name="40% - 강조색3 2 11 3" xfId="691"/>
    <cellStyle name="40% - 강조색3 2 11 4" xfId="692"/>
    <cellStyle name="40% - 강조색3 2 11 5" xfId="693"/>
    <cellStyle name="40% - 강조색3 2 11 6" xfId="694"/>
    <cellStyle name="40% - 강조색3 2 12" xfId="695"/>
    <cellStyle name="40% - 강조색3 2 12 2" xfId="696"/>
    <cellStyle name="40% - 강조색3 2 12 3" xfId="697"/>
    <cellStyle name="40% - 강조색3 2 12 4" xfId="698"/>
    <cellStyle name="40% - 강조색3 2 12 5" xfId="699"/>
    <cellStyle name="40% - 강조색3 2 12 6" xfId="700"/>
    <cellStyle name="40% - 강조색3 2 13" xfId="701"/>
    <cellStyle name="40% - 강조색3 2 13 2" xfId="702"/>
    <cellStyle name="40% - 강조색3 2 13 3" xfId="703"/>
    <cellStyle name="40% - 강조색3 2 13 4" xfId="704"/>
    <cellStyle name="40% - 강조색3 2 13 5" xfId="705"/>
    <cellStyle name="40% - 강조색3 2 13 6" xfId="706"/>
    <cellStyle name="40% - 강조색3 2 14" xfId="707"/>
    <cellStyle name="40% - 강조색3 2 14 2" xfId="708"/>
    <cellStyle name="40% - 강조색3 2 14 3" xfId="709"/>
    <cellStyle name="40% - 강조색3 2 14 4" xfId="710"/>
    <cellStyle name="40% - 강조색3 2 14 5" xfId="711"/>
    <cellStyle name="40% - 강조색3 2 14 6" xfId="712"/>
    <cellStyle name="40% - 강조색3 2 15" xfId="713"/>
    <cellStyle name="40% - 강조색3 2 16" xfId="714"/>
    <cellStyle name="40% - 강조색3 2 17" xfId="715"/>
    <cellStyle name="40% - 강조색3 2 18" xfId="716"/>
    <cellStyle name="40% - 강조색3 2 19" xfId="717"/>
    <cellStyle name="40% - 강조색3 2 2" xfId="718"/>
    <cellStyle name="40% - 강조색3 2 2 2" xfId="719"/>
    <cellStyle name="40% - 강조색3 2 2 3" xfId="720"/>
    <cellStyle name="40% - 강조색3 2 2 4" xfId="721"/>
    <cellStyle name="40% - 강조색3 2 2 5" xfId="722"/>
    <cellStyle name="40% - 강조색3 2 2 6" xfId="723"/>
    <cellStyle name="40% - 강조색3 2 3" xfId="724"/>
    <cellStyle name="40% - 강조색3 2 3 2" xfId="725"/>
    <cellStyle name="40% - 강조색3 2 3 3" xfId="726"/>
    <cellStyle name="40% - 강조색3 2 3 4" xfId="727"/>
    <cellStyle name="40% - 강조색3 2 3 5" xfId="728"/>
    <cellStyle name="40% - 강조색3 2 3 6" xfId="729"/>
    <cellStyle name="40% - 강조색3 2 4" xfId="730"/>
    <cellStyle name="40% - 강조색3 2 4 2" xfId="731"/>
    <cellStyle name="40% - 강조색3 2 4 3" xfId="732"/>
    <cellStyle name="40% - 강조색3 2 4 4" xfId="733"/>
    <cellStyle name="40% - 강조색3 2 4 5" xfId="734"/>
    <cellStyle name="40% - 강조색3 2 4 6" xfId="735"/>
    <cellStyle name="40% - 강조색3 2 5" xfId="736"/>
    <cellStyle name="40% - 강조색3 2 5 2" xfId="737"/>
    <cellStyle name="40% - 강조색3 2 5 3" xfId="738"/>
    <cellStyle name="40% - 강조색3 2 5 4" xfId="739"/>
    <cellStyle name="40% - 강조색3 2 5 5" xfId="740"/>
    <cellStyle name="40% - 강조색3 2 5 6" xfId="741"/>
    <cellStyle name="40% - 강조색3 2 6" xfId="742"/>
    <cellStyle name="40% - 강조색3 2 6 2" xfId="743"/>
    <cellStyle name="40% - 강조색3 2 6 3" xfId="744"/>
    <cellStyle name="40% - 강조색3 2 6 4" xfId="745"/>
    <cellStyle name="40% - 강조색3 2 6 5" xfId="746"/>
    <cellStyle name="40% - 강조색3 2 6 6" xfId="747"/>
    <cellStyle name="40% - 강조색3 2 7" xfId="748"/>
    <cellStyle name="40% - 강조색3 2 7 2" xfId="749"/>
    <cellStyle name="40% - 강조색3 2 7 3" xfId="750"/>
    <cellStyle name="40% - 강조색3 2 7 4" xfId="751"/>
    <cellStyle name="40% - 강조색3 2 7 5" xfId="752"/>
    <cellStyle name="40% - 강조색3 2 7 6" xfId="753"/>
    <cellStyle name="40% - 강조색3 2 8" xfId="754"/>
    <cellStyle name="40% - 강조색3 2 8 2" xfId="755"/>
    <cellStyle name="40% - 강조색3 2 8 3" xfId="756"/>
    <cellStyle name="40% - 강조색3 2 8 4" xfId="757"/>
    <cellStyle name="40% - 강조색3 2 8 5" xfId="758"/>
    <cellStyle name="40% - 강조색3 2 8 6" xfId="759"/>
    <cellStyle name="40% - 강조색3 2 9" xfId="760"/>
    <cellStyle name="40% - 강조색3 2 9 2" xfId="761"/>
    <cellStyle name="40% - 강조색3 2 9 3" xfId="762"/>
    <cellStyle name="40% - 강조색3 2 9 4" xfId="763"/>
    <cellStyle name="40% - 강조색3 2 9 5" xfId="764"/>
    <cellStyle name="40% - 강조색3 2 9 6" xfId="765"/>
    <cellStyle name="40% - 강조색4 2" xfId="766"/>
    <cellStyle name="40% - 강조색4 2 10" xfId="767"/>
    <cellStyle name="40% - 강조색4 2 10 2" xfId="768"/>
    <cellStyle name="40% - 강조색4 2 10 3" xfId="769"/>
    <cellStyle name="40% - 강조색4 2 10 4" xfId="770"/>
    <cellStyle name="40% - 강조색4 2 10 5" xfId="771"/>
    <cellStyle name="40% - 강조색4 2 10 6" xfId="772"/>
    <cellStyle name="40% - 강조색4 2 11" xfId="773"/>
    <cellStyle name="40% - 강조색4 2 11 2" xfId="774"/>
    <cellStyle name="40% - 강조색4 2 11 3" xfId="775"/>
    <cellStyle name="40% - 강조색4 2 11 4" xfId="776"/>
    <cellStyle name="40% - 강조색4 2 11 5" xfId="777"/>
    <cellStyle name="40% - 강조색4 2 11 6" xfId="778"/>
    <cellStyle name="40% - 강조색4 2 12" xfId="779"/>
    <cellStyle name="40% - 강조색4 2 12 2" xfId="780"/>
    <cellStyle name="40% - 강조색4 2 12 3" xfId="781"/>
    <cellStyle name="40% - 강조색4 2 12 4" xfId="782"/>
    <cellStyle name="40% - 강조색4 2 12 5" xfId="783"/>
    <cellStyle name="40% - 강조색4 2 12 6" xfId="784"/>
    <cellStyle name="40% - 강조색4 2 13" xfId="785"/>
    <cellStyle name="40% - 강조색4 2 13 2" xfId="786"/>
    <cellStyle name="40% - 강조색4 2 13 3" xfId="787"/>
    <cellStyle name="40% - 강조색4 2 13 4" xfId="788"/>
    <cellStyle name="40% - 강조색4 2 13 5" xfId="789"/>
    <cellStyle name="40% - 강조색4 2 13 6" xfId="790"/>
    <cellStyle name="40% - 강조색4 2 14" xfId="791"/>
    <cellStyle name="40% - 강조색4 2 14 2" xfId="792"/>
    <cellStyle name="40% - 강조색4 2 14 3" xfId="793"/>
    <cellStyle name="40% - 강조색4 2 14 4" xfId="794"/>
    <cellStyle name="40% - 강조색4 2 14 5" xfId="795"/>
    <cellStyle name="40% - 강조색4 2 14 6" xfId="796"/>
    <cellStyle name="40% - 강조색4 2 15" xfId="797"/>
    <cellStyle name="40% - 강조색4 2 16" xfId="798"/>
    <cellStyle name="40% - 강조색4 2 17" xfId="799"/>
    <cellStyle name="40% - 강조색4 2 18" xfId="800"/>
    <cellStyle name="40% - 강조색4 2 19" xfId="801"/>
    <cellStyle name="40% - 강조색4 2 2" xfId="802"/>
    <cellStyle name="40% - 강조색4 2 2 2" xfId="803"/>
    <cellStyle name="40% - 강조색4 2 2 3" xfId="804"/>
    <cellStyle name="40% - 강조색4 2 2 4" xfId="805"/>
    <cellStyle name="40% - 강조색4 2 2 5" xfId="806"/>
    <cellStyle name="40% - 강조색4 2 2 6" xfId="807"/>
    <cellStyle name="40% - 강조색4 2 3" xfId="808"/>
    <cellStyle name="40% - 강조색4 2 3 2" xfId="809"/>
    <cellStyle name="40% - 강조색4 2 3 3" xfId="810"/>
    <cellStyle name="40% - 강조색4 2 3 4" xfId="811"/>
    <cellStyle name="40% - 강조색4 2 3 5" xfId="812"/>
    <cellStyle name="40% - 강조색4 2 3 6" xfId="813"/>
    <cellStyle name="40% - 강조색4 2 4" xfId="814"/>
    <cellStyle name="40% - 강조색4 2 4 2" xfId="815"/>
    <cellStyle name="40% - 강조색4 2 4 3" xfId="816"/>
    <cellStyle name="40% - 강조색4 2 4 4" xfId="817"/>
    <cellStyle name="40% - 강조색4 2 4 5" xfId="818"/>
    <cellStyle name="40% - 강조색4 2 4 6" xfId="819"/>
    <cellStyle name="40% - 강조색4 2 5" xfId="820"/>
    <cellStyle name="40% - 강조색4 2 5 2" xfId="821"/>
    <cellStyle name="40% - 강조색4 2 5 3" xfId="822"/>
    <cellStyle name="40% - 강조색4 2 5 4" xfId="823"/>
    <cellStyle name="40% - 강조색4 2 5 5" xfId="824"/>
    <cellStyle name="40% - 강조색4 2 5 6" xfId="825"/>
    <cellStyle name="40% - 강조색4 2 6" xfId="826"/>
    <cellStyle name="40% - 강조색4 2 6 2" xfId="827"/>
    <cellStyle name="40% - 강조색4 2 6 3" xfId="828"/>
    <cellStyle name="40% - 강조색4 2 6 4" xfId="829"/>
    <cellStyle name="40% - 강조색4 2 6 5" xfId="830"/>
    <cellStyle name="40% - 강조색4 2 6 6" xfId="831"/>
    <cellStyle name="40% - 강조색4 2 7" xfId="832"/>
    <cellStyle name="40% - 강조색4 2 7 2" xfId="833"/>
    <cellStyle name="40% - 강조색4 2 7 3" xfId="834"/>
    <cellStyle name="40% - 강조색4 2 7 4" xfId="835"/>
    <cellStyle name="40% - 강조색4 2 7 5" xfId="836"/>
    <cellStyle name="40% - 강조색4 2 7 6" xfId="837"/>
    <cellStyle name="40% - 강조색4 2 8" xfId="838"/>
    <cellStyle name="40% - 강조색4 2 8 2" xfId="839"/>
    <cellStyle name="40% - 강조색4 2 8 3" xfId="840"/>
    <cellStyle name="40% - 강조색4 2 8 4" xfId="841"/>
    <cellStyle name="40% - 강조색4 2 8 5" xfId="842"/>
    <cellStyle name="40% - 강조색4 2 8 6" xfId="843"/>
    <cellStyle name="40% - 강조색4 2 9" xfId="844"/>
    <cellStyle name="40% - 강조색4 2 9 2" xfId="845"/>
    <cellStyle name="40% - 강조색4 2 9 3" xfId="846"/>
    <cellStyle name="40% - 강조색4 2 9 4" xfId="847"/>
    <cellStyle name="40% - 강조색4 2 9 5" xfId="848"/>
    <cellStyle name="40% - 강조색4 2 9 6" xfId="849"/>
    <cellStyle name="40% - 강조색5 2" xfId="850"/>
    <cellStyle name="40% - 강조색5 2 10" xfId="851"/>
    <cellStyle name="40% - 강조색5 2 10 2" xfId="852"/>
    <cellStyle name="40% - 강조색5 2 10 3" xfId="853"/>
    <cellStyle name="40% - 강조색5 2 10 4" xfId="854"/>
    <cellStyle name="40% - 강조색5 2 10 5" xfId="855"/>
    <cellStyle name="40% - 강조색5 2 10 6" xfId="856"/>
    <cellStyle name="40% - 강조색5 2 11" xfId="857"/>
    <cellStyle name="40% - 강조색5 2 11 2" xfId="858"/>
    <cellStyle name="40% - 강조색5 2 11 3" xfId="859"/>
    <cellStyle name="40% - 강조색5 2 11 4" xfId="860"/>
    <cellStyle name="40% - 강조색5 2 11 5" xfId="861"/>
    <cellStyle name="40% - 강조색5 2 11 6" xfId="862"/>
    <cellStyle name="40% - 강조색5 2 12" xfId="863"/>
    <cellStyle name="40% - 강조색5 2 12 2" xfId="864"/>
    <cellStyle name="40% - 강조색5 2 12 3" xfId="865"/>
    <cellStyle name="40% - 강조색5 2 12 4" xfId="866"/>
    <cellStyle name="40% - 강조색5 2 12 5" xfId="867"/>
    <cellStyle name="40% - 강조색5 2 12 6" xfId="868"/>
    <cellStyle name="40% - 강조색5 2 13" xfId="869"/>
    <cellStyle name="40% - 강조색5 2 13 2" xfId="870"/>
    <cellStyle name="40% - 강조색5 2 13 3" xfId="871"/>
    <cellStyle name="40% - 강조색5 2 13 4" xfId="872"/>
    <cellStyle name="40% - 강조색5 2 13 5" xfId="873"/>
    <cellStyle name="40% - 강조색5 2 13 6" xfId="874"/>
    <cellStyle name="40% - 강조색5 2 14" xfId="875"/>
    <cellStyle name="40% - 강조색5 2 14 2" xfId="876"/>
    <cellStyle name="40% - 강조색5 2 14 3" xfId="877"/>
    <cellStyle name="40% - 강조색5 2 14 4" xfId="878"/>
    <cellStyle name="40% - 강조색5 2 14 5" xfId="879"/>
    <cellStyle name="40% - 강조색5 2 14 6" xfId="880"/>
    <cellStyle name="40% - 강조색5 2 15" xfId="881"/>
    <cellStyle name="40% - 강조색5 2 16" xfId="882"/>
    <cellStyle name="40% - 강조색5 2 17" xfId="883"/>
    <cellStyle name="40% - 강조색5 2 18" xfId="884"/>
    <cellStyle name="40% - 강조색5 2 19" xfId="885"/>
    <cellStyle name="40% - 강조색5 2 2" xfId="886"/>
    <cellStyle name="40% - 강조색5 2 2 2" xfId="887"/>
    <cellStyle name="40% - 강조색5 2 2 3" xfId="888"/>
    <cellStyle name="40% - 강조색5 2 2 4" xfId="889"/>
    <cellStyle name="40% - 강조색5 2 2 5" xfId="890"/>
    <cellStyle name="40% - 강조색5 2 2 6" xfId="891"/>
    <cellStyle name="40% - 강조색5 2 3" xfId="892"/>
    <cellStyle name="40% - 강조색5 2 3 2" xfId="893"/>
    <cellStyle name="40% - 강조색5 2 3 3" xfId="894"/>
    <cellStyle name="40% - 강조색5 2 3 4" xfId="895"/>
    <cellStyle name="40% - 강조색5 2 3 5" xfId="896"/>
    <cellStyle name="40% - 강조색5 2 3 6" xfId="897"/>
    <cellStyle name="40% - 강조색5 2 4" xfId="898"/>
    <cellStyle name="40% - 강조색5 2 4 2" xfId="899"/>
    <cellStyle name="40% - 강조색5 2 4 3" xfId="900"/>
    <cellStyle name="40% - 강조색5 2 4 4" xfId="901"/>
    <cellStyle name="40% - 강조색5 2 4 5" xfId="902"/>
    <cellStyle name="40% - 강조색5 2 4 6" xfId="903"/>
    <cellStyle name="40% - 강조색5 2 5" xfId="904"/>
    <cellStyle name="40% - 강조색5 2 5 2" xfId="905"/>
    <cellStyle name="40% - 강조색5 2 5 3" xfId="906"/>
    <cellStyle name="40% - 강조색5 2 5 4" xfId="907"/>
    <cellStyle name="40% - 강조색5 2 5 5" xfId="908"/>
    <cellStyle name="40% - 강조색5 2 5 6" xfId="909"/>
    <cellStyle name="40% - 강조색5 2 6" xfId="910"/>
    <cellStyle name="40% - 강조색5 2 6 2" xfId="911"/>
    <cellStyle name="40% - 강조색5 2 6 3" xfId="912"/>
    <cellStyle name="40% - 강조색5 2 6 4" xfId="913"/>
    <cellStyle name="40% - 강조색5 2 6 5" xfId="914"/>
    <cellStyle name="40% - 강조색5 2 6 6" xfId="915"/>
    <cellStyle name="40% - 강조색5 2 7" xfId="916"/>
    <cellStyle name="40% - 강조색5 2 7 2" xfId="917"/>
    <cellStyle name="40% - 강조색5 2 7 3" xfId="918"/>
    <cellStyle name="40% - 강조색5 2 7 4" xfId="919"/>
    <cellStyle name="40% - 강조색5 2 7 5" xfId="920"/>
    <cellStyle name="40% - 강조색5 2 7 6" xfId="921"/>
    <cellStyle name="40% - 강조색5 2 8" xfId="922"/>
    <cellStyle name="40% - 강조색5 2 8 2" xfId="923"/>
    <cellStyle name="40% - 강조색5 2 8 3" xfId="924"/>
    <cellStyle name="40% - 강조색5 2 8 4" xfId="925"/>
    <cellStyle name="40% - 강조색5 2 8 5" xfId="926"/>
    <cellStyle name="40% - 강조색5 2 8 6" xfId="927"/>
    <cellStyle name="40% - 강조색5 2 9" xfId="928"/>
    <cellStyle name="40% - 강조색5 2 9 2" xfId="929"/>
    <cellStyle name="40% - 강조색5 2 9 3" xfId="930"/>
    <cellStyle name="40% - 강조색5 2 9 4" xfId="931"/>
    <cellStyle name="40% - 강조색5 2 9 5" xfId="932"/>
    <cellStyle name="40% - 강조색5 2 9 6" xfId="933"/>
    <cellStyle name="40% - 강조색6 2" xfId="934"/>
    <cellStyle name="40% - 강조색6 2 10" xfId="935"/>
    <cellStyle name="40% - 강조색6 2 10 2" xfId="936"/>
    <cellStyle name="40% - 강조색6 2 10 3" xfId="937"/>
    <cellStyle name="40% - 강조색6 2 10 4" xfId="938"/>
    <cellStyle name="40% - 강조색6 2 10 5" xfId="939"/>
    <cellStyle name="40% - 강조색6 2 10 6" xfId="940"/>
    <cellStyle name="40% - 강조색6 2 11" xfId="941"/>
    <cellStyle name="40% - 강조색6 2 11 2" xfId="942"/>
    <cellStyle name="40% - 강조색6 2 11 3" xfId="943"/>
    <cellStyle name="40% - 강조색6 2 11 4" xfId="944"/>
    <cellStyle name="40% - 강조색6 2 11 5" xfId="945"/>
    <cellStyle name="40% - 강조색6 2 11 6" xfId="946"/>
    <cellStyle name="40% - 강조색6 2 12" xfId="947"/>
    <cellStyle name="40% - 강조색6 2 12 2" xfId="948"/>
    <cellStyle name="40% - 강조색6 2 12 3" xfId="949"/>
    <cellStyle name="40% - 강조색6 2 12 4" xfId="950"/>
    <cellStyle name="40% - 강조색6 2 12 5" xfId="951"/>
    <cellStyle name="40% - 강조색6 2 12 6" xfId="952"/>
    <cellStyle name="40% - 강조색6 2 13" xfId="953"/>
    <cellStyle name="40% - 강조색6 2 13 2" xfId="954"/>
    <cellStyle name="40% - 강조색6 2 13 3" xfId="955"/>
    <cellStyle name="40% - 강조색6 2 13 4" xfId="956"/>
    <cellStyle name="40% - 강조색6 2 13 5" xfId="957"/>
    <cellStyle name="40% - 강조색6 2 13 6" xfId="958"/>
    <cellStyle name="40% - 강조색6 2 14" xfId="959"/>
    <cellStyle name="40% - 강조색6 2 14 2" xfId="960"/>
    <cellStyle name="40% - 강조색6 2 14 3" xfId="961"/>
    <cellStyle name="40% - 강조색6 2 14 4" xfId="962"/>
    <cellStyle name="40% - 강조색6 2 14 5" xfId="963"/>
    <cellStyle name="40% - 강조색6 2 14 6" xfId="964"/>
    <cellStyle name="40% - 강조색6 2 15" xfId="965"/>
    <cellStyle name="40% - 강조색6 2 16" xfId="966"/>
    <cellStyle name="40% - 강조색6 2 17" xfId="967"/>
    <cellStyle name="40% - 강조색6 2 18" xfId="968"/>
    <cellStyle name="40% - 강조색6 2 19" xfId="969"/>
    <cellStyle name="40% - 강조색6 2 2" xfId="970"/>
    <cellStyle name="40% - 강조색6 2 2 2" xfId="971"/>
    <cellStyle name="40% - 강조색6 2 2 3" xfId="972"/>
    <cellStyle name="40% - 강조색6 2 2 4" xfId="973"/>
    <cellStyle name="40% - 강조색6 2 2 5" xfId="974"/>
    <cellStyle name="40% - 강조색6 2 2 6" xfId="975"/>
    <cellStyle name="40% - 강조색6 2 3" xfId="976"/>
    <cellStyle name="40% - 강조색6 2 3 2" xfId="977"/>
    <cellStyle name="40% - 강조색6 2 3 3" xfId="978"/>
    <cellStyle name="40% - 강조색6 2 3 4" xfId="979"/>
    <cellStyle name="40% - 강조색6 2 3 5" xfId="980"/>
    <cellStyle name="40% - 강조색6 2 3 6" xfId="981"/>
    <cellStyle name="40% - 강조색6 2 4" xfId="982"/>
    <cellStyle name="40% - 강조색6 2 4 2" xfId="983"/>
    <cellStyle name="40% - 강조색6 2 4 3" xfId="984"/>
    <cellStyle name="40% - 강조색6 2 4 4" xfId="985"/>
    <cellStyle name="40% - 강조색6 2 4 5" xfId="986"/>
    <cellStyle name="40% - 강조색6 2 4 6" xfId="987"/>
    <cellStyle name="40% - 강조색6 2 5" xfId="988"/>
    <cellStyle name="40% - 강조색6 2 5 2" xfId="989"/>
    <cellStyle name="40% - 강조색6 2 5 3" xfId="990"/>
    <cellStyle name="40% - 강조색6 2 5 4" xfId="991"/>
    <cellStyle name="40% - 강조색6 2 5 5" xfId="992"/>
    <cellStyle name="40% - 강조색6 2 5 6" xfId="993"/>
    <cellStyle name="40% - 강조색6 2 6" xfId="994"/>
    <cellStyle name="40% - 강조색6 2 6 2" xfId="995"/>
    <cellStyle name="40% - 강조색6 2 6 3" xfId="996"/>
    <cellStyle name="40% - 강조색6 2 6 4" xfId="997"/>
    <cellStyle name="40% - 강조색6 2 6 5" xfId="998"/>
    <cellStyle name="40% - 강조색6 2 6 6" xfId="999"/>
    <cellStyle name="40% - 강조색6 2 7" xfId="1000"/>
    <cellStyle name="40% - 강조색6 2 7 2" xfId="1001"/>
    <cellStyle name="40% - 강조색6 2 7 3" xfId="1002"/>
    <cellStyle name="40% - 강조색6 2 7 4" xfId="1003"/>
    <cellStyle name="40% - 강조색6 2 7 5" xfId="1004"/>
    <cellStyle name="40% - 강조색6 2 7 6" xfId="1005"/>
    <cellStyle name="40% - 강조색6 2 8" xfId="1006"/>
    <cellStyle name="40% - 강조색6 2 8 2" xfId="1007"/>
    <cellStyle name="40% - 강조색6 2 8 3" xfId="1008"/>
    <cellStyle name="40% - 강조색6 2 8 4" xfId="1009"/>
    <cellStyle name="40% - 강조색6 2 8 5" xfId="1010"/>
    <cellStyle name="40% - 강조색6 2 8 6" xfId="1011"/>
    <cellStyle name="40% - 강조색6 2 9" xfId="1012"/>
    <cellStyle name="40% - 강조색6 2 9 2" xfId="1013"/>
    <cellStyle name="40% - 강조색6 2 9 3" xfId="1014"/>
    <cellStyle name="40% - 강조색6 2 9 4" xfId="1015"/>
    <cellStyle name="40% - 강조색6 2 9 5" xfId="1016"/>
    <cellStyle name="40% - 강조색6 2 9 6" xfId="1017"/>
    <cellStyle name="60% - 강조색1 2" xfId="1018"/>
    <cellStyle name="60% - 강조색2 2" xfId="1019"/>
    <cellStyle name="60% - 강조색3 2" xfId="1020"/>
    <cellStyle name="60% - 강조색4 2" xfId="1021"/>
    <cellStyle name="60% - 강조색5 2" xfId="1022"/>
    <cellStyle name="60% - 강조색6 2" xfId="1023"/>
    <cellStyle name="aryInformation" xfId="3130"/>
    <cellStyle name="category" xfId="1024"/>
    <cellStyle name="Comma" xfId="1025"/>
    <cellStyle name="Comma [0]_판매계획 (2)" xfId="3131"/>
    <cellStyle name="Comma [0]Ctls" xfId="3132"/>
    <cellStyle name="Comma_판매계획 (2)" xfId="3133"/>
    <cellStyle name="CRevision Log" xfId="3134"/>
    <cellStyle name="Currency" xfId="1026"/>
    <cellStyle name="Currency [0]_판매계획 (2)" xfId="3135"/>
    <cellStyle name="Currency_판매계획 (2)" xfId="3136"/>
    <cellStyle name="Date" xfId="1027"/>
    <cellStyle name="Fixed" xfId="1028"/>
    <cellStyle name="Grey" xfId="1029"/>
    <cellStyle name="HEADER" xfId="1030"/>
    <cellStyle name="Header1" xfId="1031"/>
    <cellStyle name="Header2" xfId="1032"/>
    <cellStyle name="Heading1" xfId="1033"/>
    <cellStyle name="Heading2" xfId="1034"/>
    <cellStyle name="Input [yellow]" xfId="1035"/>
    <cellStyle name="kbook" xfId="3137"/>
    <cellStyle name="Model" xfId="1036"/>
    <cellStyle name="Normal - Style1" xfId="1037"/>
    <cellStyle name="Normal_Certs Q2" xfId="3138"/>
    <cellStyle name="OJECT_CUR" xfId="3139"/>
    <cellStyle name="on" xfId="3140"/>
    <cellStyle name="Percent" xfId="1038"/>
    <cellStyle name="Percent [2]" xfId="1039"/>
    <cellStyle name="subhead" xfId="1040"/>
    <cellStyle name="Total" xfId="1041"/>
    <cellStyle name="yInformation" xfId="3141"/>
    <cellStyle name="ㄱ" xfId="3142"/>
    <cellStyle name="강조색1 2" xfId="1042"/>
    <cellStyle name="강조색2 2" xfId="1043"/>
    <cellStyle name="강조색3 2" xfId="1044"/>
    <cellStyle name="강조색4 2" xfId="1045"/>
    <cellStyle name="강조색5 2" xfId="1046"/>
    <cellStyle name="강조색6 2" xfId="1047"/>
    <cellStyle name="경고문 2" xfId="1048"/>
    <cellStyle name="계산 2" xfId="1049"/>
    <cellStyle name="나쁨 2" xfId="1050"/>
    <cellStyle name="메모 2" xfId="1051"/>
    <cellStyle name="백분율" xfId="8" builtinId="5"/>
    <cellStyle name="백분율 10" xfId="3297"/>
    <cellStyle name="백분율 11" xfId="3518"/>
    <cellStyle name="백분율 12" xfId="1052"/>
    <cellStyle name="백분율 2" xfId="3"/>
    <cellStyle name="백분율 2 10" xfId="1054"/>
    <cellStyle name="백분율 2 10 2" xfId="1055"/>
    <cellStyle name="백분율 2 10 3" xfId="1056"/>
    <cellStyle name="백분율 2 11" xfId="1057"/>
    <cellStyle name="백분율 2 11 2" xfId="1058"/>
    <cellStyle name="백분율 2 11 3" xfId="1059"/>
    <cellStyle name="백분율 2 12" xfId="1060"/>
    <cellStyle name="백분율 2 12 2" xfId="1061"/>
    <cellStyle name="백분율 2 12 3" xfId="1062"/>
    <cellStyle name="백분율 2 13" xfId="1063"/>
    <cellStyle name="백분율 2 14" xfId="1064"/>
    <cellStyle name="백분율 2 15" xfId="1065"/>
    <cellStyle name="백분율 2 16" xfId="1066"/>
    <cellStyle name="백분율 2 17" xfId="1067"/>
    <cellStyle name="백분율 2 18" xfId="1068"/>
    <cellStyle name="백분율 2 19" xfId="1069"/>
    <cellStyle name="백분율 2 2" xfId="1070"/>
    <cellStyle name="백분율 2 2 10" xfId="1071"/>
    <cellStyle name="백분율 2 2 2" xfId="1072"/>
    <cellStyle name="백분율 2 2 2 2" xfId="1073"/>
    <cellStyle name="백분율 2 2 2 2 2" xfId="1074"/>
    <cellStyle name="백분율 2 2 2 2 3" xfId="1075"/>
    <cellStyle name="백분율 2 2 3" xfId="1076"/>
    <cellStyle name="백분율 2 2 4" xfId="1077"/>
    <cellStyle name="백분율 2 2 5" xfId="1078"/>
    <cellStyle name="백분율 2 2 5 2" xfId="1079"/>
    <cellStyle name="백분율 2 2 5 3" xfId="1080"/>
    <cellStyle name="백분율 2 2 5 3 2" xfId="1081"/>
    <cellStyle name="백분율 2 2 5 4" xfId="1082"/>
    <cellStyle name="백분율 2 2 6" xfId="1083"/>
    <cellStyle name="백분율 2 2 6 2" xfId="1084"/>
    <cellStyle name="백분율 2 2 6 2 2" xfId="1085"/>
    <cellStyle name="백분율 2 2 7" xfId="1086"/>
    <cellStyle name="백분율 2 2 8" xfId="1087"/>
    <cellStyle name="백분율 2 2 9" xfId="1088"/>
    <cellStyle name="백분율 2 20" xfId="1089"/>
    <cellStyle name="백분율 2 21" xfId="1090"/>
    <cellStyle name="백분율 2 22" xfId="1091"/>
    <cellStyle name="백분율 2 23" xfId="1092"/>
    <cellStyle name="백분율 2 24" xfId="1093"/>
    <cellStyle name="백분율 2 25" xfId="1094"/>
    <cellStyle name="백분율 2 25 2" xfId="1095"/>
    <cellStyle name="백분율 2 26" xfId="3144"/>
    <cellStyle name="백분율 2 27" xfId="1053"/>
    <cellStyle name="백분율 2 3" xfId="1096"/>
    <cellStyle name="백분율 2 3 2" xfId="1097"/>
    <cellStyle name="백분율 2 3 2 2" xfId="1098"/>
    <cellStyle name="백분율 2 3 2 2 2" xfId="1099"/>
    <cellStyle name="백분율 2 3 2 3" xfId="1100"/>
    <cellStyle name="백분율 2 3 3" xfId="1101"/>
    <cellStyle name="백분율 2 3 4" xfId="1102"/>
    <cellStyle name="백분율 2 3 5" xfId="1103"/>
    <cellStyle name="백분율 2 3 6" xfId="1104"/>
    <cellStyle name="백분율 2 3 7" xfId="1105"/>
    <cellStyle name="백분율 2 4" xfId="1106"/>
    <cellStyle name="백분율 2 4 2" xfId="1107"/>
    <cellStyle name="백분율 2 4 2 2" xfId="1108"/>
    <cellStyle name="백분율 2 4 3" xfId="1109"/>
    <cellStyle name="백분율 2 5" xfId="1110"/>
    <cellStyle name="백분율 2 5 2" xfId="1111"/>
    <cellStyle name="백분율 2 5 3" xfId="1112"/>
    <cellStyle name="백분율 2 6" xfId="1113"/>
    <cellStyle name="백분율 2 6 2" xfId="1114"/>
    <cellStyle name="백분율 2 6 3" xfId="1115"/>
    <cellStyle name="백분율 2 7" xfId="1116"/>
    <cellStyle name="백분율 2 7 2" xfId="1117"/>
    <cellStyle name="백분율 2 7 3" xfId="1118"/>
    <cellStyle name="백분율 2 8" xfId="1119"/>
    <cellStyle name="백분율 2 8 2" xfId="1120"/>
    <cellStyle name="백분율 2 8 3" xfId="1121"/>
    <cellStyle name="백분율 2 9" xfId="1122"/>
    <cellStyle name="백분율 2 9 2" xfId="1123"/>
    <cellStyle name="백분율 2 9 3" xfId="1124"/>
    <cellStyle name="백분율 24" xfId="1125"/>
    <cellStyle name="백분율 24 2" xfId="1126"/>
    <cellStyle name="백분율 3" xfId="3114"/>
    <cellStyle name="백분율 3 2" xfId="1127"/>
    <cellStyle name="백분율 3 3" xfId="1128"/>
    <cellStyle name="백분율 4" xfId="3124"/>
    <cellStyle name="백분율 5" xfId="3143"/>
    <cellStyle name="백분율 6" xfId="3174"/>
    <cellStyle name="백분율 7" xfId="3183"/>
    <cellStyle name="백분율 8" xfId="3196"/>
    <cellStyle name="백분율 9" xfId="3239"/>
    <cellStyle name="보통 2" xfId="1129"/>
    <cellStyle name="설명 텍스트 2" xfId="1130"/>
    <cellStyle name="셀 확인 2" xfId="1131"/>
    <cellStyle name="쉼표 [0]" xfId="1" builtinId="6"/>
    <cellStyle name="쉼표 [0] 10" xfId="1133"/>
    <cellStyle name="쉼표 [0] 10 10" xfId="1134"/>
    <cellStyle name="쉼표 [0] 10 11" xfId="1135"/>
    <cellStyle name="쉼표 [0] 10 12" xfId="1136"/>
    <cellStyle name="쉼표 [0] 10 2" xfId="1137"/>
    <cellStyle name="쉼표 [0] 10 3" xfId="1138"/>
    <cellStyle name="쉼표 [0] 10 4" xfId="1139"/>
    <cellStyle name="쉼표 [0] 10 5" xfId="1140"/>
    <cellStyle name="쉼표 [0] 10 6" xfId="1141"/>
    <cellStyle name="쉼표 [0] 10 7" xfId="1142"/>
    <cellStyle name="쉼표 [0] 10 8" xfId="1143"/>
    <cellStyle name="쉼표 [0] 10 9" xfId="1144"/>
    <cellStyle name="쉼표 [0] 11" xfId="1145"/>
    <cellStyle name="쉼표 [0] 11 10" xfId="1146"/>
    <cellStyle name="쉼표 [0] 11 11" xfId="1147"/>
    <cellStyle name="쉼표 [0] 11 12" xfId="1148"/>
    <cellStyle name="쉼표 [0] 11 2" xfId="1149"/>
    <cellStyle name="쉼표 [0] 11 3" xfId="1150"/>
    <cellStyle name="쉼표 [0] 11 4" xfId="1151"/>
    <cellStyle name="쉼표 [0] 11 5" xfId="1152"/>
    <cellStyle name="쉼표 [0] 11 6" xfId="1153"/>
    <cellStyle name="쉼표 [0] 11 7" xfId="1154"/>
    <cellStyle name="쉼표 [0] 11 8" xfId="1155"/>
    <cellStyle name="쉼표 [0] 11 9" xfId="1156"/>
    <cellStyle name="쉼표 [0] 12" xfId="1157"/>
    <cellStyle name="쉼표 [0] 12 2" xfId="1158"/>
    <cellStyle name="쉼표 [0] 12 2 2" xfId="1159"/>
    <cellStyle name="쉼표 [0] 12 2 2 2" xfId="1160"/>
    <cellStyle name="쉼표 [0] 12 2 2 2 2" xfId="1161"/>
    <cellStyle name="쉼표 [0] 12 2 3" xfId="1162"/>
    <cellStyle name="쉼표 [0] 12 2 4" xfId="1163"/>
    <cellStyle name="쉼표 [0] 12 2 5" xfId="1164"/>
    <cellStyle name="쉼표 [0] 12 2 6" xfId="1165"/>
    <cellStyle name="쉼표 [0] 12 3" xfId="1166"/>
    <cellStyle name="쉼표 [0] 12 3 2" xfId="1167"/>
    <cellStyle name="쉼표 [0] 12 3 2 2" xfId="1168"/>
    <cellStyle name="쉼표 [0] 12 3 2 2 2" xfId="1169"/>
    <cellStyle name="쉼표 [0] 12 3 3" xfId="1170"/>
    <cellStyle name="쉼표 [0] 12 3 4" xfId="1171"/>
    <cellStyle name="쉼표 [0] 12 3 5" xfId="1172"/>
    <cellStyle name="쉼표 [0] 12 3 6" xfId="1173"/>
    <cellStyle name="쉼표 [0] 12 4" xfId="1174"/>
    <cellStyle name="쉼표 [0] 12 4 2" xfId="1175"/>
    <cellStyle name="쉼표 [0] 12 4 2 2" xfId="1176"/>
    <cellStyle name="쉼표 [0] 12 4 2 2 2" xfId="1177"/>
    <cellStyle name="쉼표 [0] 12 4 3" xfId="1178"/>
    <cellStyle name="쉼표 [0] 12 4 4" xfId="1179"/>
    <cellStyle name="쉼표 [0] 12 4 5" xfId="1180"/>
    <cellStyle name="쉼표 [0] 12 4 6" xfId="1181"/>
    <cellStyle name="쉼표 [0] 12 5" xfId="1182"/>
    <cellStyle name="쉼표 [0] 12 5 2" xfId="1183"/>
    <cellStyle name="쉼표 [0] 12 5 2 2" xfId="1184"/>
    <cellStyle name="쉼표 [0] 12 6" xfId="1185"/>
    <cellStyle name="쉼표 [0] 12 7" xfId="1186"/>
    <cellStyle name="쉼표 [0] 12 8" xfId="1187"/>
    <cellStyle name="쉼표 [0] 12 9" xfId="1188"/>
    <cellStyle name="쉼표 [0] 13" xfId="1189"/>
    <cellStyle name="쉼표 [0] 13 10" xfId="1190"/>
    <cellStyle name="쉼표 [0] 13 11" xfId="1191"/>
    <cellStyle name="쉼표 [0] 13 12" xfId="1192"/>
    <cellStyle name="쉼표 [0] 13 2" xfId="1193"/>
    <cellStyle name="쉼표 [0] 13 2 2" xfId="1194"/>
    <cellStyle name="쉼표 [0] 13 2 2 2" xfId="1195"/>
    <cellStyle name="쉼표 [0] 13 2 2 2 2" xfId="1196"/>
    <cellStyle name="쉼표 [0] 13 2 3" xfId="1197"/>
    <cellStyle name="쉼표 [0] 13 2 4" xfId="1198"/>
    <cellStyle name="쉼표 [0] 13 2 5" xfId="1199"/>
    <cellStyle name="쉼표 [0] 13 2 6" xfId="1200"/>
    <cellStyle name="쉼표 [0] 13 3" xfId="1201"/>
    <cellStyle name="쉼표 [0] 13 3 2" xfId="1202"/>
    <cellStyle name="쉼표 [0] 13 3 2 2" xfId="1203"/>
    <cellStyle name="쉼표 [0] 13 3 2 2 2" xfId="1204"/>
    <cellStyle name="쉼표 [0] 13 3 3" xfId="1205"/>
    <cellStyle name="쉼표 [0] 13 3 4" xfId="1206"/>
    <cellStyle name="쉼표 [0] 13 3 5" xfId="1207"/>
    <cellStyle name="쉼표 [0] 13 3 6" xfId="1208"/>
    <cellStyle name="쉼표 [0] 13 4" xfId="1209"/>
    <cellStyle name="쉼표 [0] 13 4 2" xfId="1210"/>
    <cellStyle name="쉼표 [0] 13 4 2 2" xfId="1211"/>
    <cellStyle name="쉼표 [0] 13 4 2 2 2" xfId="1212"/>
    <cellStyle name="쉼표 [0] 13 4 3" xfId="1213"/>
    <cellStyle name="쉼표 [0] 13 4 4" xfId="1214"/>
    <cellStyle name="쉼표 [0] 13 4 5" xfId="1215"/>
    <cellStyle name="쉼표 [0] 13 4 6" xfId="1216"/>
    <cellStyle name="쉼표 [0] 13 5" xfId="1217"/>
    <cellStyle name="쉼표 [0] 13 5 2" xfId="1218"/>
    <cellStyle name="쉼표 [0] 13 5 2 2" xfId="1219"/>
    <cellStyle name="쉼표 [0] 13 5 2 2 2" xfId="1220"/>
    <cellStyle name="쉼표 [0] 13 5 3" xfId="1221"/>
    <cellStyle name="쉼표 [0] 13 5 4" xfId="1222"/>
    <cellStyle name="쉼표 [0] 13 5 5" xfId="1223"/>
    <cellStyle name="쉼표 [0] 13 5 6" xfId="1224"/>
    <cellStyle name="쉼표 [0] 13 6" xfId="1225"/>
    <cellStyle name="쉼표 [0] 13 6 2" xfId="1226"/>
    <cellStyle name="쉼표 [0] 13 6 2 2" xfId="1227"/>
    <cellStyle name="쉼표 [0] 13 6 2 2 2" xfId="1228"/>
    <cellStyle name="쉼표 [0] 13 6 3" xfId="1229"/>
    <cellStyle name="쉼표 [0] 13 6 4" xfId="1230"/>
    <cellStyle name="쉼표 [0] 13 6 5" xfId="1231"/>
    <cellStyle name="쉼표 [0] 13 6 6" xfId="1232"/>
    <cellStyle name="쉼표 [0] 13 7" xfId="1233"/>
    <cellStyle name="쉼표 [0] 13 7 2" xfId="1234"/>
    <cellStyle name="쉼표 [0] 13 7 2 2" xfId="1235"/>
    <cellStyle name="쉼표 [0] 13 7 2 2 2" xfId="1236"/>
    <cellStyle name="쉼표 [0] 13 7 3" xfId="1237"/>
    <cellStyle name="쉼표 [0] 13 7 4" xfId="1238"/>
    <cellStyle name="쉼표 [0] 13 7 5" xfId="1239"/>
    <cellStyle name="쉼표 [0] 13 7 6" xfId="1240"/>
    <cellStyle name="쉼표 [0] 13 8" xfId="1241"/>
    <cellStyle name="쉼표 [0] 13 8 2" xfId="1242"/>
    <cellStyle name="쉼표 [0] 13 8 2 2" xfId="1243"/>
    <cellStyle name="쉼표 [0] 13 9" xfId="1244"/>
    <cellStyle name="쉼표 [0] 14" xfId="3115"/>
    <cellStyle name="쉼표 [0] 14 2" xfId="1245"/>
    <cellStyle name="쉼표 [0] 14 3" xfId="1246"/>
    <cellStyle name="쉼표 [0] 15" xfId="1247"/>
    <cellStyle name="쉼표 [0] 16" xfId="1248"/>
    <cellStyle name="쉼표 [0] 17" xfId="1249"/>
    <cellStyle name="쉼표 [0] 18" xfId="1250"/>
    <cellStyle name="쉼표 [0] 19" xfId="1251"/>
    <cellStyle name="쉼표 [0] 2" xfId="4"/>
    <cellStyle name="쉼표 [0] 2 10" xfId="1253"/>
    <cellStyle name="쉼표 [0] 2 10 2" xfId="1254"/>
    <cellStyle name="쉼표 [0] 2 10 2 2" xfId="1255"/>
    <cellStyle name="쉼표 [0] 2 10 2 2 2" xfId="1256"/>
    <cellStyle name="쉼표 [0] 2 10 2 3" xfId="1257"/>
    <cellStyle name="쉼표 [0] 2 10 3" xfId="1258"/>
    <cellStyle name="쉼표 [0] 2 10 4" xfId="1259"/>
    <cellStyle name="쉼표 [0] 2 10 5" xfId="1260"/>
    <cellStyle name="쉼표 [0] 2 10 6" xfId="1261"/>
    <cellStyle name="쉼표 [0] 2 10 7" xfId="1262"/>
    <cellStyle name="쉼표 [0] 2 11" xfId="1263"/>
    <cellStyle name="쉼표 [0] 2 11 2" xfId="1264"/>
    <cellStyle name="쉼표 [0] 2 11 2 2" xfId="1265"/>
    <cellStyle name="쉼표 [0] 2 11 2 2 2" xfId="1266"/>
    <cellStyle name="쉼표 [0] 2 11 2 3" xfId="1267"/>
    <cellStyle name="쉼표 [0] 2 11 3" xfId="1268"/>
    <cellStyle name="쉼표 [0] 2 11 4" xfId="1269"/>
    <cellStyle name="쉼표 [0] 2 11 5" xfId="1270"/>
    <cellStyle name="쉼표 [0] 2 11 6" xfId="1271"/>
    <cellStyle name="쉼표 [0] 2 11 7" xfId="1272"/>
    <cellStyle name="쉼표 [0] 2 12" xfId="1273"/>
    <cellStyle name="쉼표 [0] 2 12 2" xfId="1274"/>
    <cellStyle name="쉼표 [0] 2 12 2 2" xfId="1275"/>
    <cellStyle name="쉼표 [0] 2 12 2 2 2" xfId="1276"/>
    <cellStyle name="쉼표 [0] 2 12 2 3" xfId="1277"/>
    <cellStyle name="쉼표 [0] 2 12 3" xfId="1278"/>
    <cellStyle name="쉼표 [0] 2 12 4" xfId="1279"/>
    <cellStyle name="쉼표 [0] 2 12 5" xfId="1280"/>
    <cellStyle name="쉼표 [0] 2 12 6" xfId="1281"/>
    <cellStyle name="쉼표 [0] 2 12 7" xfId="1282"/>
    <cellStyle name="쉼표 [0] 2 13" xfId="1283"/>
    <cellStyle name="쉼표 [0] 2 13 2" xfId="1284"/>
    <cellStyle name="쉼표 [0] 2 13 2 2" xfId="1285"/>
    <cellStyle name="쉼표 [0] 2 13 2 2 2" xfId="1286"/>
    <cellStyle name="쉼표 [0] 2 13 2 3" xfId="1287"/>
    <cellStyle name="쉼표 [0] 2 13 3" xfId="1288"/>
    <cellStyle name="쉼표 [0] 2 13 4" xfId="1289"/>
    <cellStyle name="쉼표 [0] 2 13 5" xfId="1290"/>
    <cellStyle name="쉼표 [0] 2 13 6" xfId="1291"/>
    <cellStyle name="쉼표 [0] 2 13 7" xfId="1292"/>
    <cellStyle name="쉼표 [0] 2 14" xfId="1293"/>
    <cellStyle name="쉼표 [0] 2 14 2" xfId="1294"/>
    <cellStyle name="쉼표 [0] 2 14 2 2" xfId="1295"/>
    <cellStyle name="쉼표 [0] 2 14 2 2 2" xfId="1296"/>
    <cellStyle name="쉼표 [0] 2 14 2 3" xfId="1297"/>
    <cellStyle name="쉼표 [0] 2 14 3" xfId="1298"/>
    <cellStyle name="쉼표 [0] 2 14 4" xfId="1299"/>
    <cellStyle name="쉼표 [0] 2 14 5" xfId="1300"/>
    <cellStyle name="쉼표 [0] 2 14 6" xfId="1301"/>
    <cellStyle name="쉼표 [0] 2 14 7" xfId="1302"/>
    <cellStyle name="쉼표 [0] 2 15" xfId="1303"/>
    <cellStyle name="쉼표 [0] 2 15 2" xfId="1304"/>
    <cellStyle name="쉼표 [0] 2 15 2 2" xfId="1305"/>
    <cellStyle name="쉼표 [0] 2 15 2 2 2" xfId="1306"/>
    <cellStyle name="쉼표 [0] 2 15 2 3" xfId="1307"/>
    <cellStyle name="쉼표 [0] 2 15 3" xfId="1308"/>
    <cellStyle name="쉼표 [0] 2 15 4" xfId="1309"/>
    <cellStyle name="쉼표 [0] 2 15 5" xfId="1310"/>
    <cellStyle name="쉼표 [0] 2 15 6" xfId="1311"/>
    <cellStyle name="쉼표 [0] 2 15 7" xfId="1312"/>
    <cellStyle name="쉼표 [0] 2 16" xfId="1313"/>
    <cellStyle name="쉼표 [0] 2 16 2" xfId="1314"/>
    <cellStyle name="쉼표 [0] 2 16 2 2" xfId="1315"/>
    <cellStyle name="쉼표 [0] 2 16 2 2 2" xfId="1316"/>
    <cellStyle name="쉼표 [0] 2 16 2 3" xfId="1317"/>
    <cellStyle name="쉼표 [0] 2 16 3" xfId="1318"/>
    <cellStyle name="쉼표 [0] 2 16 4" xfId="1319"/>
    <cellStyle name="쉼표 [0] 2 16 5" xfId="1320"/>
    <cellStyle name="쉼표 [0] 2 16 6" xfId="1321"/>
    <cellStyle name="쉼표 [0] 2 16 7" xfId="1322"/>
    <cellStyle name="쉼표 [0] 2 17" xfId="1323"/>
    <cellStyle name="쉼표 [0] 2 17 2" xfId="1324"/>
    <cellStyle name="쉼표 [0] 2 17 2 2" xfId="1325"/>
    <cellStyle name="쉼표 [0] 2 17 2 2 2" xfId="1326"/>
    <cellStyle name="쉼표 [0] 2 17 2 3" xfId="1327"/>
    <cellStyle name="쉼표 [0] 2 17 3" xfId="1328"/>
    <cellStyle name="쉼표 [0] 2 17 4" xfId="1329"/>
    <cellStyle name="쉼표 [0] 2 17 5" xfId="1330"/>
    <cellStyle name="쉼표 [0] 2 17 6" xfId="1331"/>
    <cellStyle name="쉼표 [0] 2 17 7" xfId="1332"/>
    <cellStyle name="쉼표 [0] 2 18" xfId="1333"/>
    <cellStyle name="쉼표 [0] 2 18 2" xfId="1334"/>
    <cellStyle name="쉼표 [0] 2 18 2 2" xfId="1335"/>
    <cellStyle name="쉼표 [0] 2 18 2 2 2" xfId="1336"/>
    <cellStyle name="쉼표 [0] 2 18 2 3" xfId="1337"/>
    <cellStyle name="쉼표 [0] 2 18 3" xfId="1338"/>
    <cellStyle name="쉼표 [0] 2 18 4" xfId="1339"/>
    <cellStyle name="쉼표 [0] 2 18 5" xfId="1340"/>
    <cellStyle name="쉼표 [0] 2 18 6" xfId="1341"/>
    <cellStyle name="쉼표 [0] 2 18 7" xfId="1342"/>
    <cellStyle name="쉼표 [0] 2 19" xfId="1343"/>
    <cellStyle name="쉼표 [0] 2 19 10" xfId="1344"/>
    <cellStyle name="쉼표 [0] 2 19 11" xfId="1345"/>
    <cellStyle name="쉼표 [0] 2 19 12" xfId="1346"/>
    <cellStyle name="쉼표 [0] 2 19 2" xfId="1347"/>
    <cellStyle name="쉼표 [0] 2 19 2 10" xfId="1348"/>
    <cellStyle name="쉼표 [0] 2 19 2 10 2" xfId="1349"/>
    <cellStyle name="쉼표 [0] 2 19 2 11" xfId="1350"/>
    <cellStyle name="쉼표 [0] 2 19 2 11 2" xfId="1351"/>
    <cellStyle name="쉼표 [0] 2 19 2 12" xfId="1352"/>
    <cellStyle name="쉼표 [0] 2 19 2 12 2" xfId="1353"/>
    <cellStyle name="쉼표 [0] 2 19 2 13" xfId="1354"/>
    <cellStyle name="쉼표 [0] 2 19 2 14" xfId="1355"/>
    <cellStyle name="쉼표 [0] 2 19 2 15" xfId="1356"/>
    <cellStyle name="쉼표 [0] 2 19 2 16" xfId="1357"/>
    <cellStyle name="쉼표 [0] 2 19 2 17" xfId="1358"/>
    <cellStyle name="쉼표 [0] 2 19 2 2" xfId="1359"/>
    <cellStyle name="쉼표 [0] 2 19 2 2 2" xfId="1360"/>
    <cellStyle name="쉼표 [0] 2 19 2 2 2 2" xfId="1361"/>
    <cellStyle name="쉼표 [0] 2 19 2 2 3" xfId="1362"/>
    <cellStyle name="쉼표 [0] 2 19 2 2 3 2" xfId="1363"/>
    <cellStyle name="쉼표 [0] 2 19 2 3" xfId="1364"/>
    <cellStyle name="쉼표 [0] 2 19 2 3 2" xfId="1365"/>
    <cellStyle name="쉼표 [0] 2 19 2 4" xfId="1366"/>
    <cellStyle name="쉼표 [0] 2 19 2 4 2" xfId="1367"/>
    <cellStyle name="쉼표 [0] 2 19 2 5" xfId="1368"/>
    <cellStyle name="쉼표 [0] 2 19 2 5 2" xfId="1369"/>
    <cellStyle name="쉼표 [0] 2 19 2 6" xfId="1370"/>
    <cellStyle name="쉼표 [0] 2 19 2 6 2" xfId="1371"/>
    <cellStyle name="쉼표 [0] 2 19 2 7" xfId="1372"/>
    <cellStyle name="쉼표 [0] 2 19 2 7 2" xfId="1373"/>
    <cellStyle name="쉼표 [0] 2 19 2 8" xfId="1374"/>
    <cellStyle name="쉼표 [0] 2 19 2 8 2" xfId="1375"/>
    <cellStyle name="쉼표 [0] 2 19 2 9" xfId="1376"/>
    <cellStyle name="쉼표 [0] 2 19 2 9 2" xfId="1377"/>
    <cellStyle name="쉼표 [0] 2 19 3" xfId="1378"/>
    <cellStyle name="쉼표 [0] 2 19 3 2" xfId="1379"/>
    <cellStyle name="쉼표 [0] 2 19 3 3" xfId="1380"/>
    <cellStyle name="쉼표 [0] 2 19 4" xfId="1381"/>
    <cellStyle name="쉼표 [0] 2 19 5" xfId="1382"/>
    <cellStyle name="쉼표 [0] 2 19 6" xfId="1383"/>
    <cellStyle name="쉼표 [0] 2 19 7" xfId="1384"/>
    <cellStyle name="쉼표 [0] 2 19 8" xfId="1385"/>
    <cellStyle name="쉼표 [0] 2 19 9" xfId="1386"/>
    <cellStyle name="쉼표 [0] 2 2" xfId="1387"/>
    <cellStyle name="쉼표 [0] 2 2 2" xfId="1388"/>
    <cellStyle name="쉼표 [0] 2 2 2 2" xfId="1389"/>
    <cellStyle name="쉼표 [0] 2 2 2 2 2" xfId="1390"/>
    <cellStyle name="쉼표 [0] 2 2 2 2 2 2" xfId="1391"/>
    <cellStyle name="쉼표 [0] 2 2 2 3" xfId="1392"/>
    <cellStyle name="쉼표 [0] 2 2 2 3 2" xfId="1393"/>
    <cellStyle name="쉼표 [0] 2 2 2 4" xfId="1394"/>
    <cellStyle name="쉼표 [0] 2 2 3" xfId="1395"/>
    <cellStyle name="쉼표 [0] 2 2 3 2" xfId="3218"/>
    <cellStyle name="쉼표 [0] 2 2 4" xfId="1396"/>
    <cellStyle name="쉼표 [0] 2 2 5" xfId="1397"/>
    <cellStyle name="쉼표 [0] 2 2 6" xfId="1398"/>
    <cellStyle name="쉼표 [0] 2 2 7" xfId="1399"/>
    <cellStyle name="쉼표 [0] 2 20" xfId="1400"/>
    <cellStyle name="쉼표 [0] 2 20 2" xfId="1401"/>
    <cellStyle name="쉼표 [0] 2 20 2 2" xfId="1402"/>
    <cellStyle name="쉼표 [0] 2 20 2 2 2" xfId="1403"/>
    <cellStyle name="쉼표 [0] 2 20 2 3" xfId="1404"/>
    <cellStyle name="쉼표 [0] 2 20 3" xfId="1405"/>
    <cellStyle name="쉼표 [0] 2 20 4" xfId="1406"/>
    <cellStyle name="쉼표 [0] 2 20 5" xfId="1407"/>
    <cellStyle name="쉼표 [0] 2 20 6" xfId="1408"/>
    <cellStyle name="쉼표 [0] 2 20 7" xfId="1409"/>
    <cellStyle name="쉼표 [0] 2 21" xfId="1410"/>
    <cellStyle name="쉼표 [0] 2 21 10" xfId="1411"/>
    <cellStyle name="쉼표 [0] 2 21 11" xfId="1412"/>
    <cellStyle name="쉼표 [0] 2 21 12" xfId="1413"/>
    <cellStyle name="쉼표 [0] 2 21 2" xfId="1414"/>
    <cellStyle name="쉼표 [0] 2 21 2 2" xfId="1415"/>
    <cellStyle name="쉼표 [0] 2 21 2 3" xfId="1416"/>
    <cellStyle name="쉼표 [0] 2 21 3" xfId="1417"/>
    <cellStyle name="쉼표 [0] 2 21 4" xfId="1418"/>
    <cellStyle name="쉼표 [0] 2 21 5" xfId="1419"/>
    <cellStyle name="쉼표 [0] 2 21 6" xfId="1420"/>
    <cellStyle name="쉼표 [0] 2 21 7" xfId="1421"/>
    <cellStyle name="쉼표 [0] 2 21 8" xfId="1422"/>
    <cellStyle name="쉼표 [0] 2 21 9" xfId="1423"/>
    <cellStyle name="쉼표 [0] 2 22" xfId="1424"/>
    <cellStyle name="쉼표 [0] 2 22 2" xfId="1425"/>
    <cellStyle name="쉼표 [0] 2 22 2 2" xfId="1426"/>
    <cellStyle name="쉼표 [0] 2 22 2 2 2" xfId="1427"/>
    <cellStyle name="쉼표 [0] 2 22 2 3" xfId="1428"/>
    <cellStyle name="쉼표 [0] 2 22 3" xfId="1429"/>
    <cellStyle name="쉼표 [0] 2 22 4" xfId="1430"/>
    <cellStyle name="쉼표 [0] 2 22 5" xfId="1431"/>
    <cellStyle name="쉼표 [0] 2 22 6" xfId="1432"/>
    <cellStyle name="쉼표 [0] 2 22 7" xfId="1433"/>
    <cellStyle name="쉼표 [0] 2 23" xfId="1434"/>
    <cellStyle name="쉼표 [0] 2 23 2" xfId="1435"/>
    <cellStyle name="쉼표 [0] 2 23 2 2" xfId="1436"/>
    <cellStyle name="쉼표 [0] 2 23 2 2 2" xfId="1437"/>
    <cellStyle name="쉼표 [0] 2 23 2 3" xfId="1438"/>
    <cellStyle name="쉼표 [0] 2 23 3" xfId="1439"/>
    <cellStyle name="쉼표 [0] 2 23 4" xfId="1440"/>
    <cellStyle name="쉼표 [0] 2 23 5" xfId="1441"/>
    <cellStyle name="쉼표 [0] 2 23 6" xfId="1442"/>
    <cellStyle name="쉼표 [0] 2 23 7" xfId="1443"/>
    <cellStyle name="쉼표 [0] 2 24" xfId="1444"/>
    <cellStyle name="쉼표 [0] 2 24 2" xfId="1445"/>
    <cellStyle name="쉼표 [0] 2 24 2 2" xfId="1446"/>
    <cellStyle name="쉼표 [0] 2 24 2 2 2" xfId="1447"/>
    <cellStyle name="쉼표 [0] 2 24 2 3" xfId="1448"/>
    <cellStyle name="쉼표 [0] 2 24 3" xfId="1449"/>
    <cellStyle name="쉼표 [0] 2 24 4" xfId="1450"/>
    <cellStyle name="쉼표 [0] 2 24 5" xfId="1451"/>
    <cellStyle name="쉼표 [0] 2 24 6" xfId="1452"/>
    <cellStyle name="쉼표 [0] 2 24 7" xfId="1453"/>
    <cellStyle name="쉼표 [0] 2 25" xfId="1454"/>
    <cellStyle name="쉼표 [0] 2 25 2" xfId="1455"/>
    <cellStyle name="쉼표 [0] 2 25 2 2" xfId="1456"/>
    <cellStyle name="쉼표 [0] 2 25 2 2 2" xfId="1457"/>
    <cellStyle name="쉼표 [0] 2 25 2 3" xfId="1458"/>
    <cellStyle name="쉼표 [0] 2 25 3" xfId="1459"/>
    <cellStyle name="쉼표 [0] 2 25 4" xfId="1460"/>
    <cellStyle name="쉼표 [0] 2 25 5" xfId="1461"/>
    <cellStyle name="쉼표 [0] 2 25 6" xfId="1462"/>
    <cellStyle name="쉼표 [0] 2 25 7" xfId="1463"/>
    <cellStyle name="쉼표 [0] 2 26" xfId="1464"/>
    <cellStyle name="쉼표 [0] 2 26 2" xfId="1465"/>
    <cellStyle name="쉼표 [0] 2 26 2 2" xfId="1466"/>
    <cellStyle name="쉼표 [0] 2 26 2 2 2" xfId="1467"/>
    <cellStyle name="쉼표 [0] 2 26 2 3" xfId="1468"/>
    <cellStyle name="쉼표 [0] 2 26 3" xfId="1469"/>
    <cellStyle name="쉼표 [0] 2 26 4" xfId="1470"/>
    <cellStyle name="쉼표 [0] 2 26 5" xfId="1471"/>
    <cellStyle name="쉼표 [0] 2 26 6" xfId="1472"/>
    <cellStyle name="쉼표 [0] 2 26 7" xfId="1473"/>
    <cellStyle name="쉼표 [0] 2 27" xfId="1474"/>
    <cellStyle name="쉼표 [0] 2 27 2" xfId="1475"/>
    <cellStyle name="쉼표 [0] 2 27 2 2" xfId="1476"/>
    <cellStyle name="쉼표 [0] 2 27 2 2 2" xfId="1477"/>
    <cellStyle name="쉼표 [0] 2 27 2 3" xfId="1478"/>
    <cellStyle name="쉼표 [0] 2 27 3" xfId="1479"/>
    <cellStyle name="쉼표 [0] 2 27 4" xfId="1480"/>
    <cellStyle name="쉼표 [0] 2 27 5" xfId="1481"/>
    <cellStyle name="쉼표 [0] 2 27 6" xfId="1482"/>
    <cellStyle name="쉼표 [0] 2 27 7" xfId="1483"/>
    <cellStyle name="쉼표 [0] 2 28" xfId="1484"/>
    <cellStyle name="쉼표 [0] 2 28 2" xfId="1485"/>
    <cellStyle name="쉼표 [0] 2 28 2 2" xfId="1486"/>
    <cellStyle name="쉼표 [0] 2 28 2 2 2" xfId="1487"/>
    <cellStyle name="쉼표 [0] 2 28 2 3" xfId="1488"/>
    <cellStyle name="쉼표 [0] 2 28 3" xfId="1489"/>
    <cellStyle name="쉼표 [0] 2 28 4" xfId="1490"/>
    <cellStyle name="쉼표 [0] 2 28 5" xfId="1491"/>
    <cellStyle name="쉼표 [0] 2 28 6" xfId="1492"/>
    <cellStyle name="쉼표 [0] 2 28 7" xfId="1493"/>
    <cellStyle name="쉼표 [0] 2 29" xfId="1494"/>
    <cellStyle name="쉼표 [0] 2 29 2" xfId="1495"/>
    <cellStyle name="쉼표 [0] 2 29 2 2" xfId="1496"/>
    <cellStyle name="쉼표 [0] 2 29 2 2 2" xfId="1497"/>
    <cellStyle name="쉼표 [0] 2 29 2 3" xfId="1498"/>
    <cellStyle name="쉼표 [0] 2 29 3" xfId="1499"/>
    <cellStyle name="쉼표 [0] 2 29 4" xfId="1500"/>
    <cellStyle name="쉼표 [0] 2 29 5" xfId="1501"/>
    <cellStyle name="쉼표 [0] 2 29 6" xfId="1502"/>
    <cellStyle name="쉼표 [0] 2 29 7" xfId="1503"/>
    <cellStyle name="쉼표 [0] 2 3" xfId="1504"/>
    <cellStyle name="쉼표 [0] 2 3 2" xfId="1505"/>
    <cellStyle name="쉼표 [0] 2 3 2 2" xfId="1506"/>
    <cellStyle name="쉼표 [0] 2 3 2 2 2" xfId="1507"/>
    <cellStyle name="쉼표 [0] 2 3 2 3" xfId="1508"/>
    <cellStyle name="쉼표 [0] 2 3 3" xfId="1509"/>
    <cellStyle name="쉼표 [0] 2 3 4" xfId="1510"/>
    <cellStyle name="쉼표 [0] 2 3 5" xfId="1511"/>
    <cellStyle name="쉼표 [0] 2 3 6" xfId="1512"/>
    <cellStyle name="쉼표 [0] 2 3 7" xfId="1513"/>
    <cellStyle name="쉼표 [0] 2 30" xfId="1514"/>
    <cellStyle name="쉼표 [0] 2 30 2" xfId="1515"/>
    <cellStyle name="쉼표 [0] 2 30 2 2" xfId="1516"/>
    <cellStyle name="쉼표 [0] 2 30 3" xfId="1517"/>
    <cellStyle name="쉼표 [0] 2 30 3 2" xfId="1518"/>
    <cellStyle name="쉼표 [0] 2 31" xfId="1519"/>
    <cellStyle name="쉼표 [0] 2 31 2" xfId="1520"/>
    <cellStyle name="쉼표 [0] 2 32" xfId="1521"/>
    <cellStyle name="쉼표 [0] 2 32 2" xfId="1522"/>
    <cellStyle name="쉼표 [0] 2 33" xfId="1523"/>
    <cellStyle name="쉼표 [0] 2 33 2" xfId="1524"/>
    <cellStyle name="쉼표 [0] 2 34" xfId="1525"/>
    <cellStyle name="쉼표 [0] 2 34 2" xfId="1526"/>
    <cellStyle name="쉼표 [0] 2 35" xfId="1527"/>
    <cellStyle name="쉼표 [0] 2 35 2" xfId="1528"/>
    <cellStyle name="쉼표 [0] 2 36" xfId="1529"/>
    <cellStyle name="쉼표 [0] 2 36 2" xfId="1530"/>
    <cellStyle name="쉼표 [0] 2 37" xfId="1531"/>
    <cellStyle name="쉼표 [0] 2 37 2" xfId="1532"/>
    <cellStyle name="쉼표 [0] 2 38" xfId="1533"/>
    <cellStyle name="쉼표 [0] 2 38 2" xfId="1534"/>
    <cellStyle name="쉼표 [0] 2 39" xfId="1535"/>
    <cellStyle name="쉼표 [0] 2 39 2" xfId="1536"/>
    <cellStyle name="쉼표 [0] 2 4" xfId="1537"/>
    <cellStyle name="쉼표 [0] 2 4 2" xfId="1538"/>
    <cellStyle name="쉼표 [0] 2 4 2 2" xfId="1539"/>
    <cellStyle name="쉼표 [0] 2 4 2 2 2" xfId="1540"/>
    <cellStyle name="쉼표 [0] 2 4 2 3" xfId="1541"/>
    <cellStyle name="쉼표 [0] 2 4 3" xfId="1542"/>
    <cellStyle name="쉼표 [0] 2 4 4" xfId="1543"/>
    <cellStyle name="쉼표 [0] 2 4 5" xfId="1544"/>
    <cellStyle name="쉼표 [0] 2 4 6" xfId="1545"/>
    <cellStyle name="쉼표 [0] 2 4 7" xfId="1546"/>
    <cellStyle name="쉼표 [0] 2 40" xfId="1547"/>
    <cellStyle name="쉼표 [0] 2 40 2" xfId="1548"/>
    <cellStyle name="쉼표 [0] 2 41" xfId="1549"/>
    <cellStyle name="쉼표 [0] 2 41 2" xfId="1550"/>
    <cellStyle name="쉼표 [0] 2 42" xfId="1551"/>
    <cellStyle name="쉼표 [0] 2 42 2" xfId="1552"/>
    <cellStyle name="쉼표 [0] 2 43" xfId="1553"/>
    <cellStyle name="쉼표 [0] 2 43 2" xfId="1554"/>
    <cellStyle name="쉼표 [0] 2 44" xfId="1555"/>
    <cellStyle name="쉼표 [0] 2 44 2" xfId="1556"/>
    <cellStyle name="쉼표 [0] 2 45" xfId="1557"/>
    <cellStyle name="쉼표 [0] 2 45 2" xfId="1558"/>
    <cellStyle name="쉼표 [0] 2 46" xfId="1559"/>
    <cellStyle name="쉼표 [0] 2 46 2" xfId="1560"/>
    <cellStyle name="쉼표 [0] 2 47" xfId="1561"/>
    <cellStyle name="쉼표 [0] 2 47 2" xfId="1562"/>
    <cellStyle name="쉼표 [0] 2 48" xfId="1563"/>
    <cellStyle name="쉼표 [0] 2 48 2" xfId="1564"/>
    <cellStyle name="쉼표 [0] 2 49" xfId="1565"/>
    <cellStyle name="쉼표 [0] 2 49 2" xfId="1566"/>
    <cellStyle name="쉼표 [0] 2 5" xfId="1567"/>
    <cellStyle name="쉼표 [0] 2 5 2" xfId="1568"/>
    <cellStyle name="쉼표 [0] 2 5 2 2" xfId="1569"/>
    <cellStyle name="쉼표 [0] 2 5 2 2 2" xfId="1570"/>
    <cellStyle name="쉼표 [0] 2 5 2 3" xfId="1571"/>
    <cellStyle name="쉼표 [0] 2 5 3" xfId="1572"/>
    <cellStyle name="쉼표 [0] 2 5 4" xfId="1573"/>
    <cellStyle name="쉼표 [0] 2 5 5" xfId="1574"/>
    <cellStyle name="쉼표 [0] 2 5 6" xfId="1575"/>
    <cellStyle name="쉼표 [0] 2 5 7" xfId="1576"/>
    <cellStyle name="쉼표 [0] 2 50" xfId="1577"/>
    <cellStyle name="쉼표 [0] 2 51" xfId="1578"/>
    <cellStyle name="쉼표 [0] 2 52" xfId="3146"/>
    <cellStyle name="쉼표 [0] 2 53" xfId="1252"/>
    <cellStyle name="쉼표 [0] 2 6" xfId="1579"/>
    <cellStyle name="쉼표 [0] 2 6 2" xfId="1580"/>
    <cellStyle name="쉼표 [0] 2 6 2 2" xfId="1581"/>
    <cellStyle name="쉼표 [0] 2 6 2 2 2" xfId="1582"/>
    <cellStyle name="쉼표 [0] 2 6 2 3" xfId="1583"/>
    <cellStyle name="쉼표 [0] 2 6 3" xfId="1584"/>
    <cellStyle name="쉼표 [0] 2 6 4" xfId="1585"/>
    <cellStyle name="쉼표 [0] 2 6 5" xfId="1586"/>
    <cellStyle name="쉼표 [0] 2 6 6" xfId="1587"/>
    <cellStyle name="쉼표 [0] 2 6 7" xfId="1588"/>
    <cellStyle name="쉼표 [0] 2 7" xfId="1589"/>
    <cellStyle name="쉼표 [0] 2 7 2" xfId="1590"/>
    <cellStyle name="쉼표 [0] 2 7 2 2" xfId="1591"/>
    <cellStyle name="쉼표 [0] 2 7 2 2 2" xfId="1592"/>
    <cellStyle name="쉼표 [0] 2 7 2 3" xfId="1593"/>
    <cellStyle name="쉼표 [0] 2 7 3" xfId="1594"/>
    <cellStyle name="쉼표 [0] 2 7 4" xfId="1595"/>
    <cellStyle name="쉼표 [0] 2 7 5" xfId="1596"/>
    <cellStyle name="쉼표 [0] 2 7 6" xfId="1597"/>
    <cellStyle name="쉼표 [0] 2 7 7" xfId="1598"/>
    <cellStyle name="쉼표 [0] 2 8" xfId="1599"/>
    <cellStyle name="쉼표 [0] 2 8 2" xfId="1600"/>
    <cellStyle name="쉼표 [0] 2 8 2 2" xfId="1601"/>
    <cellStyle name="쉼표 [0] 2 8 2 2 2" xfId="1602"/>
    <cellStyle name="쉼표 [0] 2 8 2 3" xfId="1603"/>
    <cellStyle name="쉼표 [0] 2 8 3" xfId="1604"/>
    <cellStyle name="쉼표 [0] 2 8 4" xfId="1605"/>
    <cellStyle name="쉼표 [0] 2 8 5" xfId="1606"/>
    <cellStyle name="쉼표 [0] 2 8 6" xfId="1607"/>
    <cellStyle name="쉼표 [0] 2 8 7" xfId="1608"/>
    <cellStyle name="쉼표 [0] 2 9" xfId="1609"/>
    <cellStyle name="쉼표 [0] 2 9 2" xfId="1610"/>
    <cellStyle name="쉼표 [0] 2 9 2 2" xfId="1611"/>
    <cellStyle name="쉼표 [0] 2 9 2 2 2" xfId="1612"/>
    <cellStyle name="쉼표 [0] 2 9 2 3" xfId="1613"/>
    <cellStyle name="쉼표 [0] 2 9 3" xfId="1614"/>
    <cellStyle name="쉼표 [0] 2 9 4" xfId="1615"/>
    <cellStyle name="쉼표 [0] 2 9 5" xfId="1616"/>
    <cellStyle name="쉼표 [0] 2 9 6" xfId="1617"/>
    <cellStyle name="쉼표 [0] 2 9 7" xfId="1618"/>
    <cellStyle name="쉼표 [0] 20" xfId="1619"/>
    <cellStyle name="쉼표 [0] 21" xfId="1620"/>
    <cellStyle name="쉼표 [0] 21 2" xfId="1621"/>
    <cellStyle name="쉼표 [0] 21 2 2" xfId="1622"/>
    <cellStyle name="쉼표 [0] 21 2 3" xfId="1623"/>
    <cellStyle name="쉼표 [0] 21 2 4" xfId="1624"/>
    <cellStyle name="쉼표 [0] 21 2 5" xfId="1625"/>
    <cellStyle name="쉼표 [0] 21 2 5 2" xfId="1626"/>
    <cellStyle name="쉼표 [0] 21 2 6" xfId="1627"/>
    <cellStyle name="쉼표 [0] 21 3" xfId="1628"/>
    <cellStyle name="쉼표 [0] 21 3 2" xfId="1629"/>
    <cellStyle name="쉼표 [0] 21 3 3" xfId="1630"/>
    <cellStyle name="쉼표 [0] 21 3 4" xfId="1631"/>
    <cellStyle name="쉼표 [0] 21 3 5" xfId="1632"/>
    <cellStyle name="쉼표 [0] 21 4" xfId="1633"/>
    <cellStyle name="쉼표 [0] 21 4 2" xfId="1634"/>
    <cellStyle name="쉼표 [0] 21 4 3" xfId="1635"/>
    <cellStyle name="쉼표 [0] 21 4 4" xfId="1636"/>
    <cellStyle name="쉼표 [0] 21 4 5" xfId="1637"/>
    <cellStyle name="쉼표 [0] 22" xfId="1638"/>
    <cellStyle name="쉼표 [0] 23" xfId="1639"/>
    <cellStyle name="쉼표 [0] 24" xfId="1640"/>
    <cellStyle name="쉼표 [0] 25" xfId="1641"/>
    <cellStyle name="쉼표 [0] 26" xfId="1642"/>
    <cellStyle name="쉼표 [0] 27" xfId="1643"/>
    <cellStyle name="쉼표 [0] 27 2" xfId="1644"/>
    <cellStyle name="쉼표 [0] 28" xfId="1645"/>
    <cellStyle name="쉼표 [0] 29" xfId="1646"/>
    <cellStyle name="쉼표 [0] 3" xfId="1647"/>
    <cellStyle name="쉼표 [0] 3 10" xfId="1648"/>
    <cellStyle name="쉼표 [0] 3 10 2" xfId="1649"/>
    <cellStyle name="쉼표 [0] 3 10 2 2" xfId="1650"/>
    <cellStyle name="쉼표 [0] 3 11" xfId="1651"/>
    <cellStyle name="쉼표 [0] 3 12" xfId="1652"/>
    <cellStyle name="쉼표 [0] 3 13" xfId="1653"/>
    <cellStyle name="쉼표 [0] 3 14" xfId="1654"/>
    <cellStyle name="쉼표 [0] 3 15" xfId="1655"/>
    <cellStyle name="쉼표 [0] 3 16" xfId="1656"/>
    <cellStyle name="쉼표 [0] 3 17" xfId="1657"/>
    <cellStyle name="쉼표 [0] 3 18" xfId="1658"/>
    <cellStyle name="쉼표 [0] 3 19" xfId="1659"/>
    <cellStyle name="쉼표 [0] 3 2" xfId="1660"/>
    <cellStyle name="쉼표 [0] 3 2 10" xfId="1661"/>
    <cellStyle name="쉼표 [0] 3 2 10 2" xfId="1662"/>
    <cellStyle name="쉼표 [0] 3 2 10 2 2" xfId="1663"/>
    <cellStyle name="쉼표 [0] 3 2 10 2 2 2" xfId="1664"/>
    <cellStyle name="쉼표 [0] 3 2 10 3" xfId="1665"/>
    <cellStyle name="쉼표 [0] 3 2 10 4" xfId="1666"/>
    <cellStyle name="쉼표 [0] 3 2 10 5" xfId="1667"/>
    <cellStyle name="쉼표 [0] 3 2 10 6" xfId="1668"/>
    <cellStyle name="쉼표 [0] 3 2 11" xfId="1669"/>
    <cellStyle name="쉼표 [0] 3 2 11 2" xfId="1670"/>
    <cellStyle name="쉼표 [0] 3 2 11 2 2" xfId="1671"/>
    <cellStyle name="쉼표 [0] 3 2 11 2 2 2" xfId="1672"/>
    <cellStyle name="쉼표 [0] 3 2 11 3" xfId="1673"/>
    <cellStyle name="쉼표 [0] 3 2 11 4" xfId="1674"/>
    <cellStyle name="쉼표 [0] 3 2 11 5" xfId="1675"/>
    <cellStyle name="쉼표 [0] 3 2 11 6" xfId="1676"/>
    <cellStyle name="쉼표 [0] 3 2 12" xfId="1677"/>
    <cellStyle name="쉼표 [0] 3 2 12 2" xfId="1678"/>
    <cellStyle name="쉼표 [0] 3 2 12 2 2" xfId="1679"/>
    <cellStyle name="쉼표 [0] 3 2 12 2 2 2" xfId="1680"/>
    <cellStyle name="쉼표 [0] 3 2 12 3" xfId="1681"/>
    <cellStyle name="쉼표 [0] 3 2 12 4" xfId="1682"/>
    <cellStyle name="쉼표 [0] 3 2 12 5" xfId="1683"/>
    <cellStyle name="쉼표 [0] 3 2 12 6" xfId="1684"/>
    <cellStyle name="쉼표 [0] 3 2 13" xfId="1685"/>
    <cellStyle name="쉼표 [0] 3 2 13 2" xfId="1686"/>
    <cellStyle name="쉼표 [0] 3 2 13 2 2" xfId="1687"/>
    <cellStyle name="쉼표 [0] 3 2 13 2 2 2" xfId="1688"/>
    <cellStyle name="쉼표 [0] 3 2 13 3" xfId="1689"/>
    <cellStyle name="쉼표 [0] 3 2 13 4" xfId="1690"/>
    <cellStyle name="쉼표 [0] 3 2 13 5" xfId="1691"/>
    <cellStyle name="쉼표 [0] 3 2 13 6" xfId="1692"/>
    <cellStyle name="쉼표 [0] 3 2 14" xfId="1693"/>
    <cellStyle name="쉼표 [0] 3 2 14 2" xfId="1694"/>
    <cellStyle name="쉼표 [0] 3 2 14 2 2" xfId="1695"/>
    <cellStyle name="쉼표 [0] 3 2 14 2 2 2" xfId="1696"/>
    <cellStyle name="쉼표 [0] 3 2 14 3" xfId="1697"/>
    <cellStyle name="쉼표 [0] 3 2 14 4" xfId="1698"/>
    <cellStyle name="쉼표 [0] 3 2 14 5" xfId="1699"/>
    <cellStyle name="쉼표 [0] 3 2 14 6" xfId="1700"/>
    <cellStyle name="쉼표 [0] 3 2 15" xfId="1701"/>
    <cellStyle name="쉼표 [0] 3 2 15 2" xfId="1702"/>
    <cellStyle name="쉼표 [0] 3 2 15 2 2" xfId="1703"/>
    <cellStyle name="쉼표 [0] 3 2 15 2 2 2" xfId="1704"/>
    <cellStyle name="쉼표 [0] 3 2 15 3" xfId="1705"/>
    <cellStyle name="쉼표 [0] 3 2 15 4" xfId="1706"/>
    <cellStyle name="쉼표 [0] 3 2 15 5" xfId="1707"/>
    <cellStyle name="쉼표 [0] 3 2 15 6" xfId="1708"/>
    <cellStyle name="쉼표 [0] 3 2 16" xfId="1709"/>
    <cellStyle name="쉼표 [0] 3 2 16 2" xfId="1710"/>
    <cellStyle name="쉼표 [0] 3 2 16 2 2" xfId="1711"/>
    <cellStyle name="쉼표 [0] 3 2 16 2 2 2" xfId="1712"/>
    <cellStyle name="쉼표 [0] 3 2 16 3" xfId="1713"/>
    <cellStyle name="쉼표 [0] 3 2 16 4" xfId="1714"/>
    <cellStyle name="쉼표 [0] 3 2 16 5" xfId="1715"/>
    <cellStyle name="쉼표 [0] 3 2 16 6" xfId="1716"/>
    <cellStyle name="쉼표 [0] 3 2 17" xfId="1717"/>
    <cellStyle name="쉼표 [0] 3 2 17 2" xfId="1718"/>
    <cellStyle name="쉼표 [0] 3 2 17 2 2" xfId="1719"/>
    <cellStyle name="쉼표 [0] 3 2 17 2 2 2" xfId="1720"/>
    <cellStyle name="쉼표 [0] 3 2 17 3" xfId="1721"/>
    <cellStyle name="쉼표 [0] 3 2 17 4" xfId="1722"/>
    <cellStyle name="쉼표 [0] 3 2 17 5" xfId="1723"/>
    <cellStyle name="쉼표 [0] 3 2 17 6" xfId="1724"/>
    <cellStyle name="쉼표 [0] 3 2 18" xfId="1725"/>
    <cellStyle name="쉼표 [0] 3 2 18 2" xfId="1726"/>
    <cellStyle name="쉼표 [0] 3 2 18 2 2" xfId="1727"/>
    <cellStyle name="쉼표 [0] 3 2 18 2 2 2" xfId="1728"/>
    <cellStyle name="쉼표 [0] 3 2 18 3" xfId="1729"/>
    <cellStyle name="쉼표 [0] 3 2 18 4" xfId="1730"/>
    <cellStyle name="쉼표 [0] 3 2 18 5" xfId="1731"/>
    <cellStyle name="쉼표 [0] 3 2 18 6" xfId="1732"/>
    <cellStyle name="쉼표 [0] 3 2 19" xfId="1733"/>
    <cellStyle name="쉼표 [0] 3 2 19 2" xfId="1734"/>
    <cellStyle name="쉼표 [0] 3 2 19 2 2" xfId="1735"/>
    <cellStyle name="쉼표 [0] 3 2 19 2 2 2" xfId="1736"/>
    <cellStyle name="쉼표 [0] 3 2 19 3" xfId="1737"/>
    <cellStyle name="쉼표 [0] 3 2 19 4" xfId="1738"/>
    <cellStyle name="쉼표 [0] 3 2 19 5" xfId="1739"/>
    <cellStyle name="쉼표 [0] 3 2 19 6" xfId="1740"/>
    <cellStyle name="쉼표 [0] 3 2 2" xfId="1741"/>
    <cellStyle name="쉼표 [0] 3 2 2 2" xfId="1742"/>
    <cellStyle name="쉼표 [0] 3 2 2 2 2" xfId="1743"/>
    <cellStyle name="쉼표 [0] 3 2 2 2 2 2" xfId="1744"/>
    <cellStyle name="쉼표 [0] 3 2 2 2 2 3" xfId="1745"/>
    <cellStyle name="쉼표 [0] 3 2 2 2 2 4" xfId="1746"/>
    <cellStyle name="쉼표 [0] 3 2 2 2 2 5" xfId="1747"/>
    <cellStyle name="쉼표 [0] 3 2 2 2 2 5 2" xfId="1748"/>
    <cellStyle name="쉼표 [0] 3 2 2 2 2 6" xfId="1749"/>
    <cellStyle name="쉼표 [0] 3 2 2 2 3" xfId="1750"/>
    <cellStyle name="쉼표 [0] 3 2 2 2 3 2" xfId="1751"/>
    <cellStyle name="쉼표 [0] 3 2 2 2 3 3" xfId="1752"/>
    <cellStyle name="쉼표 [0] 3 2 2 2 3 4" xfId="1753"/>
    <cellStyle name="쉼표 [0] 3 2 2 2 3 5" xfId="1754"/>
    <cellStyle name="쉼표 [0] 3 2 2 2 4" xfId="1755"/>
    <cellStyle name="쉼표 [0] 3 2 2 2 4 2" xfId="1756"/>
    <cellStyle name="쉼표 [0] 3 2 2 2 4 3" xfId="1757"/>
    <cellStyle name="쉼표 [0] 3 2 2 2 4 4" xfId="1758"/>
    <cellStyle name="쉼표 [0] 3 2 2 2 4 5" xfId="1759"/>
    <cellStyle name="쉼표 [0] 3 2 2 2 5" xfId="1760"/>
    <cellStyle name="쉼표 [0] 3 2 2 3" xfId="1761"/>
    <cellStyle name="쉼표 [0] 3 2 2 4" xfId="1762"/>
    <cellStyle name="쉼표 [0] 3 2 2 5" xfId="1763"/>
    <cellStyle name="쉼표 [0] 3 2 2 6" xfId="1764"/>
    <cellStyle name="쉼표 [0] 3 2 2 7" xfId="1765"/>
    <cellStyle name="쉼표 [0] 3 2 2 8" xfId="1766"/>
    <cellStyle name="쉼표 [0] 3 2 2 9" xfId="1767"/>
    <cellStyle name="쉼표 [0] 3 2 20" xfId="1768"/>
    <cellStyle name="쉼표 [0] 3 2 20 2" xfId="1769"/>
    <cellStyle name="쉼표 [0] 3 2 20 2 2" xfId="1770"/>
    <cellStyle name="쉼표 [0] 3 2 20 2 2 2" xfId="1771"/>
    <cellStyle name="쉼표 [0] 3 2 20 3" xfId="1772"/>
    <cellStyle name="쉼표 [0] 3 2 20 4" xfId="1773"/>
    <cellStyle name="쉼표 [0] 3 2 20 5" xfId="1774"/>
    <cellStyle name="쉼표 [0] 3 2 20 6" xfId="1775"/>
    <cellStyle name="쉼표 [0] 3 2 21" xfId="1776"/>
    <cellStyle name="쉼표 [0] 3 2 21 2" xfId="1777"/>
    <cellStyle name="쉼표 [0] 3 2 21 2 2" xfId="1778"/>
    <cellStyle name="쉼표 [0] 3 2 21 2 2 2" xfId="1779"/>
    <cellStyle name="쉼표 [0] 3 2 21 3" xfId="1780"/>
    <cellStyle name="쉼표 [0] 3 2 21 4" xfId="1781"/>
    <cellStyle name="쉼표 [0] 3 2 21 5" xfId="1782"/>
    <cellStyle name="쉼표 [0] 3 2 21 6" xfId="1783"/>
    <cellStyle name="쉼표 [0] 3 2 22" xfId="1784"/>
    <cellStyle name="쉼표 [0] 3 2 22 2" xfId="1785"/>
    <cellStyle name="쉼표 [0] 3 2 22 2 2" xfId="1786"/>
    <cellStyle name="쉼표 [0] 3 2 22 2 2 2" xfId="1787"/>
    <cellStyle name="쉼표 [0] 3 2 22 3" xfId="1788"/>
    <cellStyle name="쉼표 [0] 3 2 22 4" xfId="1789"/>
    <cellStyle name="쉼표 [0] 3 2 22 5" xfId="1790"/>
    <cellStyle name="쉼표 [0] 3 2 22 6" xfId="1791"/>
    <cellStyle name="쉼표 [0] 3 2 23" xfId="1792"/>
    <cellStyle name="쉼표 [0] 3 2 23 2" xfId="1793"/>
    <cellStyle name="쉼표 [0] 3 2 23 2 2" xfId="1794"/>
    <cellStyle name="쉼표 [0] 3 2 23 2 2 2" xfId="1795"/>
    <cellStyle name="쉼표 [0] 3 2 23 3" xfId="1796"/>
    <cellStyle name="쉼표 [0] 3 2 23 4" xfId="1797"/>
    <cellStyle name="쉼표 [0] 3 2 23 5" xfId="1798"/>
    <cellStyle name="쉼표 [0] 3 2 23 6" xfId="1799"/>
    <cellStyle name="쉼표 [0] 3 2 24" xfId="1800"/>
    <cellStyle name="쉼표 [0] 3 2 24 2" xfId="1801"/>
    <cellStyle name="쉼표 [0] 3 2 24 2 2" xfId="1802"/>
    <cellStyle name="쉼표 [0] 3 2 24 2 2 2" xfId="1803"/>
    <cellStyle name="쉼표 [0] 3 2 24 3" xfId="1804"/>
    <cellStyle name="쉼표 [0] 3 2 24 4" xfId="1805"/>
    <cellStyle name="쉼표 [0] 3 2 24 5" xfId="1806"/>
    <cellStyle name="쉼표 [0] 3 2 24 6" xfId="1807"/>
    <cellStyle name="쉼표 [0] 3 2 25" xfId="1808"/>
    <cellStyle name="쉼표 [0] 3 2 25 2" xfId="1809"/>
    <cellStyle name="쉼표 [0] 3 2 25 2 2" xfId="1810"/>
    <cellStyle name="쉼표 [0] 3 2 25 2 2 2" xfId="1811"/>
    <cellStyle name="쉼표 [0] 3 2 25 3" xfId="1812"/>
    <cellStyle name="쉼표 [0] 3 2 25 4" xfId="1813"/>
    <cellStyle name="쉼표 [0] 3 2 25 5" xfId="1814"/>
    <cellStyle name="쉼표 [0] 3 2 25 6" xfId="1815"/>
    <cellStyle name="쉼표 [0] 3 2 26" xfId="1816"/>
    <cellStyle name="쉼표 [0] 3 2 26 2" xfId="1817"/>
    <cellStyle name="쉼표 [0] 3 2 26 2 2" xfId="1818"/>
    <cellStyle name="쉼표 [0] 3 2 26 2 2 2" xfId="1819"/>
    <cellStyle name="쉼표 [0] 3 2 26 3" xfId="1820"/>
    <cellStyle name="쉼표 [0] 3 2 26 4" xfId="1821"/>
    <cellStyle name="쉼표 [0] 3 2 26 5" xfId="1822"/>
    <cellStyle name="쉼표 [0] 3 2 26 6" xfId="1823"/>
    <cellStyle name="쉼표 [0] 3 2 27" xfId="1824"/>
    <cellStyle name="쉼표 [0] 3 2 27 2" xfId="1825"/>
    <cellStyle name="쉼표 [0] 3 2 27 2 2" xfId="1826"/>
    <cellStyle name="쉼표 [0] 3 2 27 2 2 2" xfId="1827"/>
    <cellStyle name="쉼표 [0] 3 2 27 3" xfId="1828"/>
    <cellStyle name="쉼표 [0] 3 2 27 4" xfId="1829"/>
    <cellStyle name="쉼표 [0] 3 2 27 5" xfId="1830"/>
    <cellStyle name="쉼표 [0] 3 2 27 6" xfId="1831"/>
    <cellStyle name="쉼표 [0] 3 2 28" xfId="1832"/>
    <cellStyle name="쉼표 [0] 3 2 28 2" xfId="1833"/>
    <cellStyle name="쉼표 [0] 3 2 28 2 2" xfId="1834"/>
    <cellStyle name="쉼표 [0] 3 2 28 2 2 2" xfId="1835"/>
    <cellStyle name="쉼표 [0] 3 2 28 3" xfId="1836"/>
    <cellStyle name="쉼표 [0] 3 2 28 4" xfId="1837"/>
    <cellStyle name="쉼표 [0] 3 2 28 5" xfId="1838"/>
    <cellStyle name="쉼표 [0] 3 2 28 6" xfId="1839"/>
    <cellStyle name="쉼표 [0] 3 2 29" xfId="1840"/>
    <cellStyle name="쉼표 [0] 3 2 29 2" xfId="1841"/>
    <cellStyle name="쉼표 [0] 3 2 29 2 2" xfId="1842"/>
    <cellStyle name="쉼표 [0] 3 2 29 2 2 2" xfId="1843"/>
    <cellStyle name="쉼표 [0] 3 2 29 3" xfId="1844"/>
    <cellStyle name="쉼표 [0] 3 2 29 4" xfId="1845"/>
    <cellStyle name="쉼표 [0] 3 2 29 5" xfId="1846"/>
    <cellStyle name="쉼표 [0] 3 2 29 6" xfId="1847"/>
    <cellStyle name="쉼표 [0] 3 2 3" xfId="1848"/>
    <cellStyle name="쉼표 [0] 3 2 3 2" xfId="1849"/>
    <cellStyle name="쉼표 [0] 3 2 3 2 2" xfId="1850"/>
    <cellStyle name="쉼표 [0] 3 2 3 2 2 2" xfId="1851"/>
    <cellStyle name="쉼표 [0] 3 2 3 3" xfId="1852"/>
    <cellStyle name="쉼표 [0] 3 2 3 4" xfId="1853"/>
    <cellStyle name="쉼표 [0] 3 2 3 5" xfId="1854"/>
    <cellStyle name="쉼표 [0] 3 2 3 6" xfId="1855"/>
    <cellStyle name="쉼표 [0] 3 2 30" xfId="1856"/>
    <cellStyle name="쉼표 [0] 3 2 30 2" xfId="1857"/>
    <cellStyle name="쉼표 [0] 3 2 30 2 2" xfId="1858"/>
    <cellStyle name="쉼표 [0] 3 2 30 2 2 2" xfId="1859"/>
    <cellStyle name="쉼표 [0] 3 2 30 3" xfId="1860"/>
    <cellStyle name="쉼표 [0] 3 2 30 4" xfId="1861"/>
    <cellStyle name="쉼표 [0] 3 2 30 5" xfId="1862"/>
    <cellStyle name="쉼표 [0] 3 2 30 6" xfId="1863"/>
    <cellStyle name="쉼표 [0] 3 2 31" xfId="1864"/>
    <cellStyle name="쉼표 [0] 3 2 31 2" xfId="1865"/>
    <cellStyle name="쉼표 [0] 3 2 31 2 2" xfId="1866"/>
    <cellStyle name="쉼표 [0] 3 2 31 2 2 2" xfId="1867"/>
    <cellStyle name="쉼표 [0] 3 2 31 3" xfId="1868"/>
    <cellStyle name="쉼표 [0] 3 2 31 4" xfId="1869"/>
    <cellStyle name="쉼표 [0] 3 2 31 5" xfId="1870"/>
    <cellStyle name="쉼표 [0] 3 2 31 6" xfId="1871"/>
    <cellStyle name="쉼표 [0] 3 2 32" xfId="1872"/>
    <cellStyle name="쉼표 [0] 3 2 32 2" xfId="1873"/>
    <cellStyle name="쉼표 [0] 3 2 32 2 2" xfId="1874"/>
    <cellStyle name="쉼표 [0] 3 2 32 2 2 2" xfId="1875"/>
    <cellStyle name="쉼표 [0] 3 2 32 3" xfId="1876"/>
    <cellStyle name="쉼표 [0] 3 2 32 4" xfId="1877"/>
    <cellStyle name="쉼표 [0] 3 2 32 5" xfId="1878"/>
    <cellStyle name="쉼표 [0] 3 2 32 6" xfId="1879"/>
    <cellStyle name="쉼표 [0] 3 2 33" xfId="1880"/>
    <cellStyle name="쉼표 [0] 3 2 33 2" xfId="1881"/>
    <cellStyle name="쉼표 [0] 3 2 33 2 2" xfId="1882"/>
    <cellStyle name="쉼표 [0] 3 2 33 2 2 2" xfId="1883"/>
    <cellStyle name="쉼표 [0] 3 2 33 3" xfId="1884"/>
    <cellStyle name="쉼표 [0] 3 2 33 4" xfId="1885"/>
    <cellStyle name="쉼표 [0] 3 2 33 5" xfId="1886"/>
    <cellStyle name="쉼표 [0] 3 2 33 6" xfId="1887"/>
    <cellStyle name="쉼표 [0] 3 2 34" xfId="1888"/>
    <cellStyle name="쉼표 [0] 3 2 34 2" xfId="1889"/>
    <cellStyle name="쉼표 [0] 3 2 34 2 2" xfId="1890"/>
    <cellStyle name="쉼표 [0] 3 2 34 2 2 2" xfId="1891"/>
    <cellStyle name="쉼표 [0] 3 2 34 3" xfId="1892"/>
    <cellStyle name="쉼표 [0] 3 2 34 4" xfId="1893"/>
    <cellStyle name="쉼표 [0] 3 2 34 5" xfId="1894"/>
    <cellStyle name="쉼표 [0] 3 2 34 6" xfId="1895"/>
    <cellStyle name="쉼표 [0] 3 2 35" xfId="1896"/>
    <cellStyle name="쉼표 [0] 3 2 35 2" xfId="1897"/>
    <cellStyle name="쉼표 [0] 3 2 35 2 2" xfId="1898"/>
    <cellStyle name="쉼표 [0] 3 2 35 2 2 2" xfId="1899"/>
    <cellStyle name="쉼표 [0] 3 2 35 3" xfId="1900"/>
    <cellStyle name="쉼표 [0] 3 2 35 4" xfId="1901"/>
    <cellStyle name="쉼표 [0] 3 2 35 5" xfId="1902"/>
    <cellStyle name="쉼표 [0] 3 2 35 6" xfId="1903"/>
    <cellStyle name="쉼표 [0] 3 2 36" xfId="1904"/>
    <cellStyle name="쉼표 [0] 3 2 36 2" xfId="1905"/>
    <cellStyle name="쉼표 [0] 3 2 36 3" xfId="1906"/>
    <cellStyle name="쉼표 [0] 3 2 36 4" xfId="1907"/>
    <cellStyle name="쉼표 [0] 3 2 36 5" xfId="1908"/>
    <cellStyle name="쉼표 [0] 3 2 36 5 2" xfId="1909"/>
    <cellStyle name="쉼표 [0] 3 2 36 6" xfId="1910"/>
    <cellStyle name="쉼표 [0] 3 2 37" xfId="1911"/>
    <cellStyle name="쉼표 [0] 3 2 37 2" xfId="1912"/>
    <cellStyle name="쉼표 [0] 3 2 37 3" xfId="1913"/>
    <cellStyle name="쉼표 [0] 3 2 37 4" xfId="1914"/>
    <cellStyle name="쉼표 [0] 3 2 37 5" xfId="1915"/>
    <cellStyle name="쉼표 [0] 3 2 38" xfId="1916"/>
    <cellStyle name="쉼표 [0] 3 2 38 2" xfId="1917"/>
    <cellStyle name="쉼표 [0] 3 2 38 3" xfId="1918"/>
    <cellStyle name="쉼표 [0] 3 2 38 4" xfId="1919"/>
    <cellStyle name="쉼표 [0] 3 2 38 5" xfId="1920"/>
    <cellStyle name="쉼표 [0] 3 2 39" xfId="1921"/>
    <cellStyle name="쉼표 [0] 3 2 39 2" xfId="1922"/>
    <cellStyle name="쉼표 [0] 3 2 4" xfId="1923"/>
    <cellStyle name="쉼표 [0] 3 2 4 2" xfId="1924"/>
    <cellStyle name="쉼표 [0] 3 2 4 2 2" xfId="1925"/>
    <cellStyle name="쉼표 [0] 3 2 4 2 2 2" xfId="1926"/>
    <cellStyle name="쉼표 [0] 3 2 4 3" xfId="1927"/>
    <cellStyle name="쉼표 [0] 3 2 4 4" xfId="1928"/>
    <cellStyle name="쉼표 [0] 3 2 4 5" xfId="1929"/>
    <cellStyle name="쉼표 [0] 3 2 4 6" xfId="1930"/>
    <cellStyle name="쉼표 [0] 3 2 40" xfId="1931"/>
    <cellStyle name="쉼표 [0] 3 2 5" xfId="1932"/>
    <cellStyle name="쉼표 [0] 3 2 5 2" xfId="1933"/>
    <cellStyle name="쉼표 [0] 3 2 5 2 2" xfId="1934"/>
    <cellStyle name="쉼표 [0] 3 2 5 2 2 2" xfId="1935"/>
    <cellStyle name="쉼표 [0] 3 2 5 3" xfId="1936"/>
    <cellStyle name="쉼표 [0] 3 2 5 4" xfId="1937"/>
    <cellStyle name="쉼표 [0] 3 2 5 5" xfId="1938"/>
    <cellStyle name="쉼표 [0] 3 2 5 6" xfId="1939"/>
    <cellStyle name="쉼표 [0] 3 2 6" xfId="1940"/>
    <cellStyle name="쉼표 [0] 3 2 6 2" xfId="1941"/>
    <cellStyle name="쉼표 [0] 3 2 6 2 2" xfId="1942"/>
    <cellStyle name="쉼표 [0] 3 2 6 2 2 2" xfId="1943"/>
    <cellStyle name="쉼표 [0] 3 2 6 3" xfId="1944"/>
    <cellStyle name="쉼표 [0] 3 2 6 4" xfId="1945"/>
    <cellStyle name="쉼표 [0] 3 2 6 5" xfId="1946"/>
    <cellStyle name="쉼표 [0] 3 2 6 6" xfId="1947"/>
    <cellStyle name="쉼표 [0] 3 2 7" xfId="1948"/>
    <cellStyle name="쉼표 [0] 3 2 7 2" xfId="1949"/>
    <cellStyle name="쉼표 [0] 3 2 7 2 2" xfId="1950"/>
    <cellStyle name="쉼표 [0] 3 2 7 2 2 2" xfId="1951"/>
    <cellStyle name="쉼표 [0] 3 2 7 3" xfId="1952"/>
    <cellStyle name="쉼표 [0] 3 2 7 4" xfId="1953"/>
    <cellStyle name="쉼표 [0] 3 2 7 5" xfId="1954"/>
    <cellStyle name="쉼표 [0] 3 2 7 6" xfId="1955"/>
    <cellStyle name="쉼표 [0] 3 2 8" xfId="1956"/>
    <cellStyle name="쉼표 [0] 3 2 8 2" xfId="1957"/>
    <cellStyle name="쉼표 [0] 3 2 8 2 2" xfId="1958"/>
    <cellStyle name="쉼표 [0] 3 2 8 2 2 2" xfId="1959"/>
    <cellStyle name="쉼표 [0] 3 2 8 3" xfId="1960"/>
    <cellStyle name="쉼표 [0] 3 2 8 4" xfId="1961"/>
    <cellStyle name="쉼표 [0] 3 2 8 5" xfId="1962"/>
    <cellStyle name="쉼표 [0] 3 2 8 6" xfId="1963"/>
    <cellStyle name="쉼표 [0] 3 2 9" xfId="1964"/>
    <cellStyle name="쉼표 [0] 3 2 9 2" xfId="1965"/>
    <cellStyle name="쉼표 [0] 3 2 9 2 2" xfId="1966"/>
    <cellStyle name="쉼표 [0] 3 2 9 2 2 2" xfId="1967"/>
    <cellStyle name="쉼표 [0] 3 2 9 3" xfId="1968"/>
    <cellStyle name="쉼표 [0] 3 2 9 4" xfId="1969"/>
    <cellStyle name="쉼표 [0] 3 2 9 5" xfId="1970"/>
    <cellStyle name="쉼표 [0] 3 2 9 6" xfId="1971"/>
    <cellStyle name="쉼표 [0] 3 20" xfId="1972"/>
    <cellStyle name="쉼표 [0] 3 21" xfId="1973"/>
    <cellStyle name="쉼표 [0] 3 21 2" xfId="1974"/>
    <cellStyle name="쉼표 [0] 3 21 2 2" xfId="1975"/>
    <cellStyle name="쉼표 [0] 3 22" xfId="1976"/>
    <cellStyle name="쉼표 [0] 3 22 2" xfId="1977"/>
    <cellStyle name="쉼표 [0] 3 22 2 2" xfId="1978"/>
    <cellStyle name="쉼표 [0] 3 23" xfId="1979"/>
    <cellStyle name="쉼표 [0] 3 23 2" xfId="1980"/>
    <cellStyle name="쉼표 [0] 3 23 2 2" xfId="1981"/>
    <cellStyle name="쉼표 [0] 3 24" xfId="1982"/>
    <cellStyle name="쉼표 [0] 3 25" xfId="1983"/>
    <cellStyle name="쉼표 [0] 3 26" xfId="1984"/>
    <cellStyle name="쉼표 [0] 3 27" xfId="1985"/>
    <cellStyle name="쉼표 [0] 3 28" xfId="1986"/>
    <cellStyle name="쉼표 [0] 3 29" xfId="1987"/>
    <cellStyle name="쉼표 [0] 3 3" xfId="1988"/>
    <cellStyle name="쉼표 [0] 3 3 2" xfId="1989"/>
    <cellStyle name="쉼표 [0] 3 3 2 2" xfId="1990"/>
    <cellStyle name="쉼표 [0] 3 3 2 2 2" xfId="1991"/>
    <cellStyle name="쉼표 [0] 3 3 2 3" xfId="1992"/>
    <cellStyle name="쉼표 [0] 3 3 3" xfId="1993"/>
    <cellStyle name="쉼표 [0] 3 3 4" xfId="1994"/>
    <cellStyle name="쉼표 [0] 3 3 5" xfId="1995"/>
    <cellStyle name="쉼표 [0] 3 3 6" xfId="1996"/>
    <cellStyle name="쉼표 [0] 3 3 7" xfId="1997"/>
    <cellStyle name="쉼표 [0] 3 30" xfId="1998"/>
    <cellStyle name="쉼표 [0] 3 31" xfId="1999"/>
    <cellStyle name="쉼표 [0] 3 32" xfId="2000"/>
    <cellStyle name="쉼표 [0] 3 33" xfId="2001"/>
    <cellStyle name="쉼표 [0] 3 34" xfId="2002"/>
    <cellStyle name="쉼표 [0] 3 35" xfId="2003"/>
    <cellStyle name="쉼표 [0] 3 36" xfId="2004"/>
    <cellStyle name="쉼표 [0] 3 37" xfId="2005"/>
    <cellStyle name="쉼표 [0] 3 38" xfId="2006"/>
    <cellStyle name="쉼표 [0] 3 39" xfId="2007"/>
    <cellStyle name="쉼표 [0] 3 4" xfId="2008"/>
    <cellStyle name="쉼표 [0] 3 4 2" xfId="2009"/>
    <cellStyle name="쉼표 [0] 3 4 2 2" xfId="2010"/>
    <cellStyle name="쉼표 [0] 3 4 2 2 2" xfId="2011"/>
    <cellStyle name="쉼표 [0] 3 4 2 3" xfId="2012"/>
    <cellStyle name="쉼표 [0] 3 4 3" xfId="2013"/>
    <cellStyle name="쉼표 [0] 3 4 4" xfId="2014"/>
    <cellStyle name="쉼표 [0] 3 4 5" xfId="2015"/>
    <cellStyle name="쉼표 [0] 3 4 6" xfId="2016"/>
    <cellStyle name="쉼표 [0] 3 4 7" xfId="2017"/>
    <cellStyle name="쉼표 [0] 3 40" xfId="2018"/>
    <cellStyle name="쉼표 [0] 3 41" xfId="2019"/>
    <cellStyle name="쉼표 [0] 3 42" xfId="2020"/>
    <cellStyle name="쉼표 [0] 3 43" xfId="2021"/>
    <cellStyle name="쉼표 [0] 3 44" xfId="2022"/>
    <cellStyle name="쉼표 [0] 3 45" xfId="2023"/>
    <cellStyle name="쉼표 [0] 3 46" xfId="2024"/>
    <cellStyle name="쉼표 [0] 3 47" xfId="2025"/>
    <cellStyle name="쉼표 [0] 3 5" xfId="2026"/>
    <cellStyle name="쉼표 [0] 3 5 2" xfId="2027"/>
    <cellStyle name="쉼표 [0] 3 5 2 2" xfId="2028"/>
    <cellStyle name="쉼표 [0] 3 5 2 2 2" xfId="2029"/>
    <cellStyle name="쉼표 [0] 3 5 2 3" xfId="2030"/>
    <cellStyle name="쉼표 [0] 3 5 3" xfId="2031"/>
    <cellStyle name="쉼표 [0] 3 5 4" xfId="2032"/>
    <cellStyle name="쉼표 [0] 3 5 5" xfId="2033"/>
    <cellStyle name="쉼표 [0] 3 5 6" xfId="2034"/>
    <cellStyle name="쉼표 [0] 3 5 7" xfId="2035"/>
    <cellStyle name="쉼표 [0] 3 6" xfId="2036"/>
    <cellStyle name="쉼표 [0] 3 6 10" xfId="2037"/>
    <cellStyle name="쉼표 [0] 3 6 11" xfId="2038"/>
    <cellStyle name="쉼표 [0] 3 6 12" xfId="2039"/>
    <cellStyle name="쉼표 [0] 3 6 2" xfId="2040"/>
    <cellStyle name="쉼표 [0] 3 6 2 2" xfId="2041"/>
    <cellStyle name="쉼표 [0] 3 6 2 3" xfId="2042"/>
    <cellStyle name="쉼표 [0] 3 6 3" xfId="2043"/>
    <cellStyle name="쉼표 [0] 3 6 4" xfId="2044"/>
    <cellStyle name="쉼표 [0] 3 6 5" xfId="2045"/>
    <cellStyle name="쉼표 [0] 3 6 6" xfId="2046"/>
    <cellStyle name="쉼표 [0] 3 6 7" xfId="2047"/>
    <cellStyle name="쉼표 [0] 3 6 8" xfId="2048"/>
    <cellStyle name="쉼표 [0] 3 6 9" xfId="2049"/>
    <cellStyle name="쉼표 [0] 3 7" xfId="2050"/>
    <cellStyle name="쉼표 [0] 3 7 2" xfId="2051"/>
    <cellStyle name="쉼표 [0] 3 7 2 2" xfId="2052"/>
    <cellStyle name="쉼표 [0] 3 7 2 3" xfId="2053"/>
    <cellStyle name="쉼표 [0] 3 7 2 4" xfId="2054"/>
    <cellStyle name="쉼표 [0] 3 7 2 5" xfId="2055"/>
    <cellStyle name="쉼표 [0] 3 7 2 6" xfId="2056"/>
    <cellStyle name="쉼표 [0] 3 7 2 7" xfId="2057"/>
    <cellStyle name="쉼표 [0] 3 7 2 8" xfId="2058"/>
    <cellStyle name="쉼표 [0] 3 7 2 9" xfId="2059"/>
    <cellStyle name="쉼표 [0] 3 7 3" xfId="2060"/>
    <cellStyle name="쉼표 [0] 3 7 3 2" xfId="2061"/>
    <cellStyle name="쉼표 [0] 3 7 3 3" xfId="2062"/>
    <cellStyle name="쉼표 [0] 3 7 3 4" xfId="2063"/>
    <cellStyle name="쉼표 [0] 3 7 3 5" xfId="2064"/>
    <cellStyle name="쉼표 [0] 3 7 3 5 2" xfId="2065"/>
    <cellStyle name="쉼표 [0] 3 7 3 6" xfId="2066"/>
    <cellStyle name="쉼표 [0] 3 7 4" xfId="2067"/>
    <cellStyle name="쉼표 [0] 3 7 4 2" xfId="2068"/>
    <cellStyle name="쉼표 [0] 3 7 4 3" xfId="2069"/>
    <cellStyle name="쉼표 [0] 3 7 4 4" xfId="2070"/>
    <cellStyle name="쉼표 [0] 3 7 4 5" xfId="2071"/>
    <cellStyle name="쉼표 [0] 3 7 5" xfId="2072"/>
    <cellStyle name="쉼표 [0] 3 7 5 2" xfId="2073"/>
    <cellStyle name="쉼표 [0] 3 7 6" xfId="2074"/>
    <cellStyle name="쉼표 [0] 3 8" xfId="2075"/>
    <cellStyle name="쉼표 [0] 3 9" xfId="2076"/>
    <cellStyle name="쉼표 [0] 3 9 2" xfId="2077"/>
    <cellStyle name="쉼표 [0] 3 9 2 2" xfId="2078"/>
    <cellStyle name="쉼표 [0] 30" xfId="2079"/>
    <cellStyle name="쉼표 [0] 31" xfId="2080"/>
    <cellStyle name="쉼표 [0] 31 2" xfId="3219"/>
    <cellStyle name="쉼표 [0] 32" xfId="2081"/>
    <cellStyle name="쉼표 [0] 33" xfId="2082"/>
    <cellStyle name="쉼표 [0] 34" xfId="2083"/>
    <cellStyle name="쉼표 [0] 35" xfId="2084"/>
    <cellStyle name="쉼표 [0] 36" xfId="2085"/>
    <cellStyle name="쉼표 [0] 36 2" xfId="2086"/>
    <cellStyle name="쉼표 [0] 37" xfId="2087"/>
    <cellStyle name="쉼표 [0] 38" xfId="2088"/>
    <cellStyle name="쉼표 [0] 38 2" xfId="3116"/>
    <cellStyle name="쉼표 [0] 39" xfId="2089"/>
    <cellStyle name="쉼표 [0] 39 2" xfId="3117"/>
    <cellStyle name="쉼표 [0] 4" xfId="2090"/>
    <cellStyle name="쉼표 [0] 4 10" xfId="2091"/>
    <cellStyle name="쉼표 [0] 4 11" xfId="2092"/>
    <cellStyle name="쉼표 [0] 4 12" xfId="2093"/>
    <cellStyle name="쉼표 [0] 4 12 2" xfId="2094"/>
    <cellStyle name="쉼표 [0] 4 12 2 2" xfId="2095"/>
    <cellStyle name="쉼표 [0] 4 12 2 2 2" xfId="2096"/>
    <cellStyle name="쉼표 [0] 4 12 3" xfId="2097"/>
    <cellStyle name="쉼표 [0] 4 12 4" xfId="2098"/>
    <cellStyle name="쉼표 [0] 4 12 5" xfId="2099"/>
    <cellStyle name="쉼표 [0] 4 12 6" xfId="2100"/>
    <cellStyle name="쉼표 [0] 4 12 7" xfId="2101"/>
    <cellStyle name="쉼표 [0] 4 13" xfId="2102"/>
    <cellStyle name="쉼표 [0] 4 13 2" xfId="2103"/>
    <cellStyle name="쉼표 [0] 4 13 2 2" xfId="2104"/>
    <cellStyle name="쉼표 [0] 4 13 2 2 2" xfId="2105"/>
    <cellStyle name="쉼표 [0] 4 13 3" xfId="2106"/>
    <cellStyle name="쉼표 [0] 4 13 4" xfId="2107"/>
    <cellStyle name="쉼표 [0] 4 13 5" xfId="2108"/>
    <cellStyle name="쉼표 [0] 4 13 6" xfId="2109"/>
    <cellStyle name="쉼표 [0] 4 13 7" xfId="2110"/>
    <cellStyle name="쉼표 [0] 4 14" xfId="2111"/>
    <cellStyle name="쉼표 [0] 4 14 2" xfId="2112"/>
    <cellStyle name="쉼표 [0] 4 14 2 2" xfId="2113"/>
    <cellStyle name="쉼표 [0] 4 14 2 2 2" xfId="2114"/>
    <cellStyle name="쉼표 [0] 4 14 3" xfId="2115"/>
    <cellStyle name="쉼표 [0] 4 14 4" xfId="2116"/>
    <cellStyle name="쉼표 [0] 4 14 5" xfId="2117"/>
    <cellStyle name="쉼표 [0] 4 14 6" xfId="2118"/>
    <cellStyle name="쉼표 [0] 4 14 7" xfId="2119"/>
    <cellStyle name="쉼표 [0] 4 15" xfId="2120"/>
    <cellStyle name="쉼표 [0] 4 16" xfId="2121"/>
    <cellStyle name="쉼표 [0] 4 17" xfId="2122"/>
    <cellStyle name="쉼표 [0] 4 18" xfId="2123"/>
    <cellStyle name="쉼표 [0] 4 18 2" xfId="2124"/>
    <cellStyle name="쉼표 [0] 4 18 2 2" xfId="2125"/>
    <cellStyle name="쉼표 [0] 4 19" xfId="2126"/>
    <cellStyle name="쉼표 [0] 4 19 2" xfId="2127"/>
    <cellStyle name="쉼표 [0] 4 19 2 2" xfId="2128"/>
    <cellStyle name="쉼표 [0] 4 2" xfId="2129"/>
    <cellStyle name="쉼표 [0] 4 2 10" xfId="2130"/>
    <cellStyle name="쉼표 [0] 4 2 10 2" xfId="2131"/>
    <cellStyle name="쉼표 [0] 4 2 10 2 2" xfId="2132"/>
    <cellStyle name="쉼표 [0] 4 2 10 2 2 2" xfId="2133"/>
    <cellStyle name="쉼표 [0] 4 2 10 3" xfId="2134"/>
    <cellStyle name="쉼표 [0] 4 2 10 4" xfId="2135"/>
    <cellStyle name="쉼표 [0] 4 2 10 5" xfId="2136"/>
    <cellStyle name="쉼표 [0] 4 2 10 6" xfId="2137"/>
    <cellStyle name="쉼표 [0] 4 2 11" xfId="2138"/>
    <cellStyle name="쉼표 [0] 4 2 11 2" xfId="2139"/>
    <cellStyle name="쉼표 [0] 4 2 11 2 2" xfId="2140"/>
    <cellStyle name="쉼표 [0] 4 2 11 2 2 2" xfId="2141"/>
    <cellStyle name="쉼표 [0] 4 2 11 3" xfId="2142"/>
    <cellStyle name="쉼표 [0] 4 2 11 4" xfId="2143"/>
    <cellStyle name="쉼표 [0] 4 2 11 5" xfId="2144"/>
    <cellStyle name="쉼표 [0] 4 2 11 6" xfId="2145"/>
    <cellStyle name="쉼표 [0] 4 2 12" xfId="2146"/>
    <cellStyle name="쉼표 [0] 4 2 12 2" xfId="2147"/>
    <cellStyle name="쉼표 [0] 4 2 12 2 2" xfId="2148"/>
    <cellStyle name="쉼표 [0] 4 2 12 2 2 2" xfId="2149"/>
    <cellStyle name="쉼표 [0] 4 2 12 3" xfId="2150"/>
    <cellStyle name="쉼표 [0] 4 2 12 4" xfId="2151"/>
    <cellStyle name="쉼표 [0] 4 2 12 5" xfId="2152"/>
    <cellStyle name="쉼표 [0] 4 2 12 6" xfId="2153"/>
    <cellStyle name="쉼표 [0] 4 2 13" xfId="2154"/>
    <cellStyle name="쉼표 [0] 4 2 13 2" xfId="2155"/>
    <cellStyle name="쉼표 [0] 4 2 13 2 2" xfId="2156"/>
    <cellStyle name="쉼표 [0] 4 2 13 2 2 2" xfId="2157"/>
    <cellStyle name="쉼표 [0] 4 2 13 3" xfId="2158"/>
    <cellStyle name="쉼표 [0] 4 2 13 4" xfId="2159"/>
    <cellStyle name="쉼표 [0] 4 2 13 5" xfId="2160"/>
    <cellStyle name="쉼표 [0] 4 2 13 6" xfId="2161"/>
    <cellStyle name="쉼표 [0] 4 2 14" xfId="2162"/>
    <cellStyle name="쉼표 [0] 4 2 14 2" xfId="2163"/>
    <cellStyle name="쉼표 [0] 4 2 14 2 2" xfId="2164"/>
    <cellStyle name="쉼표 [0] 4 2 14 2 2 2" xfId="2165"/>
    <cellStyle name="쉼표 [0] 4 2 14 3" xfId="2166"/>
    <cellStyle name="쉼표 [0] 4 2 14 4" xfId="2167"/>
    <cellStyle name="쉼표 [0] 4 2 14 5" xfId="2168"/>
    <cellStyle name="쉼표 [0] 4 2 14 6" xfId="2169"/>
    <cellStyle name="쉼표 [0] 4 2 15" xfId="2170"/>
    <cellStyle name="쉼표 [0] 4 2 15 2" xfId="2171"/>
    <cellStyle name="쉼표 [0] 4 2 15 2 2" xfId="2172"/>
    <cellStyle name="쉼표 [0] 4 2 15 2 2 2" xfId="2173"/>
    <cellStyle name="쉼표 [0] 4 2 15 3" xfId="2174"/>
    <cellStyle name="쉼표 [0] 4 2 15 4" xfId="2175"/>
    <cellStyle name="쉼표 [0] 4 2 15 5" xfId="2176"/>
    <cellStyle name="쉼표 [0] 4 2 15 6" xfId="2177"/>
    <cellStyle name="쉼표 [0] 4 2 16" xfId="2178"/>
    <cellStyle name="쉼표 [0] 4 2 16 2" xfId="2179"/>
    <cellStyle name="쉼표 [0] 4 2 16 2 2" xfId="2180"/>
    <cellStyle name="쉼표 [0] 4 2 16 2 2 2" xfId="2181"/>
    <cellStyle name="쉼표 [0] 4 2 16 3" xfId="2182"/>
    <cellStyle name="쉼표 [0] 4 2 16 4" xfId="2183"/>
    <cellStyle name="쉼표 [0] 4 2 16 5" xfId="2184"/>
    <cellStyle name="쉼표 [0] 4 2 16 6" xfId="2185"/>
    <cellStyle name="쉼표 [0] 4 2 17" xfId="2186"/>
    <cellStyle name="쉼표 [0] 4 2 17 2" xfId="2187"/>
    <cellStyle name="쉼표 [0] 4 2 17 2 2" xfId="2188"/>
    <cellStyle name="쉼표 [0] 4 2 17 2 2 2" xfId="2189"/>
    <cellStyle name="쉼표 [0] 4 2 17 3" xfId="2190"/>
    <cellStyle name="쉼표 [0] 4 2 17 4" xfId="2191"/>
    <cellStyle name="쉼표 [0] 4 2 17 5" xfId="2192"/>
    <cellStyle name="쉼표 [0] 4 2 17 6" xfId="2193"/>
    <cellStyle name="쉼표 [0] 4 2 18" xfId="2194"/>
    <cellStyle name="쉼표 [0] 4 2 18 2" xfId="2195"/>
    <cellStyle name="쉼표 [0] 4 2 18 2 2" xfId="2196"/>
    <cellStyle name="쉼표 [0] 4 2 18 2 2 2" xfId="2197"/>
    <cellStyle name="쉼표 [0] 4 2 18 3" xfId="2198"/>
    <cellStyle name="쉼표 [0] 4 2 18 4" xfId="2199"/>
    <cellStyle name="쉼표 [0] 4 2 18 5" xfId="2200"/>
    <cellStyle name="쉼표 [0] 4 2 18 6" xfId="2201"/>
    <cellStyle name="쉼표 [0] 4 2 19" xfId="2202"/>
    <cellStyle name="쉼표 [0] 4 2 19 2" xfId="2203"/>
    <cellStyle name="쉼표 [0] 4 2 19 2 2" xfId="2204"/>
    <cellStyle name="쉼표 [0] 4 2 19 2 2 2" xfId="2205"/>
    <cellStyle name="쉼표 [0] 4 2 19 3" xfId="2206"/>
    <cellStyle name="쉼표 [0] 4 2 19 4" xfId="2207"/>
    <cellStyle name="쉼표 [0] 4 2 19 5" xfId="2208"/>
    <cellStyle name="쉼표 [0] 4 2 19 6" xfId="2209"/>
    <cellStyle name="쉼표 [0] 4 2 2" xfId="2210"/>
    <cellStyle name="쉼표 [0] 4 2 2 2" xfId="2211"/>
    <cellStyle name="쉼표 [0] 4 2 2 2 2" xfId="2212"/>
    <cellStyle name="쉼표 [0] 4 2 2 2 2 2" xfId="2213"/>
    <cellStyle name="쉼표 [0] 4 2 2 2 2 3" xfId="2214"/>
    <cellStyle name="쉼표 [0] 4 2 2 2 2 4" xfId="2215"/>
    <cellStyle name="쉼표 [0] 4 2 2 2 2 5" xfId="2216"/>
    <cellStyle name="쉼표 [0] 4 2 2 2 2 5 2" xfId="2217"/>
    <cellStyle name="쉼표 [0] 4 2 2 2 2 6" xfId="2218"/>
    <cellStyle name="쉼표 [0] 4 2 2 2 3" xfId="2219"/>
    <cellStyle name="쉼표 [0] 4 2 2 2 3 2" xfId="2220"/>
    <cellStyle name="쉼표 [0] 4 2 2 2 3 3" xfId="2221"/>
    <cellStyle name="쉼표 [0] 4 2 2 2 3 4" xfId="2222"/>
    <cellStyle name="쉼표 [0] 4 2 2 2 3 5" xfId="2223"/>
    <cellStyle name="쉼표 [0] 4 2 2 2 4" xfId="2224"/>
    <cellStyle name="쉼표 [0] 4 2 2 2 4 2" xfId="2225"/>
    <cellStyle name="쉼표 [0] 4 2 2 2 4 3" xfId="2226"/>
    <cellStyle name="쉼표 [0] 4 2 2 2 4 4" xfId="2227"/>
    <cellStyle name="쉼표 [0] 4 2 2 2 4 5" xfId="2228"/>
    <cellStyle name="쉼표 [0] 4 2 2 2 5" xfId="2229"/>
    <cellStyle name="쉼표 [0] 4 2 2 3" xfId="2230"/>
    <cellStyle name="쉼표 [0] 4 2 2 4" xfId="2231"/>
    <cellStyle name="쉼표 [0] 4 2 2 5" xfId="2232"/>
    <cellStyle name="쉼표 [0] 4 2 2 6" xfId="2233"/>
    <cellStyle name="쉼표 [0] 4 2 2 7" xfId="2234"/>
    <cellStyle name="쉼표 [0] 4 2 2 8" xfId="2235"/>
    <cellStyle name="쉼표 [0] 4 2 2 9" xfId="2236"/>
    <cellStyle name="쉼표 [0] 4 2 20" xfId="2237"/>
    <cellStyle name="쉼표 [0] 4 2 20 2" xfId="2238"/>
    <cellStyle name="쉼표 [0] 4 2 20 2 2" xfId="2239"/>
    <cellStyle name="쉼표 [0] 4 2 20 2 2 2" xfId="2240"/>
    <cellStyle name="쉼표 [0] 4 2 20 3" xfId="2241"/>
    <cellStyle name="쉼표 [0] 4 2 20 4" xfId="2242"/>
    <cellStyle name="쉼표 [0] 4 2 20 5" xfId="2243"/>
    <cellStyle name="쉼표 [0] 4 2 20 6" xfId="2244"/>
    <cellStyle name="쉼표 [0] 4 2 21" xfId="2245"/>
    <cellStyle name="쉼표 [0] 4 2 21 2" xfId="2246"/>
    <cellStyle name="쉼표 [0] 4 2 21 2 2" xfId="2247"/>
    <cellStyle name="쉼표 [0] 4 2 21 2 2 2" xfId="2248"/>
    <cellStyle name="쉼표 [0] 4 2 21 3" xfId="2249"/>
    <cellStyle name="쉼표 [0] 4 2 21 4" xfId="2250"/>
    <cellStyle name="쉼표 [0] 4 2 21 5" xfId="2251"/>
    <cellStyle name="쉼표 [0] 4 2 21 6" xfId="2252"/>
    <cellStyle name="쉼표 [0] 4 2 22" xfId="2253"/>
    <cellStyle name="쉼표 [0] 4 2 22 2" xfId="2254"/>
    <cellStyle name="쉼표 [0] 4 2 22 2 2" xfId="2255"/>
    <cellStyle name="쉼표 [0] 4 2 22 2 2 2" xfId="2256"/>
    <cellStyle name="쉼표 [0] 4 2 22 3" xfId="2257"/>
    <cellStyle name="쉼표 [0] 4 2 22 4" xfId="2258"/>
    <cellStyle name="쉼표 [0] 4 2 22 5" xfId="2259"/>
    <cellStyle name="쉼표 [0] 4 2 22 6" xfId="2260"/>
    <cellStyle name="쉼표 [0] 4 2 23" xfId="2261"/>
    <cellStyle name="쉼표 [0] 4 2 23 2" xfId="2262"/>
    <cellStyle name="쉼표 [0] 4 2 23 2 2" xfId="2263"/>
    <cellStyle name="쉼표 [0] 4 2 23 2 2 2" xfId="2264"/>
    <cellStyle name="쉼표 [0] 4 2 23 3" xfId="2265"/>
    <cellStyle name="쉼표 [0] 4 2 23 4" xfId="2266"/>
    <cellStyle name="쉼표 [0] 4 2 23 5" xfId="2267"/>
    <cellStyle name="쉼표 [0] 4 2 23 6" xfId="2268"/>
    <cellStyle name="쉼표 [0] 4 2 24" xfId="2269"/>
    <cellStyle name="쉼표 [0] 4 2 24 2" xfId="2270"/>
    <cellStyle name="쉼표 [0] 4 2 24 2 2" xfId="2271"/>
    <cellStyle name="쉼표 [0] 4 2 24 2 2 2" xfId="2272"/>
    <cellStyle name="쉼표 [0] 4 2 24 3" xfId="2273"/>
    <cellStyle name="쉼표 [0] 4 2 24 4" xfId="2274"/>
    <cellStyle name="쉼표 [0] 4 2 24 5" xfId="2275"/>
    <cellStyle name="쉼표 [0] 4 2 24 6" xfId="2276"/>
    <cellStyle name="쉼표 [0] 4 2 25" xfId="2277"/>
    <cellStyle name="쉼표 [0] 4 2 25 2" xfId="2278"/>
    <cellStyle name="쉼표 [0] 4 2 25 2 2" xfId="2279"/>
    <cellStyle name="쉼표 [0] 4 2 25 2 2 2" xfId="2280"/>
    <cellStyle name="쉼표 [0] 4 2 25 3" xfId="2281"/>
    <cellStyle name="쉼표 [0] 4 2 25 4" xfId="2282"/>
    <cellStyle name="쉼표 [0] 4 2 25 5" xfId="2283"/>
    <cellStyle name="쉼표 [0] 4 2 25 6" xfId="2284"/>
    <cellStyle name="쉼표 [0] 4 2 26" xfId="2285"/>
    <cellStyle name="쉼표 [0] 4 2 26 2" xfId="2286"/>
    <cellStyle name="쉼표 [0] 4 2 26 2 2" xfId="2287"/>
    <cellStyle name="쉼표 [0] 4 2 26 2 2 2" xfId="2288"/>
    <cellStyle name="쉼표 [0] 4 2 26 3" xfId="2289"/>
    <cellStyle name="쉼표 [0] 4 2 26 4" xfId="2290"/>
    <cellStyle name="쉼표 [0] 4 2 26 5" xfId="2291"/>
    <cellStyle name="쉼표 [0] 4 2 26 6" xfId="2292"/>
    <cellStyle name="쉼표 [0] 4 2 27" xfId="2293"/>
    <cellStyle name="쉼표 [0] 4 2 27 2" xfId="2294"/>
    <cellStyle name="쉼표 [0] 4 2 27 2 2" xfId="2295"/>
    <cellStyle name="쉼표 [0] 4 2 27 2 2 2" xfId="2296"/>
    <cellStyle name="쉼표 [0] 4 2 27 3" xfId="2297"/>
    <cellStyle name="쉼표 [0] 4 2 27 4" xfId="2298"/>
    <cellStyle name="쉼표 [0] 4 2 27 5" xfId="2299"/>
    <cellStyle name="쉼표 [0] 4 2 27 6" xfId="2300"/>
    <cellStyle name="쉼표 [0] 4 2 28" xfId="2301"/>
    <cellStyle name="쉼표 [0] 4 2 28 2" xfId="2302"/>
    <cellStyle name="쉼표 [0] 4 2 28 2 2" xfId="2303"/>
    <cellStyle name="쉼표 [0] 4 2 28 2 2 2" xfId="2304"/>
    <cellStyle name="쉼표 [0] 4 2 28 3" xfId="2305"/>
    <cellStyle name="쉼표 [0] 4 2 28 4" xfId="2306"/>
    <cellStyle name="쉼표 [0] 4 2 28 5" xfId="2307"/>
    <cellStyle name="쉼표 [0] 4 2 28 6" xfId="2308"/>
    <cellStyle name="쉼표 [0] 4 2 29" xfId="2309"/>
    <cellStyle name="쉼표 [0] 4 2 29 2" xfId="2310"/>
    <cellStyle name="쉼표 [0] 4 2 29 2 2" xfId="2311"/>
    <cellStyle name="쉼표 [0] 4 2 29 2 2 2" xfId="2312"/>
    <cellStyle name="쉼표 [0] 4 2 29 3" xfId="2313"/>
    <cellStyle name="쉼표 [0] 4 2 29 4" xfId="2314"/>
    <cellStyle name="쉼표 [0] 4 2 29 5" xfId="2315"/>
    <cellStyle name="쉼표 [0] 4 2 29 6" xfId="2316"/>
    <cellStyle name="쉼표 [0] 4 2 3" xfId="2317"/>
    <cellStyle name="쉼표 [0] 4 2 3 2" xfId="2318"/>
    <cellStyle name="쉼표 [0] 4 2 3 2 2" xfId="2319"/>
    <cellStyle name="쉼표 [0] 4 2 3 2 2 2" xfId="2320"/>
    <cellStyle name="쉼표 [0] 4 2 3 3" xfId="2321"/>
    <cellStyle name="쉼표 [0] 4 2 3 4" xfId="2322"/>
    <cellStyle name="쉼표 [0] 4 2 3 5" xfId="2323"/>
    <cellStyle name="쉼표 [0] 4 2 3 6" xfId="2324"/>
    <cellStyle name="쉼표 [0] 4 2 30" xfId="2325"/>
    <cellStyle name="쉼표 [0] 4 2 30 2" xfId="2326"/>
    <cellStyle name="쉼표 [0] 4 2 30 2 2" xfId="2327"/>
    <cellStyle name="쉼표 [0] 4 2 30 2 2 2" xfId="2328"/>
    <cellStyle name="쉼표 [0] 4 2 30 3" xfId="2329"/>
    <cellStyle name="쉼표 [0] 4 2 30 4" xfId="2330"/>
    <cellStyle name="쉼표 [0] 4 2 30 5" xfId="2331"/>
    <cellStyle name="쉼표 [0] 4 2 30 6" xfId="2332"/>
    <cellStyle name="쉼표 [0] 4 2 31" xfId="2333"/>
    <cellStyle name="쉼표 [0] 4 2 31 2" xfId="2334"/>
    <cellStyle name="쉼표 [0] 4 2 31 2 2" xfId="2335"/>
    <cellStyle name="쉼표 [0] 4 2 31 2 2 2" xfId="2336"/>
    <cellStyle name="쉼표 [0] 4 2 31 3" xfId="2337"/>
    <cellStyle name="쉼표 [0] 4 2 31 4" xfId="2338"/>
    <cellStyle name="쉼표 [0] 4 2 31 5" xfId="2339"/>
    <cellStyle name="쉼표 [0] 4 2 31 6" xfId="2340"/>
    <cellStyle name="쉼표 [0] 4 2 32" xfId="2341"/>
    <cellStyle name="쉼표 [0] 4 2 32 2" xfId="2342"/>
    <cellStyle name="쉼표 [0] 4 2 32 2 2" xfId="2343"/>
    <cellStyle name="쉼표 [0] 4 2 32 2 2 2" xfId="2344"/>
    <cellStyle name="쉼표 [0] 4 2 32 3" xfId="2345"/>
    <cellStyle name="쉼표 [0] 4 2 32 4" xfId="2346"/>
    <cellStyle name="쉼표 [0] 4 2 32 5" xfId="2347"/>
    <cellStyle name="쉼표 [0] 4 2 32 6" xfId="2348"/>
    <cellStyle name="쉼표 [0] 4 2 33" xfId="2349"/>
    <cellStyle name="쉼표 [0] 4 2 33 2" xfId="2350"/>
    <cellStyle name="쉼표 [0] 4 2 33 2 2" xfId="2351"/>
    <cellStyle name="쉼표 [0] 4 2 33 2 2 2" xfId="2352"/>
    <cellStyle name="쉼표 [0] 4 2 33 3" xfId="2353"/>
    <cellStyle name="쉼표 [0] 4 2 33 4" xfId="2354"/>
    <cellStyle name="쉼표 [0] 4 2 33 5" xfId="2355"/>
    <cellStyle name="쉼표 [0] 4 2 33 6" xfId="2356"/>
    <cellStyle name="쉼표 [0] 4 2 34" xfId="2357"/>
    <cellStyle name="쉼표 [0] 4 2 34 2" xfId="2358"/>
    <cellStyle name="쉼표 [0] 4 2 34 2 2" xfId="2359"/>
    <cellStyle name="쉼표 [0] 4 2 34 2 2 2" xfId="2360"/>
    <cellStyle name="쉼표 [0] 4 2 34 3" xfId="2361"/>
    <cellStyle name="쉼표 [0] 4 2 34 4" xfId="2362"/>
    <cellStyle name="쉼표 [0] 4 2 34 5" xfId="2363"/>
    <cellStyle name="쉼표 [0] 4 2 34 6" xfId="2364"/>
    <cellStyle name="쉼표 [0] 4 2 35" xfId="2365"/>
    <cellStyle name="쉼표 [0] 4 2 35 2" xfId="2366"/>
    <cellStyle name="쉼표 [0] 4 2 35 2 2" xfId="2367"/>
    <cellStyle name="쉼표 [0] 4 2 35 2 2 2" xfId="2368"/>
    <cellStyle name="쉼표 [0] 4 2 35 3" xfId="2369"/>
    <cellStyle name="쉼표 [0] 4 2 35 4" xfId="2370"/>
    <cellStyle name="쉼표 [0] 4 2 35 5" xfId="2371"/>
    <cellStyle name="쉼표 [0] 4 2 35 6" xfId="2372"/>
    <cellStyle name="쉼표 [0] 4 2 36" xfId="2373"/>
    <cellStyle name="쉼표 [0] 4 2 36 2" xfId="2374"/>
    <cellStyle name="쉼표 [0] 4 2 36 3" xfId="2375"/>
    <cellStyle name="쉼표 [0] 4 2 36 4" xfId="2376"/>
    <cellStyle name="쉼표 [0] 4 2 36 5" xfId="2377"/>
    <cellStyle name="쉼표 [0] 4 2 36 5 2" xfId="2378"/>
    <cellStyle name="쉼표 [0] 4 2 36 6" xfId="2379"/>
    <cellStyle name="쉼표 [0] 4 2 37" xfId="2380"/>
    <cellStyle name="쉼표 [0] 4 2 37 2" xfId="2381"/>
    <cellStyle name="쉼표 [0] 4 2 37 3" xfId="2382"/>
    <cellStyle name="쉼표 [0] 4 2 37 4" xfId="2383"/>
    <cellStyle name="쉼표 [0] 4 2 37 5" xfId="2384"/>
    <cellStyle name="쉼표 [0] 4 2 38" xfId="2385"/>
    <cellStyle name="쉼표 [0] 4 2 38 2" xfId="2386"/>
    <cellStyle name="쉼표 [0] 4 2 38 3" xfId="2387"/>
    <cellStyle name="쉼표 [0] 4 2 38 4" xfId="2388"/>
    <cellStyle name="쉼표 [0] 4 2 38 5" xfId="2389"/>
    <cellStyle name="쉼표 [0] 4 2 39" xfId="2390"/>
    <cellStyle name="쉼표 [0] 4 2 39 2" xfId="2391"/>
    <cellStyle name="쉼표 [0] 4 2 4" xfId="2392"/>
    <cellStyle name="쉼표 [0] 4 2 4 2" xfId="2393"/>
    <cellStyle name="쉼표 [0] 4 2 4 2 2" xfId="2394"/>
    <cellStyle name="쉼표 [0] 4 2 4 2 2 2" xfId="2395"/>
    <cellStyle name="쉼표 [0] 4 2 4 3" xfId="2396"/>
    <cellStyle name="쉼표 [0] 4 2 4 4" xfId="2397"/>
    <cellStyle name="쉼표 [0] 4 2 4 5" xfId="2398"/>
    <cellStyle name="쉼표 [0] 4 2 4 6" xfId="2399"/>
    <cellStyle name="쉼표 [0] 4 2 40" xfId="2400"/>
    <cellStyle name="쉼표 [0] 4 2 5" xfId="2401"/>
    <cellStyle name="쉼표 [0] 4 2 5 2" xfId="2402"/>
    <cellStyle name="쉼표 [0] 4 2 5 2 2" xfId="2403"/>
    <cellStyle name="쉼표 [0] 4 2 5 2 2 2" xfId="2404"/>
    <cellStyle name="쉼표 [0] 4 2 5 3" xfId="2405"/>
    <cellStyle name="쉼표 [0] 4 2 5 4" xfId="2406"/>
    <cellStyle name="쉼표 [0] 4 2 5 5" xfId="2407"/>
    <cellStyle name="쉼표 [0] 4 2 5 6" xfId="2408"/>
    <cellStyle name="쉼표 [0] 4 2 6" xfId="2409"/>
    <cellStyle name="쉼표 [0] 4 2 6 2" xfId="2410"/>
    <cellStyle name="쉼표 [0] 4 2 6 2 2" xfId="2411"/>
    <cellStyle name="쉼표 [0] 4 2 6 2 2 2" xfId="2412"/>
    <cellStyle name="쉼표 [0] 4 2 6 3" xfId="2413"/>
    <cellStyle name="쉼표 [0] 4 2 6 4" xfId="2414"/>
    <cellStyle name="쉼표 [0] 4 2 6 5" xfId="2415"/>
    <cellStyle name="쉼표 [0] 4 2 6 6" xfId="2416"/>
    <cellStyle name="쉼표 [0] 4 2 7" xfId="2417"/>
    <cellStyle name="쉼표 [0] 4 2 7 2" xfId="2418"/>
    <cellStyle name="쉼표 [0] 4 2 7 2 2" xfId="2419"/>
    <cellStyle name="쉼표 [0] 4 2 7 2 2 2" xfId="2420"/>
    <cellStyle name="쉼표 [0] 4 2 7 3" xfId="2421"/>
    <cellStyle name="쉼표 [0] 4 2 7 4" xfId="2422"/>
    <cellStyle name="쉼표 [0] 4 2 7 5" xfId="2423"/>
    <cellStyle name="쉼표 [0] 4 2 7 6" xfId="2424"/>
    <cellStyle name="쉼표 [0] 4 2 8" xfId="2425"/>
    <cellStyle name="쉼표 [0] 4 2 8 2" xfId="2426"/>
    <cellStyle name="쉼표 [0] 4 2 8 2 2" xfId="2427"/>
    <cellStyle name="쉼표 [0] 4 2 8 2 2 2" xfId="2428"/>
    <cellStyle name="쉼표 [0] 4 2 8 3" xfId="2429"/>
    <cellStyle name="쉼표 [0] 4 2 8 4" xfId="2430"/>
    <cellStyle name="쉼표 [0] 4 2 8 5" xfId="2431"/>
    <cellStyle name="쉼표 [0] 4 2 8 6" xfId="2432"/>
    <cellStyle name="쉼표 [0] 4 2 9" xfId="2433"/>
    <cellStyle name="쉼표 [0] 4 2 9 2" xfId="2434"/>
    <cellStyle name="쉼표 [0] 4 2 9 2 2" xfId="2435"/>
    <cellStyle name="쉼표 [0] 4 2 9 2 2 2" xfId="2436"/>
    <cellStyle name="쉼표 [0] 4 2 9 3" xfId="2437"/>
    <cellStyle name="쉼표 [0] 4 2 9 4" xfId="2438"/>
    <cellStyle name="쉼표 [0] 4 2 9 5" xfId="2439"/>
    <cellStyle name="쉼표 [0] 4 2 9 6" xfId="2440"/>
    <cellStyle name="쉼표 [0] 4 20" xfId="2441"/>
    <cellStyle name="쉼표 [0] 4 21" xfId="2442"/>
    <cellStyle name="쉼표 [0] 4 22" xfId="2443"/>
    <cellStyle name="쉼표 [0] 4 23" xfId="2444"/>
    <cellStyle name="쉼표 [0] 4 24" xfId="2445"/>
    <cellStyle name="쉼표 [0] 4 25" xfId="2446"/>
    <cellStyle name="쉼표 [0] 4 26" xfId="2447"/>
    <cellStyle name="쉼표 [0] 4 27" xfId="2448"/>
    <cellStyle name="쉼표 [0] 4 28" xfId="2449"/>
    <cellStyle name="쉼표 [0] 4 29" xfId="2450"/>
    <cellStyle name="쉼표 [0] 4 3" xfId="2451"/>
    <cellStyle name="쉼표 [0] 4 3 2" xfId="2452"/>
    <cellStyle name="쉼표 [0] 4 3 2 2" xfId="2453"/>
    <cellStyle name="쉼표 [0] 4 3 2 2 2" xfId="2454"/>
    <cellStyle name="쉼표 [0] 4 3 2 3" xfId="2455"/>
    <cellStyle name="쉼표 [0] 4 3 3" xfId="2456"/>
    <cellStyle name="쉼표 [0] 4 3 4" xfId="2457"/>
    <cellStyle name="쉼표 [0] 4 3 5" xfId="2458"/>
    <cellStyle name="쉼표 [0] 4 3 6" xfId="2459"/>
    <cellStyle name="쉼표 [0] 4 3 7" xfId="2460"/>
    <cellStyle name="쉼표 [0] 4 30" xfId="2461"/>
    <cellStyle name="쉼표 [0] 4 31" xfId="2462"/>
    <cellStyle name="쉼표 [0] 4 32" xfId="2463"/>
    <cellStyle name="쉼표 [0] 4 33" xfId="2464"/>
    <cellStyle name="쉼표 [0] 4 34" xfId="2465"/>
    <cellStyle name="쉼표 [0] 4 35" xfId="2466"/>
    <cellStyle name="쉼표 [0] 4 36" xfId="2467"/>
    <cellStyle name="쉼표 [0] 4 37" xfId="2468"/>
    <cellStyle name="쉼표 [0] 4 38" xfId="2469"/>
    <cellStyle name="쉼표 [0] 4 39" xfId="2470"/>
    <cellStyle name="쉼표 [0] 4 4" xfId="2471"/>
    <cellStyle name="쉼표 [0] 4 4 2" xfId="2472"/>
    <cellStyle name="쉼표 [0] 4 4 2 2" xfId="2473"/>
    <cellStyle name="쉼표 [0] 4 4 2 2 2" xfId="2474"/>
    <cellStyle name="쉼표 [0] 4 4 2 3" xfId="2475"/>
    <cellStyle name="쉼표 [0] 4 4 3" xfId="2476"/>
    <cellStyle name="쉼표 [0] 4 4 4" xfId="2477"/>
    <cellStyle name="쉼표 [0] 4 4 5" xfId="2478"/>
    <cellStyle name="쉼표 [0] 4 4 6" xfId="2479"/>
    <cellStyle name="쉼표 [0] 4 4 7" xfId="2480"/>
    <cellStyle name="쉼표 [0] 4 40" xfId="2481"/>
    <cellStyle name="쉼표 [0] 4 41" xfId="2482"/>
    <cellStyle name="쉼표 [0] 4 42" xfId="2483"/>
    <cellStyle name="쉼표 [0] 4 43" xfId="2484"/>
    <cellStyle name="쉼표 [0] 4 44" xfId="2485"/>
    <cellStyle name="쉼표 [0] 4 45" xfId="2486"/>
    <cellStyle name="쉼표 [0] 4 46" xfId="2487"/>
    <cellStyle name="쉼표 [0] 4 47" xfId="2488"/>
    <cellStyle name="쉼표 [0] 4 48" xfId="2489"/>
    <cellStyle name="쉼표 [0] 4 49" xfId="2490"/>
    <cellStyle name="쉼표 [0] 4 5" xfId="2491"/>
    <cellStyle name="쉼표 [0] 4 5 2" xfId="2492"/>
    <cellStyle name="쉼표 [0] 4 5 2 2" xfId="2493"/>
    <cellStyle name="쉼표 [0] 4 5 2 2 2" xfId="2494"/>
    <cellStyle name="쉼표 [0] 4 5 2 3" xfId="2495"/>
    <cellStyle name="쉼표 [0] 4 5 3" xfId="2496"/>
    <cellStyle name="쉼표 [0] 4 5 4" xfId="2497"/>
    <cellStyle name="쉼표 [0] 4 5 5" xfId="2498"/>
    <cellStyle name="쉼표 [0] 4 5 6" xfId="2499"/>
    <cellStyle name="쉼표 [0] 4 5 7" xfId="2500"/>
    <cellStyle name="쉼표 [0] 4 50" xfId="2501"/>
    <cellStyle name="쉼표 [0] 4 6" xfId="2502"/>
    <cellStyle name="쉼표 [0] 4 6 2" xfId="2503"/>
    <cellStyle name="쉼표 [0] 4 6 2 2" xfId="2504"/>
    <cellStyle name="쉼표 [0] 4 6 2 2 2" xfId="2505"/>
    <cellStyle name="쉼표 [0] 4 6 2 3" xfId="2506"/>
    <cellStyle name="쉼표 [0] 4 6 3" xfId="2507"/>
    <cellStyle name="쉼표 [0] 4 6 4" xfId="2508"/>
    <cellStyle name="쉼표 [0] 4 6 5" xfId="2509"/>
    <cellStyle name="쉼표 [0] 4 6 6" xfId="2510"/>
    <cellStyle name="쉼표 [0] 4 6 7" xfId="2511"/>
    <cellStyle name="쉼표 [0] 4 7" xfId="2512"/>
    <cellStyle name="쉼표 [0] 4 7 2" xfId="2513"/>
    <cellStyle name="쉼표 [0] 4 7 2 2" xfId="2514"/>
    <cellStyle name="쉼표 [0] 4 7 2 3" xfId="2515"/>
    <cellStyle name="쉼표 [0] 4 7 2 4" xfId="2516"/>
    <cellStyle name="쉼표 [0] 4 7 2 5" xfId="2517"/>
    <cellStyle name="쉼표 [0] 4 7 2 6" xfId="2518"/>
    <cellStyle name="쉼표 [0] 4 7 2 7" xfId="2519"/>
    <cellStyle name="쉼표 [0] 4 7 2 8" xfId="2520"/>
    <cellStyle name="쉼표 [0] 4 7 2 9" xfId="2521"/>
    <cellStyle name="쉼표 [0] 4 7 3" xfId="2522"/>
    <cellStyle name="쉼표 [0] 4 7 3 2" xfId="2523"/>
    <cellStyle name="쉼표 [0] 4 7 3 3" xfId="2524"/>
    <cellStyle name="쉼표 [0] 4 7 3 4" xfId="2525"/>
    <cellStyle name="쉼표 [0] 4 7 3 5" xfId="2526"/>
    <cellStyle name="쉼표 [0] 4 7 3 5 2" xfId="2527"/>
    <cellStyle name="쉼표 [0] 4 7 3 6" xfId="2528"/>
    <cellStyle name="쉼표 [0] 4 7 4" xfId="2529"/>
    <cellStyle name="쉼표 [0] 4 7 4 2" xfId="2530"/>
    <cellStyle name="쉼표 [0] 4 7 4 3" xfId="2531"/>
    <cellStyle name="쉼표 [0] 4 7 4 4" xfId="2532"/>
    <cellStyle name="쉼표 [0] 4 7 4 5" xfId="2533"/>
    <cellStyle name="쉼표 [0] 4 7 5" xfId="2534"/>
    <cellStyle name="쉼표 [0] 4 8" xfId="2535"/>
    <cellStyle name="쉼표 [0] 4 9" xfId="2536"/>
    <cellStyle name="쉼표 [0] 40" xfId="3121"/>
    <cellStyle name="쉼표 [0] 41" xfId="3125"/>
    <cellStyle name="쉼표 [0] 42" xfId="3145"/>
    <cellStyle name="쉼표 [0] 43" xfId="3175"/>
    <cellStyle name="쉼표 [0] 44" xfId="3184"/>
    <cellStyle name="쉼표 [0] 45" xfId="3197"/>
    <cellStyle name="쉼표 [0] 46" xfId="3216"/>
    <cellStyle name="쉼표 [0] 46 2" xfId="3276"/>
    <cellStyle name="쉼표 [0] 46 2 2" xfId="3388"/>
    <cellStyle name="쉼표 [0] 46 2 2 2" xfId="3717"/>
    <cellStyle name="쉼표 [0] 46 2 3" xfId="3497"/>
    <cellStyle name="쉼표 [0] 46 2 3 2" xfId="3826"/>
    <cellStyle name="쉼표 [0] 46 2 4" xfId="3609"/>
    <cellStyle name="쉼표 [0] 46 3" xfId="3334"/>
    <cellStyle name="쉼표 [0] 46 3 2" xfId="3663"/>
    <cellStyle name="쉼표 [0] 46 4" xfId="3443"/>
    <cellStyle name="쉼표 [0] 46 4 2" xfId="3772"/>
    <cellStyle name="쉼표 [0] 46 5" xfId="3555"/>
    <cellStyle name="쉼표 [0] 47" xfId="3240"/>
    <cellStyle name="쉼표 [0] 48" xfId="3298"/>
    <cellStyle name="쉼표 [0] 49" xfId="3519"/>
    <cellStyle name="쉼표 [0] 5" xfId="2537"/>
    <cellStyle name="쉼표 [0] 5 10" xfId="2538"/>
    <cellStyle name="쉼표 [0] 5 11" xfId="2539"/>
    <cellStyle name="쉼표 [0] 5 12" xfId="2540"/>
    <cellStyle name="쉼표 [0] 5 13" xfId="2541"/>
    <cellStyle name="쉼표 [0] 5 2" xfId="2542"/>
    <cellStyle name="쉼표 [0] 5 2 2" xfId="2543"/>
    <cellStyle name="쉼표 [0] 5 2 2 2" xfId="2544"/>
    <cellStyle name="쉼표 [0] 5 2 2 2 2" xfId="2545"/>
    <cellStyle name="쉼표 [0] 5 2 2 3" xfId="2546"/>
    <cellStyle name="쉼표 [0] 5 2 3" xfId="2547"/>
    <cellStyle name="쉼표 [0] 5 2 4" xfId="2548"/>
    <cellStyle name="쉼표 [0] 5 2 5" xfId="2549"/>
    <cellStyle name="쉼표 [0] 5 2 6" xfId="2550"/>
    <cellStyle name="쉼표 [0] 5 2 7" xfId="2551"/>
    <cellStyle name="쉼표 [0] 5 3" xfId="2552"/>
    <cellStyle name="쉼표 [0] 5 4" xfId="2553"/>
    <cellStyle name="쉼표 [0] 5 5" xfId="2554"/>
    <cellStyle name="쉼표 [0] 5 6" xfId="2555"/>
    <cellStyle name="쉼표 [0] 5 7" xfId="2556"/>
    <cellStyle name="쉼표 [0] 5 8" xfId="2557"/>
    <cellStyle name="쉼표 [0] 5 9" xfId="2558"/>
    <cellStyle name="쉼표 [0] 50" xfId="1132"/>
    <cellStyle name="쉼표 [0] 6" xfId="2559"/>
    <cellStyle name="쉼표 [0] 6 10" xfId="2560"/>
    <cellStyle name="쉼표 [0] 6 11" xfId="2561"/>
    <cellStyle name="쉼표 [0] 6 12" xfId="2562"/>
    <cellStyle name="쉼표 [0] 6 13" xfId="2563"/>
    <cellStyle name="쉼표 [0] 6 14" xfId="2564"/>
    <cellStyle name="쉼표 [0] 6 2" xfId="2565"/>
    <cellStyle name="쉼표 [0] 6 2 2" xfId="2566"/>
    <cellStyle name="쉼표 [0] 6 2 2 2" xfId="2567"/>
    <cellStyle name="쉼표 [0] 6 2 2 2 2" xfId="2568"/>
    <cellStyle name="쉼표 [0] 6 2 2 3" xfId="2569"/>
    <cellStyle name="쉼표 [0] 6 2 3" xfId="2570"/>
    <cellStyle name="쉼표 [0] 6 2 4" xfId="2571"/>
    <cellStyle name="쉼표 [0] 6 2 5" xfId="2572"/>
    <cellStyle name="쉼표 [0] 6 2 6" xfId="2573"/>
    <cellStyle name="쉼표 [0] 6 2 7" xfId="2574"/>
    <cellStyle name="쉼표 [0] 6 3" xfId="2575"/>
    <cellStyle name="쉼표 [0] 6 3 2" xfId="2576"/>
    <cellStyle name="쉼표 [0] 6 3 2 2" xfId="2577"/>
    <cellStyle name="쉼표 [0] 6 3 2 2 2" xfId="2578"/>
    <cellStyle name="쉼표 [0] 6 3 2 3" xfId="2579"/>
    <cellStyle name="쉼표 [0] 6 3 3" xfId="2580"/>
    <cellStyle name="쉼표 [0] 6 3 4" xfId="2581"/>
    <cellStyle name="쉼표 [0] 6 3 5" xfId="2582"/>
    <cellStyle name="쉼표 [0] 6 3 6" xfId="2583"/>
    <cellStyle name="쉼표 [0] 6 3 7" xfId="2584"/>
    <cellStyle name="쉼표 [0] 6 4" xfId="2585"/>
    <cellStyle name="쉼표 [0] 6 5" xfId="2586"/>
    <cellStyle name="쉼표 [0] 6 6" xfId="2587"/>
    <cellStyle name="쉼표 [0] 6 7" xfId="2588"/>
    <cellStyle name="쉼표 [0] 6 8" xfId="2589"/>
    <cellStyle name="쉼표 [0] 6 9" xfId="2590"/>
    <cellStyle name="쉼표 [0] 7" xfId="2591"/>
    <cellStyle name="쉼표 [0] 7 10" xfId="2592"/>
    <cellStyle name="쉼표 [0] 7 11" xfId="2593"/>
    <cellStyle name="쉼표 [0] 7 12" xfId="2594"/>
    <cellStyle name="쉼표 [0] 7 2" xfId="2595"/>
    <cellStyle name="쉼표 [0] 7 3" xfId="2596"/>
    <cellStyle name="쉼표 [0] 7 4" xfId="2597"/>
    <cellStyle name="쉼표 [0] 7 5" xfId="2598"/>
    <cellStyle name="쉼표 [0] 7 6" xfId="2599"/>
    <cellStyle name="쉼표 [0] 7 7" xfId="2600"/>
    <cellStyle name="쉼표 [0] 7 8" xfId="2601"/>
    <cellStyle name="쉼표 [0] 7 9" xfId="2602"/>
    <cellStyle name="쉼표 [0] 8" xfId="2603"/>
    <cellStyle name="쉼표 [0] 8 10" xfId="2604"/>
    <cellStyle name="쉼표 [0] 8 11" xfId="2605"/>
    <cellStyle name="쉼표 [0] 8 12" xfId="2606"/>
    <cellStyle name="쉼표 [0] 8 2" xfId="2607"/>
    <cellStyle name="쉼표 [0] 8 3" xfId="2608"/>
    <cellStyle name="쉼표 [0] 8 4" xfId="2609"/>
    <cellStyle name="쉼표 [0] 8 5" xfId="2610"/>
    <cellStyle name="쉼표 [0] 8 6" xfId="2611"/>
    <cellStyle name="쉼표 [0] 8 7" xfId="2612"/>
    <cellStyle name="쉼표 [0] 8 8" xfId="2613"/>
    <cellStyle name="쉼표 [0] 8 9" xfId="2614"/>
    <cellStyle name="쉼표 [0] 9" xfId="2615"/>
    <cellStyle name="쉼표 [0] 9 10" xfId="2616"/>
    <cellStyle name="쉼표 [0] 9 11" xfId="2617"/>
    <cellStyle name="쉼표 [0] 9 12" xfId="2618"/>
    <cellStyle name="쉼표 [0] 9 2" xfId="2619"/>
    <cellStyle name="쉼표 [0] 9 3" xfId="2620"/>
    <cellStyle name="쉼표 [0] 9 4" xfId="2621"/>
    <cellStyle name="쉼표 [0] 9 5" xfId="2622"/>
    <cellStyle name="쉼표 [0] 9 6" xfId="2623"/>
    <cellStyle name="쉼표 [0] 9 7" xfId="2624"/>
    <cellStyle name="쉼표 [0] 9 8" xfId="2625"/>
    <cellStyle name="쉼표 [0] 9 9" xfId="2626"/>
    <cellStyle name="스타일 1" xfId="2627"/>
    <cellStyle name="스타일 1 2" xfId="3147"/>
    <cellStyle name="스타일 10" xfId="3148"/>
    <cellStyle name="스타일 11" xfId="3149"/>
    <cellStyle name="스타일 12" xfId="3150"/>
    <cellStyle name="스타일 13" xfId="3151"/>
    <cellStyle name="스타일 14" xfId="3152"/>
    <cellStyle name="스타일 15" xfId="3153"/>
    <cellStyle name="스타일 16" xfId="3154"/>
    <cellStyle name="스타일 17" xfId="3155"/>
    <cellStyle name="스타일 18" xfId="3156"/>
    <cellStyle name="스타일 19" xfId="3157"/>
    <cellStyle name="스타일 2" xfId="3158"/>
    <cellStyle name="스타일 20" xfId="3159"/>
    <cellStyle name="스타일 21" xfId="3160"/>
    <cellStyle name="스타일 3" xfId="3161"/>
    <cellStyle name="스타일 4" xfId="3162"/>
    <cellStyle name="스타일 5" xfId="3163"/>
    <cellStyle name="스타일 6" xfId="3164"/>
    <cellStyle name="스타일 7" xfId="3165"/>
    <cellStyle name="스타일 8" xfId="3166"/>
    <cellStyle name="스타일 9" xfId="3167"/>
    <cellStyle name="연결된 셀 2" xfId="2628"/>
    <cellStyle name="요약 2" xfId="2629"/>
    <cellStyle name="입력 2" xfId="2630"/>
    <cellStyle name="제목 1 2" xfId="2631"/>
    <cellStyle name="제목 2 2" xfId="2632"/>
    <cellStyle name="제목 3 2" xfId="2633"/>
    <cellStyle name="제목 4 2" xfId="2634"/>
    <cellStyle name="제목 5" xfId="2635"/>
    <cellStyle name="좋음 2" xfId="2636"/>
    <cellStyle name="출력 2" xfId="2637"/>
    <cellStyle name="콤마 [0]_1" xfId="2638"/>
    <cellStyle name="콤마_1" xfId="2639"/>
    <cellStyle name="통화 [0]" xfId="7" builtinId="7"/>
    <cellStyle name="통화 [0] 10" xfId="2641"/>
    <cellStyle name="통화 [0] 11" xfId="2642"/>
    <cellStyle name="통화 [0] 12" xfId="3118"/>
    <cellStyle name="통화 [0] 12 2" xfId="2643"/>
    <cellStyle name="통화 [0] 13" xfId="3126"/>
    <cellStyle name="통화 [0] 14" xfId="3176"/>
    <cellStyle name="통화 [0] 15" xfId="3185"/>
    <cellStyle name="통화 [0] 16" xfId="3198"/>
    <cellStyle name="통화 [0] 17" xfId="3217"/>
    <cellStyle name="통화 [0] 17 2" xfId="3277"/>
    <cellStyle name="통화 [0] 17 2 2" xfId="3389"/>
    <cellStyle name="통화 [0] 17 2 2 2" xfId="3718"/>
    <cellStyle name="통화 [0] 17 2 3" xfId="3498"/>
    <cellStyle name="통화 [0] 17 2 3 2" xfId="3827"/>
    <cellStyle name="통화 [0] 17 2 4" xfId="3610"/>
    <cellStyle name="통화 [0] 17 3" xfId="3335"/>
    <cellStyle name="통화 [0] 17 3 2" xfId="3664"/>
    <cellStyle name="통화 [0] 17 4" xfId="3444"/>
    <cellStyle name="통화 [0] 17 4 2" xfId="3773"/>
    <cellStyle name="통화 [0] 17 5" xfId="3556"/>
    <cellStyle name="통화 [0] 18" xfId="3241"/>
    <cellStyle name="통화 [0] 19" xfId="3299"/>
    <cellStyle name="통화 [0] 2" xfId="2644"/>
    <cellStyle name="통화 [0] 2 10" xfId="2645"/>
    <cellStyle name="통화 [0] 2 10 2" xfId="2646"/>
    <cellStyle name="통화 [0] 2 10 3" xfId="2647"/>
    <cellStyle name="통화 [0] 2 11" xfId="2648"/>
    <cellStyle name="통화 [0] 2 11 2" xfId="2649"/>
    <cellStyle name="통화 [0] 2 11 3" xfId="2650"/>
    <cellStyle name="통화 [0] 2 12" xfId="2651"/>
    <cellStyle name="통화 [0] 2 12 2" xfId="2652"/>
    <cellStyle name="통화 [0] 2 12 3" xfId="2653"/>
    <cellStyle name="통화 [0] 2 13" xfId="2654"/>
    <cellStyle name="통화 [0] 2 13 2" xfId="2655"/>
    <cellStyle name="통화 [0] 2 13 3" xfId="2656"/>
    <cellStyle name="통화 [0] 2 14" xfId="2657"/>
    <cellStyle name="통화 [0] 2 14 2" xfId="2658"/>
    <cellStyle name="통화 [0] 2 14 3" xfId="2659"/>
    <cellStyle name="통화 [0] 2 15" xfId="2660"/>
    <cellStyle name="통화 [0] 2 15 2" xfId="2661"/>
    <cellStyle name="통화 [0] 2 15 3" xfId="2662"/>
    <cellStyle name="통화 [0] 2 16" xfId="2663"/>
    <cellStyle name="통화 [0] 2 17" xfId="2664"/>
    <cellStyle name="통화 [0] 2 18" xfId="2665"/>
    <cellStyle name="통화 [0] 2 19" xfId="2666"/>
    <cellStyle name="통화 [0] 2 2" xfId="2667"/>
    <cellStyle name="통화 [0] 2 2 10" xfId="2668"/>
    <cellStyle name="통화 [0] 2 2 2" xfId="2669"/>
    <cellStyle name="통화 [0] 2 2 2 2" xfId="2670"/>
    <cellStyle name="통화 [0] 2 2 2 2 2" xfId="2671"/>
    <cellStyle name="통화 [0] 2 2 2 2 2 2" xfId="2672"/>
    <cellStyle name="통화 [0] 2 2 2 2 2 2 2" xfId="2673"/>
    <cellStyle name="통화 [0] 2 2 2 2 2 2 2 2" xfId="2674"/>
    <cellStyle name="통화 [0] 2 2 2 2 2 2 2 2 2" xfId="2675"/>
    <cellStyle name="통화 [0] 2 2 2 2 2 2 2 2 2 2" xfId="2676"/>
    <cellStyle name="통화 [0] 2 2 2 2 2 2 2 2 2 2 2" xfId="2677"/>
    <cellStyle name="통화 [0] 2 2 2 2 2 2 2 2 2 2 2 2" xfId="2678"/>
    <cellStyle name="통화 [0] 2 2 2 2 2 2 2 2 2 2 2 2 2" xfId="2679"/>
    <cellStyle name="통화 [0] 2 2 2 2 2 2 2 2 2 2 3" xfId="2680"/>
    <cellStyle name="통화 [0] 2 2 2 2 2 2 2 2 2 3" xfId="2681"/>
    <cellStyle name="통화 [0] 2 2 2 2 2 2 2 2 3" xfId="2682"/>
    <cellStyle name="통화 [0] 2 2 2 2 2 2 2 2 4" xfId="2683"/>
    <cellStyle name="통화 [0] 2 2 2 2 2 2 2 3" xfId="2684"/>
    <cellStyle name="통화 [0] 2 2 2 2 2 2 2 3 2" xfId="2685"/>
    <cellStyle name="통화 [0] 2 2 2 2 2 2 2 4" xfId="2686"/>
    <cellStyle name="통화 [0] 2 2 2 2 2 2 3" xfId="2687"/>
    <cellStyle name="통화 [0] 2 2 2 2 2 2 4" xfId="2688"/>
    <cellStyle name="통화 [0] 2 2 2 2 2 2 5" xfId="2689"/>
    <cellStyle name="통화 [0] 2 2 2 2 2 3" xfId="2690"/>
    <cellStyle name="통화 [0] 2 2 2 2 2 3 2" xfId="2691"/>
    <cellStyle name="통화 [0] 2 2 2 2 2 4" xfId="2692"/>
    <cellStyle name="통화 [0] 2 2 2 2 2 4 2" xfId="2693"/>
    <cellStyle name="통화 [0] 2 2 2 2 2 5" xfId="2694"/>
    <cellStyle name="통화 [0] 2 2 2 2 3" xfId="2695"/>
    <cellStyle name="통화 [0] 2 2 2 2 4" xfId="2696"/>
    <cellStyle name="통화 [0] 2 2 2 2 5" xfId="2697"/>
    <cellStyle name="통화 [0] 2 2 2 2 6" xfId="2698"/>
    <cellStyle name="통화 [0] 2 2 2 3" xfId="2699"/>
    <cellStyle name="통화 [0] 2 2 2 4" xfId="2700"/>
    <cellStyle name="통화 [0] 2 2 2 5" xfId="2701"/>
    <cellStyle name="통화 [0] 2 2 2 6" xfId="2702"/>
    <cellStyle name="통화 [0] 2 2 3" xfId="2703"/>
    <cellStyle name="통화 [0] 2 2 4" xfId="2704"/>
    <cellStyle name="통화 [0] 2 2 5" xfId="2705"/>
    <cellStyle name="통화 [0] 2 2 5 2" xfId="2706"/>
    <cellStyle name="통화 [0] 2 2 5 3" xfId="2707"/>
    <cellStyle name="통화 [0] 2 2 5 3 2" xfId="2708"/>
    <cellStyle name="통화 [0] 2 2 5 4" xfId="2709"/>
    <cellStyle name="통화 [0] 2 2 6" xfId="2710"/>
    <cellStyle name="통화 [0] 2 2 6 2" xfId="2711"/>
    <cellStyle name="통화 [0] 2 2 6 2 2" xfId="2712"/>
    <cellStyle name="통화 [0] 2 2 7" xfId="2713"/>
    <cellStyle name="통화 [0] 2 2 8" xfId="2714"/>
    <cellStyle name="통화 [0] 2 2 9" xfId="2715"/>
    <cellStyle name="통화 [0] 2 20" xfId="2716"/>
    <cellStyle name="통화 [0] 2 21" xfId="2717"/>
    <cellStyle name="통화 [0] 2 22" xfId="2718"/>
    <cellStyle name="통화 [0] 2 23" xfId="2719"/>
    <cellStyle name="통화 [0] 2 24" xfId="2720"/>
    <cellStyle name="통화 [0] 2 25" xfId="2721"/>
    <cellStyle name="통화 [0] 2 26" xfId="2722"/>
    <cellStyle name="통화 [0] 2 27" xfId="2723"/>
    <cellStyle name="통화 [0] 2 28" xfId="2724"/>
    <cellStyle name="통화 [0] 2 28 2" xfId="2725"/>
    <cellStyle name="통화 [0] 2 3" xfId="2726"/>
    <cellStyle name="통화 [0] 2 3 2" xfId="2727"/>
    <cellStyle name="통화 [0] 2 3 2 2" xfId="2728"/>
    <cellStyle name="통화 [0] 2 3 2 2 2" xfId="2729"/>
    <cellStyle name="통화 [0] 2 3 2 3" xfId="2730"/>
    <cellStyle name="통화 [0] 2 3 3" xfId="2731"/>
    <cellStyle name="통화 [0] 2 3 4" xfId="2732"/>
    <cellStyle name="통화 [0] 2 3 5" xfId="2733"/>
    <cellStyle name="통화 [0] 2 3 6" xfId="2734"/>
    <cellStyle name="통화 [0] 2 3 7" xfId="2735"/>
    <cellStyle name="통화 [0] 2 4" xfId="2736"/>
    <cellStyle name="통화 [0] 2 4 2" xfId="2737"/>
    <cellStyle name="통화 [0] 2 4 2 2" xfId="2738"/>
    <cellStyle name="통화 [0] 2 4 2 2 2" xfId="2739"/>
    <cellStyle name="통화 [0] 2 4 2 3" xfId="2740"/>
    <cellStyle name="통화 [0] 2 4 3" xfId="2741"/>
    <cellStyle name="통화 [0] 2 4 4" xfId="2742"/>
    <cellStyle name="통화 [0] 2 4 5" xfId="2743"/>
    <cellStyle name="통화 [0] 2 4 6" xfId="2744"/>
    <cellStyle name="통화 [0] 2 4 7" xfId="2745"/>
    <cellStyle name="통화 [0] 2 5" xfId="2746"/>
    <cellStyle name="통화 [0] 2 6" xfId="2747"/>
    <cellStyle name="통화 [0] 2 6 2" xfId="2748"/>
    <cellStyle name="통화 [0] 2 6 2 2" xfId="2749"/>
    <cellStyle name="통화 [0] 2 6 2 2 2" xfId="2750"/>
    <cellStyle name="통화 [0] 2 6 2 3" xfId="2751"/>
    <cellStyle name="통화 [0] 2 6 3" xfId="2752"/>
    <cellStyle name="통화 [0] 2 6 4" xfId="2753"/>
    <cellStyle name="통화 [0] 2 6 5" xfId="2754"/>
    <cellStyle name="통화 [0] 2 6 6" xfId="2755"/>
    <cellStyle name="통화 [0] 2 6 7" xfId="2756"/>
    <cellStyle name="통화 [0] 2 7" xfId="2757"/>
    <cellStyle name="통화 [0] 2 7 2" xfId="2758"/>
    <cellStyle name="통화 [0] 2 7 3" xfId="2759"/>
    <cellStyle name="통화 [0] 2 8" xfId="2760"/>
    <cellStyle name="통화 [0] 2 8 2" xfId="2761"/>
    <cellStyle name="통화 [0] 2 8 3" xfId="2762"/>
    <cellStyle name="통화 [0] 2 9" xfId="2763"/>
    <cellStyle name="통화 [0] 2 9 2" xfId="2764"/>
    <cellStyle name="통화 [0] 2 9 3" xfId="2765"/>
    <cellStyle name="통화 [0] 20" xfId="3520"/>
    <cellStyle name="통화 [0] 21" xfId="2640"/>
    <cellStyle name="통화 [0] 3" xfId="2766"/>
    <cellStyle name="통화 [0] 3 10" xfId="2767"/>
    <cellStyle name="통화 [0] 3 11" xfId="2768"/>
    <cellStyle name="통화 [0] 3 12" xfId="2769"/>
    <cellStyle name="통화 [0] 3 2" xfId="2770"/>
    <cellStyle name="통화 [0] 3 3" xfId="2771"/>
    <cellStyle name="통화 [0] 3 4" xfId="2772"/>
    <cellStyle name="통화 [0] 3 5" xfId="2773"/>
    <cellStyle name="통화 [0] 3 6" xfId="2774"/>
    <cellStyle name="통화 [0] 3 7" xfId="2775"/>
    <cellStyle name="통화 [0] 3 8" xfId="2776"/>
    <cellStyle name="통화 [0] 3 9" xfId="2777"/>
    <cellStyle name="통화 [0] 33" xfId="2778"/>
    <cellStyle name="통화 [0] 33 2" xfId="2779"/>
    <cellStyle name="통화 [0] 4" xfId="2780"/>
    <cellStyle name="통화 [0] 4 10" xfId="2781"/>
    <cellStyle name="통화 [0] 4 11" xfId="2782"/>
    <cellStyle name="통화 [0] 4 12" xfId="2783"/>
    <cellStyle name="통화 [0] 4 2" xfId="2784"/>
    <cellStyle name="통화 [0] 4 3" xfId="2785"/>
    <cellStyle name="통화 [0] 4 4" xfId="2786"/>
    <cellStyle name="통화 [0] 4 5" xfId="2787"/>
    <cellStyle name="통화 [0] 4 6" xfId="2788"/>
    <cellStyle name="통화 [0] 4 7" xfId="2789"/>
    <cellStyle name="통화 [0] 4 8" xfId="2790"/>
    <cellStyle name="통화 [0] 4 9" xfId="2791"/>
    <cellStyle name="통화 [0] 5" xfId="2792"/>
    <cellStyle name="통화 [0] 5 10" xfId="2793"/>
    <cellStyle name="통화 [0] 5 11" xfId="2794"/>
    <cellStyle name="통화 [0] 5 12" xfId="2795"/>
    <cellStyle name="통화 [0] 5 2" xfId="2796"/>
    <cellStyle name="통화 [0] 5 3" xfId="2797"/>
    <cellStyle name="통화 [0] 5 4" xfId="2798"/>
    <cellStyle name="통화 [0] 5 5" xfId="2799"/>
    <cellStyle name="통화 [0] 5 6" xfId="2800"/>
    <cellStyle name="통화 [0] 5 7" xfId="2801"/>
    <cellStyle name="통화 [0] 5 8" xfId="2802"/>
    <cellStyle name="통화 [0] 5 9" xfId="2803"/>
    <cellStyle name="통화 [0] 6" xfId="2804"/>
    <cellStyle name="통화 [0] 6 10" xfId="2805"/>
    <cellStyle name="통화 [0] 6 11" xfId="2806"/>
    <cellStyle name="통화 [0] 6 12" xfId="2807"/>
    <cellStyle name="통화 [0] 6 2" xfId="2808"/>
    <cellStyle name="통화 [0] 6 3" xfId="2809"/>
    <cellStyle name="통화 [0] 6 4" xfId="2810"/>
    <cellStyle name="통화 [0] 6 5" xfId="2811"/>
    <cellStyle name="통화 [0] 6 6" xfId="2812"/>
    <cellStyle name="통화 [0] 6 7" xfId="2813"/>
    <cellStyle name="통화 [0] 6 8" xfId="2814"/>
    <cellStyle name="통화 [0] 6 9" xfId="2815"/>
    <cellStyle name="통화 [0] 7" xfId="2816"/>
    <cellStyle name="통화 [0] 7 10" xfId="2817"/>
    <cellStyle name="통화 [0] 7 11" xfId="2818"/>
    <cellStyle name="통화 [0] 7 12" xfId="2819"/>
    <cellStyle name="통화 [0] 7 2" xfId="2820"/>
    <cellStyle name="통화 [0] 7 3" xfId="2821"/>
    <cellStyle name="통화 [0] 7 4" xfId="2822"/>
    <cellStyle name="통화 [0] 7 5" xfId="2823"/>
    <cellStyle name="통화 [0] 7 6" xfId="2824"/>
    <cellStyle name="통화 [0] 7 7" xfId="2825"/>
    <cellStyle name="통화 [0] 7 8" xfId="2826"/>
    <cellStyle name="통화 [0] 7 9" xfId="2827"/>
    <cellStyle name="통화 [0] 8" xfId="2828"/>
    <cellStyle name="통화 [0] 8 10" xfId="2829"/>
    <cellStyle name="통화 [0] 8 11" xfId="2830"/>
    <cellStyle name="통화 [0] 8 12" xfId="2831"/>
    <cellStyle name="통화 [0] 8 2" xfId="2832"/>
    <cellStyle name="통화 [0] 8 3" xfId="2833"/>
    <cellStyle name="통화 [0] 8 4" xfId="2834"/>
    <cellStyle name="통화 [0] 8 5" xfId="2835"/>
    <cellStyle name="통화 [0] 8 6" xfId="2836"/>
    <cellStyle name="통화 [0] 8 7" xfId="2837"/>
    <cellStyle name="통화 [0] 8 8" xfId="2838"/>
    <cellStyle name="통화 [0] 8 9" xfId="2839"/>
    <cellStyle name="통화 [0] 9" xfId="2840"/>
    <cellStyle name="표준" xfId="0" builtinId="0"/>
    <cellStyle name="표준 10" xfId="2841"/>
    <cellStyle name="표준 10 2" xfId="2842"/>
    <cellStyle name="표준 10 3" xfId="2843"/>
    <cellStyle name="표준 10 4" xfId="2844"/>
    <cellStyle name="표준 10 5" xfId="2845"/>
    <cellStyle name="표준 11" xfId="2846"/>
    <cellStyle name="표준 11 2" xfId="2847"/>
    <cellStyle name="표준 11 3" xfId="2848"/>
    <cellStyle name="표준 11 4" xfId="2849"/>
    <cellStyle name="표준 11 5" xfId="2850"/>
    <cellStyle name="표준 11 6" xfId="2851"/>
    <cellStyle name="표준 11 7" xfId="2852"/>
    <cellStyle name="표준 11 8" xfId="2853"/>
    <cellStyle name="표준 12" xfId="3119"/>
    <cellStyle name="표준 12 2" xfId="2854"/>
    <cellStyle name="표준 12 3" xfId="2855"/>
    <cellStyle name="표준 12 4" xfId="2856"/>
    <cellStyle name="표준 12 5" xfId="2857"/>
    <cellStyle name="표준 13" xfId="2858"/>
    <cellStyle name="표준 13 10" xfId="2859"/>
    <cellStyle name="표준 13 11" xfId="2860"/>
    <cellStyle name="표준 13 12" xfId="2861"/>
    <cellStyle name="표준 13 13" xfId="2862"/>
    <cellStyle name="표준 13 2" xfId="2863"/>
    <cellStyle name="표준 13 3" xfId="2864"/>
    <cellStyle name="표준 13 4" xfId="2865"/>
    <cellStyle name="표준 13 5" xfId="2866"/>
    <cellStyle name="표준 13 6" xfId="2867"/>
    <cellStyle name="표준 13 7" xfId="2868"/>
    <cellStyle name="표준 13 8" xfId="2869"/>
    <cellStyle name="표준 13 9" xfId="2870"/>
    <cellStyle name="표준 14" xfId="2871"/>
    <cellStyle name="標準 14" xfId="2872"/>
    <cellStyle name="표준 14 10" xfId="2873"/>
    <cellStyle name="표준 14 11" xfId="2874"/>
    <cellStyle name="표준 14 12" xfId="2875"/>
    <cellStyle name="표준 14 2" xfId="2876"/>
    <cellStyle name="표준 14 3" xfId="2877"/>
    <cellStyle name="표준 14 4" xfId="2878"/>
    <cellStyle name="표준 14 5" xfId="2879"/>
    <cellStyle name="표준 14 6" xfId="2880"/>
    <cellStyle name="표준 14 7" xfId="2881"/>
    <cellStyle name="표준 14 8" xfId="2882"/>
    <cellStyle name="표준 14 9" xfId="2883"/>
    <cellStyle name="표준 15" xfId="2884"/>
    <cellStyle name="표준 15 10" xfId="2885"/>
    <cellStyle name="표준 15 11" xfId="2886"/>
    <cellStyle name="표준 15 12" xfId="2887"/>
    <cellStyle name="표준 15 13" xfId="2888"/>
    <cellStyle name="표준 15 2" xfId="2889"/>
    <cellStyle name="표준 15 3" xfId="2890"/>
    <cellStyle name="표준 15 4" xfId="2891"/>
    <cellStyle name="표준 15 5" xfId="2892"/>
    <cellStyle name="표준 15 6" xfId="2893"/>
    <cellStyle name="표준 15 7" xfId="2894"/>
    <cellStyle name="표준 15 8" xfId="2895"/>
    <cellStyle name="표준 15 9" xfId="2896"/>
    <cellStyle name="표준 16" xfId="2897"/>
    <cellStyle name="표준 16 10" xfId="2898"/>
    <cellStyle name="표준 16 11" xfId="2899"/>
    <cellStyle name="표준 16 12" xfId="2900"/>
    <cellStyle name="표준 16 13" xfId="2901"/>
    <cellStyle name="표준 16 2" xfId="2902"/>
    <cellStyle name="표준 16 3" xfId="2903"/>
    <cellStyle name="표준 16 4" xfId="2904"/>
    <cellStyle name="표준 16 5" xfId="2905"/>
    <cellStyle name="표준 16 6" xfId="2906"/>
    <cellStyle name="표준 16 7" xfId="2907"/>
    <cellStyle name="표준 16 8" xfId="2908"/>
    <cellStyle name="표준 16 9" xfId="2909"/>
    <cellStyle name="표준 17" xfId="2910"/>
    <cellStyle name="표준 18" xfId="2911"/>
    <cellStyle name="표준 19" xfId="2912"/>
    <cellStyle name="표준 19 2" xfId="2913"/>
    <cellStyle name="표준 19 3" xfId="2914"/>
    <cellStyle name="표준 19 4" xfId="2915"/>
    <cellStyle name="표준 2" xfId="2"/>
    <cellStyle name="표준 2 10" xfId="2917"/>
    <cellStyle name="표준 2 11" xfId="2918"/>
    <cellStyle name="표준 2 12" xfId="2919"/>
    <cellStyle name="표준 2 13" xfId="2920"/>
    <cellStyle name="표준 2 14" xfId="2921"/>
    <cellStyle name="표준 2 15" xfId="2922"/>
    <cellStyle name="표준 2 16" xfId="2923"/>
    <cellStyle name="표준 2 17" xfId="2924"/>
    <cellStyle name="표준 2 18" xfId="2925"/>
    <cellStyle name="표준 2 19" xfId="2926"/>
    <cellStyle name="표준 2 2" xfId="2927"/>
    <cellStyle name="표준 2 2 2" xfId="2928"/>
    <cellStyle name="표준 2 2 2 2" xfId="2929"/>
    <cellStyle name="표준 2 2 2 2 2" xfId="2930"/>
    <cellStyle name="표준 2 2 2 2 2 2" xfId="2931"/>
    <cellStyle name="표준 2 2 2 2 2 2 2" xfId="2932"/>
    <cellStyle name="표준 2 2 2 2 2 2 2 2" xfId="2933"/>
    <cellStyle name="표준 2 2 2 2 2 2 2 2 2" xfId="2934"/>
    <cellStyle name="표준 2 2 2 2 2 2 2 2 2 2" xfId="2935"/>
    <cellStyle name="표준 2 2 2 2 2 2 2 2 2 2 2" xfId="2936"/>
    <cellStyle name="표준 2 2 2 2 2 2 2 2 2 2 2 2" xfId="2937"/>
    <cellStyle name="표준 2 2 2 2 2 2 2 2 2 2 2 2 2" xfId="2938"/>
    <cellStyle name="표준 2 2 2 2 2 2 2 2 2 2 3" xfId="2939"/>
    <cellStyle name="표준 2 2 2 2 2 2 2 2 2 3" xfId="2940"/>
    <cellStyle name="표준 2 2 2 2 2 2 2 2 3" xfId="2941"/>
    <cellStyle name="표준 2 2 2 2 2 2 2 2 4" xfId="2942"/>
    <cellStyle name="표준 2 2 2 2 2 2 2 3" xfId="2943"/>
    <cellStyle name="표준 2 2 2 2 2 2 2 4" xfId="2944"/>
    <cellStyle name="표준 2 2 2 2 2 2 3" xfId="2945"/>
    <cellStyle name="표준 2 2 2 2 2 2 4" xfId="2946"/>
    <cellStyle name="표준 2 2 2 2 2 2 5" xfId="2947"/>
    <cellStyle name="표준 2 2 2 2 2 3" xfId="2948"/>
    <cellStyle name="표준 2 2 2 2 2 4" xfId="2949"/>
    <cellStyle name="표준 2 2 2 2 2 5" xfId="2950"/>
    <cellStyle name="표준 2 2 2 2 3" xfId="2951"/>
    <cellStyle name="표준 2 2 2 2 4" xfId="2952"/>
    <cellStyle name="표준 2 2 2 2 5" xfId="2953"/>
    <cellStyle name="표준 2 2 2 2 6" xfId="2954"/>
    <cellStyle name="표준 2 2 2 3" xfId="2955"/>
    <cellStyle name="표준 2 2 2 4" xfId="2956"/>
    <cellStyle name="표준 2 2 2 5" xfId="2957"/>
    <cellStyle name="표준 2 2 2 6" xfId="2958"/>
    <cellStyle name="표준 2 2 3" xfId="2959"/>
    <cellStyle name="표준 2 2 4" xfId="2960"/>
    <cellStyle name="표준 2 2 5" xfId="2961"/>
    <cellStyle name="표준 2 2 6" xfId="2962"/>
    <cellStyle name="표준 2 2 7" xfId="2963"/>
    <cellStyle name="표준 2 20" xfId="2964"/>
    <cellStyle name="표준 2 21" xfId="2965"/>
    <cellStyle name="표준 2 22" xfId="2966"/>
    <cellStyle name="표준 2 23" xfId="2967"/>
    <cellStyle name="표준 2 24" xfId="2968"/>
    <cellStyle name="표준 2 25" xfId="2969"/>
    <cellStyle name="표준 2 26" xfId="2970"/>
    <cellStyle name="표준 2 26 2" xfId="2971"/>
    <cellStyle name="표준 2 27" xfId="2972"/>
    <cellStyle name="표준 2 28" xfId="2916"/>
    <cellStyle name="표준 2 3" xfId="2973"/>
    <cellStyle name="표준 2 4" xfId="2974"/>
    <cellStyle name="표준 2 5" xfId="2975"/>
    <cellStyle name="표준 2 6" xfId="2976"/>
    <cellStyle name="표준 2 7" xfId="2977"/>
    <cellStyle name="표준 2 8" xfId="2978"/>
    <cellStyle name="표준 2 8 10" xfId="2979"/>
    <cellStyle name="표준 2 8 11" xfId="2980"/>
    <cellStyle name="표준 2 8 12" xfId="2981"/>
    <cellStyle name="표준 2 8 13" xfId="2982"/>
    <cellStyle name="표준 2 8 13 2" xfId="2983"/>
    <cellStyle name="표준 2 8 14" xfId="2984"/>
    <cellStyle name="표준 2 8 15" xfId="2985"/>
    <cellStyle name="표준 2 8 16" xfId="2986"/>
    <cellStyle name="표준 2 8 17" xfId="2987"/>
    <cellStyle name="표준 2 8 18" xfId="2988"/>
    <cellStyle name="표준 2 8 19" xfId="2989"/>
    <cellStyle name="표준 2 8 2" xfId="2990"/>
    <cellStyle name="표준 2 8 2 10" xfId="2991"/>
    <cellStyle name="표준 2 8 2 11" xfId="2992"/>
    <cellStyle name="표준 2 8 2 12" xfId="2993"/>
    <cellStyle name="표준 2 8 2 2" xfId="2994"/>
    <cellStyle name="표준 2 8 2 2 2" xfId="2995"/>
    <cellStyle name="표준 2 8 2 3" xfId="2996"/>
    <cellStyle name="표준 2 8 2 4" xfId="2997"/>
    <cellStyle name="표준 2 8 2 5" xfId="2998"/>
    <cellStyle name="표준 2 8 2 6" xfId="2999"/>
    <cellStyle name="표준 2 8 2 7" xfId="3000"/>
    <cellStyle name="표준 2 8 2 8" xfId="3001"/>
    <cellStyle name="표준 2 8 2 9" xfId="3002"/>
    <cellStyle name="표준 2 8 20" xfId="3003"/>
    <cellStyle name="표준 2 8 21" xfId="3004"/>
    <cellStyle name="표준 2 8 22" xfId="3005"/>
    <cellStyle name="표준 2 8 3" xfId="3006"/>
    <cellStyle name="표준 2 8 4" xfId="3007"/>
    <cellStyle name="표준 2 8 5" xfId="3008"/>
    <cellStyle name="표준 2 8 6" xfId="3009"/>
    <cellStyle name="표준 2 8 7" xfId="3010"/>
    <cellStyle name="표준 2 8 8" xfId="3011"/>
    <cellStyle name="표준 2 8 9" xfId="3012"/>
    <cellStyle name="표준 2 9" xfId="3013"/>
    <cellStyle name="표준 2 9 2" xfId="3014"/>
    <cellStyle name="표준 2 9 2 2" xfId="3015"/>
    <cellStyle name="표준 2 9 2 3" xfId="3016"/>
    <cellStyle name="표준 2 9 2 4" xfId="3017"/>
    <cellStyle name="표준 2 9 3" xfId="3018"/>
    <cellStyle name="표준 2 9 4" xfId="3019"/>
    <cellStyle name="표준 20" xfId="3020"/>
    <cellStyle name="표준 20 2" xfId="3168"/>
    <cellStyle name="표준 21" xfId="3021"/>
    <cellStyle name="표준 21 2" xfId="3022"/>
    <cellStyle name="표준 21 3" xfId="3023"/>
    <cellStyle name="표준 21 4" xfId="3024"/>
    <cellStyle name="표준 21 5" xfId="3169"/>
    <cellStyle name="표준 22" xfId="3112"/>
    <cellStyle name="표준 22 2" xfId="3178"/>
    <cellStyle name="표준 22 2 2" xfId="3192"/>
    <cellStyle name="표준 22 2 2 2" xfId="3213"/>
    <cellStyle name="표준 22 2 2 2 2" xfId="3273"/>
    <cellStyle name="표준 22 2 2 2 2 2" xfId="3385"/>
    <cellStyle name="표준 22 2 2 2 2 2 2" xfId="3714"/>
    <cellStyle name="표준 22 2 2 2 2 3" xfId="3494"/>
    <cellStyle name="표준 22 2 2 2 2 3 2" xfId="3823"/>
    <cellStyle name="표준 22 2 2 2 2 4" xfId="3606"/>
    <cellStyle name="표준 22 2 2 2 3" xfId="3331"/>
    <cellStyle name="표준 22 2 2 2 3 2" xfId="3660"/>
    <cellStyle name="표준 22 2 2 2 4" xfId="3440"/>
    <cellStyle name="표준 22 2 2 2 4 2" xfId="3769"/>
    <cellStyle name="표준 22 2 2 2 5" xfId="3552"/>
    <cellStyle name="표준 22 2 2 3" xfId="3235"/>
    <cellStyle name="표준 22 2 2 3 2" xfId="3293"/>
    <cellStyle name="표준 22 2 2 3 2 2" xfId="3405"/>
    <cellStyle name="표준 22 2 2 3 2 2 2" xfId="3734"/>
    <cellStyle name="표준 22 2 2 3 2 3" xfId="3514"/>
    <cellStyle name="표준 22 2 2 3 2 3 2" xfId="3843"/>
    <cellStyle name="표준 22 2 2 3 2 4" xfId="3626"/>
    <cellStyle name="표준 22 2 2 3 3" xfId="3351"/>
    <cellStyle name="표준 22 2 2 3 3 2" xfId="3680"/>
    <cellStyle name="표준 22 2 2 3 4" xfId="3460"/>
    <cellStyle name="표준 22 2 2 3 4 2" xfId="3789"/>
    <cellStyle name="표준 22 2 2 3 5" xfId="3572"/>
    <cellStyle name="표준 22 2 2 4" xfId="3256"/>
    <cellStyle name="표준 22 2 2 4 2" xfId="3368"/>
    <cellStyle name="표준 22 2 2 4 2 2" xfId="3697"/>
    <cellStyle name="표준 22 2 2 4 3" xfId="3477"/>
    <cellStyle name="표준 22 2 2 4 3 2" xfId="3806"/>
    <cellStyle name="표준 22 2 2 4 4" xfId="3589"/>
    <cellStyle name="표준 22 2 2 5" xfId="3314"/>
    <cellStyle name="표준 22 2 2 5 2" xfId="3643"/>
    <cellStyle name="표준 22 2 2 6" xfId="3423"/>
    <cellStyle name="표준 22 2 2 6 2" xfId="3752"/>
    <cellStyle name="표준 22 2 2 7" xfId="3535"/>
    <cellStyle name="표준 22 2 3" xfId="3203"/>
    <cellStyle name="표준 22 2 3 2" xfId="3263"/>
    <cellStyle name="표준 22 2 3 2 2" xfId="3375"/>
    <cellStyle name="표준 22 2 3 2 2 2" xfId="3704"/>
    <cellStyle name="표준 22 2 3 2 3" xfId="3484"/>
    <cellStyle name="표준 22 2 3 2 3 2" xfId="3813"/>
    <cellStyle name="표준 22 2 3 2 4" xfId="3596"/>
    <cellStyle name="표준 22 2 3 3" xfId="3321"/>
    <cellStyle name="표준 22 2 3 3 2" xfId="3650"/>
    <cellStyle name="표준 22 2 3 4" xfId="3430"/>
    <cellStyle name="표준 22 2 3 4 2" xfId="3759"/>
    <cellStyle name="표준 22 2 3 5" xfId="3542"/>
    <cellStyle name="표준 22 2 4" xfId="3225"/>
    <cellStyle name="표준 22 2 4 2" xfId="3283"/>
    <cellStyle name="표준 22 2 4 2 2" xfId="3395"/>
    <cellStyle name="표준 22 2 4 2 2 2" xfId="3724"/>
    <cellStyle name="표준 22 2 4 2 3" xfId="3504"/>
    <cellStyle name="표준 22 2 4 2 3 2" xfId="3833"/>
    <cellStyle name="표준 22 2 4 2 4" xfId="3616"/>
    <cellStyle name="표준 22 2 4 3" xfId="3341"/>
    <cellStyle name="표준 22 2 4 3 2" xfId="3670"/>
    <cellStyle name="표준 22 2 4 4" xfId="3450"/>
    <cellStyle name="표준 22 2 4 4 2" xfId="3779"/>
    <cellStyle name="표준 22 2 4 5" xfId="3562"/>
    <cellStyle name="표준 22 2 5" xfId="3246"/>
    <cellStyle name="표준 22 2 5 2" xfId="3358"/>
    <cellStyle name="표준 22 2 5 2 2" xfId="3687"/>
    <cellStyle name="표준 22 2 5 3" xfId="3467"/>
    <cellStyle name="표준 22 2 5 3 2" xfId="3796"/>
    <cellStyle name="표준 22 2 5 4" xfId="3579"/>
    <cellStyle name="표준 22 2 6" xfId="3304"/>
    <cellStyle name="표준 22 2 6 2" xfId="3633"/>
    <cellStyle name="표준 22 2 7" xfId="3413"/>
    <cellStyle name="표준 22 2 7 2" xfId="3742"/>
    <cellStyle name="표준 22 2 8" xfId="3525"/>
    <cellStyle name="표준 22 3" xfId="3188"/>
    <cellStyle name="표준 22 3 2" xfId="3209"/>
    <cellStyle name="표준 22 3 2 2" xfId="3269"/>
    <cellStyle name="표준 22 3 2 2 2" xfId="3381"/>
    <cellStyle name="표준 22 3 2 2 2 2" xfId="3710"/>
    <cellStyle name="표준 22 3 2 2 3" xfId="3490"/>
    <cellStyle name="표준 22 3 2 2 3 2" xfId="3819"/>
    <cellStyle name="표준 22 3 2 2 4" xfId="3602"/>
    <cellStyle name="표준 22 3 2 3" xfId="3327"/>
    <cellStyle name="표준 22 3 2 3 2" xfId="3656"/>
    <cellStyle name="표준 22 3 2 4" xfId="3436"/>
    <cellStyle name="표준 22 3 2 4 2" xfId="3765"/>
    <cellStyle name="표준 22 3 2 5" xfId="3548"/>
    <cellStyle name="표준 22 3 3" xfId="3231"/>
    <cellStyle name="표준 22 3 3 2" xfId="3289"/>
    <cellStyle name="표준 22 3 3 2 2" xfId="3401"/>
    <cellStyle name="표준 22 3 3 2 2 2" xfId="3730"/>
    <cellStyle name="표준 22 3 3 2 3" xfId="3510"/>
    <cellStyle name="표준 22 3 3 2 3 2" xfId="3839"/>
    <cellStyle name="표준 22 3 3 2 4" xfId="3622"/>
    <cellStyle name="표준 22 3 3 3" xfId="3347"/>
    <cellStyle name="표준 22 3 3 3 2" xfId="3676"/>
    <cellStyle name="표준 22 3 3 4" xfId="3456"/>
    <cellStyle name="표준 22 3 3 4 2" xfId="3785"/>
    <cellStyle name="표준 22 3 3 5" xfId="3568"/>
    <cellStyle name="표준 22 3 4" xfId="3252"/>
    <cellStyle name="표준 22 3 4 2" xfId="3364"/>
    <cellStyle name="표준 22 3 4 2 2" xfId="3693"/>
    <cellStyle name="표준 22 3 4 3" xfId="3473"/>
    <cellStyle name="표준 22 3 4 3 2" xfId="3802"/>
    <cellStyle name="표준 22 3 4 4" xfId="3585"/>
    <cellStyle name="표준 22 3 5" xfId="3310"/>
    <cellStyle name="표준 22 3 5 2" xfId="3639"/>
    <cellStyle name="표준 22 3 6" xfId="3419"/>
    <cellStyle name="표준 22 3 6 2" xfId="3748"/>
    <cellStyle name="표준 22 3 7" xfId="3531"/>
    <cellStyle name="표준 22 4" xfId="3199"/>
    <cellStyle name="표준 22 4 2" xfId="3259"/>
    <cellStyle name="표준 22 4 2 2" xfId="3371"/>
    <cellStyle name="표준 22 4 2 2 2" xfId="3700"/>
    <cellStyle name="표준 22 4 2 3" xfId="3480"/>
    <cellStyle name="표준 22 4 2 3 2" xfId="3809"/>
    <cellStyle name="표준 22 4 2 4" xfId="3592"/>
    <cellStyle name="표준 22 4 3" xfId="3317"/>
    <cellStyle name="표준 22 4 3 2" xfId="3646"/>
    <cellStyle name="표준 22 4 4" xfId="3426"/>
    <cellStyle name="표준 22 4 4 2" xfId="3755"/>
    <cellStyle name="표준 22 4 5" xfId="3538"/>
    <cellStyle name="표준 22 5" xfId="3221"/>
    <cellStyle name="표준 22 5 2" xfId="3279"/>
    <cellStyle name="표준 22 5 2 2" xfId="3391"/>
    <cellStyle name="표준 22 5 2 2 2" xfId="3720"/>
    <cellStyle name="표준 22 5 2 3" xfId="3500"/>
    <cellStyle name="표준 22 5 2 3 2" xfId="3829"/>
    <cellStyle name="표준 22 5 2 4" xfId="3612"/>
    <cellStyle name="표준 22 5 3" xfId="3337"/>
    <cellStyle name="표준 22 5 3 2" xfId="3666"/>
    <cellStyle name="표준 22 5 4" xfId="3446"/>
    <cellStyle name="표준 22 5 4 2" xfId="3775"/>
    <cellStyle name="표준 22 5 5" xfId="3558"/>
    <cellStyle name="표준 22 6" xfId="3242"/>
    <cellStyle name="표준 22 6 2" xfId="3354"/>
    <cellStyle name="표준 22 6 2 2" xfId="3683"/>
    <cellStyle name="표준 22 6 3" xfId="3463"/>
    <cellStyle name="표준 22 6 3 2" xfId="3792"/>
    <cellStyle name="표준 22 6 4" xfId="3575"/>
    <cellStyle name="표준 22 7" xfId="3300"/>
    <cellStyle name="표준 22 7 2" xfId="3629"/>
    <cellStyle name="표준 22 8" xfId="3409"/>
    <cellStyle name="표준 22 8 2" xfId="3738"/>
    <cellStyle name="표준 22 9" xfId="3521"/>
    <cellStyle name="표준 23" xfId="3025"/>
    <cellStyle name="표준 24" xfId="3026"/>
    <cellStyle name="표준 25" xfId="3027"/>
    <cellStyle name="표준 26" xfId="3028"/>
    <cellStyle name="표준 27" xfId="3029"/>
    <cellStyle name="표준 28" xfId="3030"/>
    <cellStyle name="표준 29" xfId="3031"/>
    <cellStyle name="표준 3" xfId="3032"/>
    <cellStyle name="표준 3 2" xfId="5"/>
    <cellStyle name="표준 3 3" xfId="3033"/>
    <cellStyle name="표준 3 4" xfId="3034"/>
    <cellStyle name="표준 3 5" xfId="3035"/>
    <cellStyle name="표준 3 6" xfId="3036"/>
    <cellStyle name="표준 3 7" xfId="3037"/>
    <cellStyle name="표준 3 8" xfId="3038"/>
    <cellStyle name="표준 3 9" xfId="3039"/>
    <cellStyle name="표준 30" xfId="3040"/>
    <cellStyle name="표준 30 10" xfId="3041"/>
    <cellStyle name="표준 30 11" xfId="3042"/>
    <cellStyle name="표준 30 12" xfId="3043"/>
    <cellStyle name="표준 30 2" xfId="3044"/>
    <cellStyle name="표준 30 3" xfId="3045"/>
    <cellStyle name="표준 30 4" xfId="3046"/>
    <cellStyle name="표준 30 5" xfId="3047"/>
    <cellStyle name="표준 30 6" xfId="3048"/>
    <cellStyle name="표준 30 7" xfId="3049"/>
    <cellStyle name="표준 30 8" xfId="3050"/>
    <cellStyle name="표준 30 9" xfId="3051"/>
    <cellStyle name="표준 31" xfId="3052"/>
    <cellStyle name="표준 32" xfId="3053"/>
    <cellStyle name="표준 33" xfId="3054"/>
    <cellStyle name="표준 34" xfId="3055"/>
    <cellStyle name="표준 35" xfId="3056"/>
    <cellStyle name="표준 36" xfId="3057"/>
    <cellStyle name="표준 37" xfId="3058"/>
    <cellStyle name="표준 38" xfId="3059"/>
    <cellStyle name="표준 39" xfId="3060"/>
    <cellStyle name="표준 4" xfId="3061"/>
    <cellStyle name="표준 4 2" xfId="6"/>
    <cellStyle name="표준 4 3" xfId="3062"/>
    <cellStyle name="표준 4 4" xfId="3063"/>
    <cellStyle name="표준 4 5" xfId="3064"/>
    <cellStyle name="표준 4 6" xfId="3065"/>
    <cellStyle name="표준 4 7" xfId="3066"/>
    <cellStyle name="표준 40" xfId="3067"/>
    <cellStyle name="표준 41" xfId="3120"/>
    <cellStyle name="표준 42" xfId="3122"/>
    <cellStyle name="표준 43" xfId="3068"/>
    <cellStyle name="표준 44" xfId="3069"/>
    <cellStyle name="표준 45" xfId="3070"/>
    <cellStyle name="표준 46" xfId="3123"/>
    <cellStyle name="표준 46 2" xfId="3179"/>
    <cellStyle name="표준 46 2 2" xfId="3193"/>
    <cellStyle name="표준 46 2 2 2" xfId="3214"/>
    <cellStyle name="표준 46 2 2 2 2" xfId="3274"/>
    <cellStyle name="표준 46 2 2 2 2 2" xfId="3386"/>
    <cellStyle name="표준 46 2 2 2 2 2 2" xfId="3715"/>
    <cellStyle name="표준 46 2 2 2 2 3" xfId="3495"/>
    <cellStyle name="표준 46 2 2 2 2 3 2" xfId="3824"/>
    <cellStyle name="표준 46 2 2 2 2 4" xfId="3607"/>
    <cellStyle name="표준 46 2 2 2 3" xfId="3332"/>
    <cellStyle name="표준 46 2 2 2 3 2" xfId="3661"/>
    <cellStyle name="표준 46 2 2 2 4" xfId="3441"/>
    <cellStyle name="표준 46 2 2 2 4 2" xfId="3770"/>
    <cellStyle name="표준 46 2 2 2 5" xfId="3553"/>
    <cellStyle name="표준 46 2 2 3" xfId="3236"/>
    <cellStyle name="표준 46 2 2 3 2" xfId="3294"/>
    <cellStyle name="표준 46 2 2 3 2 2" xfId="3406"/>
    <cellStyle name="표준 46 2 2 3 2 2 2" xfId="3735"/>
    <cellStyle name="표준 46 2 2 3 2 3" xfId="3515"/>
    <cellStyle name="표준 46 2 2 3 2 3 2" xfId="3844"/>
    <cellStyle name="표준 46 2 2 3 2 4" xfId="3627"/>
    <cellStyle name="표준 46 2 2 3 3" xfId="3352"/>
    <cellStyle name="표준 46 2 2 3 3 2" xfId="3681"/>
    <cellStyle name="표준 46 2 2 3 4" xfId="3461"/>
    <cellStyle name="표준 46 2 2 3 4 2" xfId="3790"/>
    <cellStyle name="표준 46 2 2 3 5" xfId="3573"/>
    <cellStyle name="표준 46 2 2 4" xfId="3257"/>
    <cellStyle name="표준 46 2 2 4 2" xfId="3369"/>
    <cellStyle name="표준 46 2 2 4 2 2" xfId="3698"/>
    <cellStyle name="표준 46 2 2 4 3" xfId="3478"/>
    <cellStyle name="표준 46 2 2 4 3 2" xfId="3807"/>
    <cellStyle name="표준 46 2 2 4 4" xfId="3590"/>
    <cellStyle name="표준 46 2 2 5" xfId="3315"/>
    <cellStyle name="표준 46 2 2 5 2" xfId="3644"/>
    <cellStyle name="표준 46 2 2 6" xfId="3424"/>
    <cellStyle name="표준 46 2 2 6 2" xfId="3753"/>
    <cellStyle name="표준 46 2 2 7" xfId="3536"/>
    <cellStyle name="표준 46 2 3" xfId="3204"/>
    <cellStyle name="표준 46 2 3 2" xfId="3264"/>
    <cellStyle name="표준 46 2 3 2 2" xfId="3376"/>
    <cellStyle name="표준 46 2 3 2 2 2" xfId="3705"/>
    <cellStyle name="표준 46 2 3 2 3" xfId="3485"/>
    <cellStyle name="표준 46 2 3 2 3 2" xfId="3814"/>
    <cellStyle name="표준 46 2 3 2 4" xfId="3597"/>
    <cellStyle name="표준 46 2 3 3" xfId="3322"/>
    <cellStyle name="표준 46 2 3 3 2" xfId="3651"/>
    <cellStyle name="표준 46 2 3 4" xfId="3431"/>
    <cellStyle name="표준 46 2 3 4 2" xfId="3760"/>
    <cellStyle name="표준 46 2 3 5" xfId="3543"/>
    <cellStyle name="표준 46 2 4" xfId="3226"/>
    <cellStyle name="표준 46 2 4 2" xfId="3284"/>
    <cellStyle name="표준 46 2 4 2 2" xfId="3396"/>
    <cellStyle name="표준 46 2 4 2 2 2" xfId="3725"/>
    <cellStyle name="표준 46 2 4 2 3" xfId="3505"/>
    <cellStyle name="표준 46 2 4 2 3 2" xfId="3834"/>
    <cellStyle name="표준 46 2 4 2 4" xfId="3617"/>
    <cellStyle name="표준 46 2 4 3" xfId="3342"/>
    <cellStyle name="표준 46 2 4 3 2" xfId="3671"/>
    <cellStyle name="표준 46 2 4 4" xfId="3451"/>
    <cellStyle name="표준 46 2 4 4 2" xfId="3780"/>
    <cellStyle name="표준 46 2 4 5" xfId="3563"/>
    <cellStyle name="표준 46 2 5" xfId="3247"/>
    <cellStyle name="표준 46 2 5 2" xfId="3359"/>
    <cellStyle name="표준 46 2 5 2 2" xfId="3688"/>
    <cellStyle name="표준 46 2 5 3" xfId="3468"/>
    <cellStyle name="표준 46 2 5 3 2" xfId="3797"/>
    <cellStyle name="표준 46 2 5 4" xfId="3580"/>
    <cellStyle name="표준 46 2 6" xfId="3305"/>
    <cellStyle name="표준 46 2 6 2" xfId="3634"/>
    <cellStyle name="표준 46 2 7" xfId="3414"/>
    <cellStyle name="표준 46 2 7 2" xfId="3743"/>
    <cellStyle name="표준 46 2 8" xfId="3526"/>
    <cellStyle name="표준 46 3" xfId="3189"/>
    <cellStyle name="표준 46 3 2" xfId="3210"/>
    <cellStyle name="표준 46 3 2 2" xfId="3270"/>
    <cellStyle name="표준 46 3 2 2 2" xfId="3382"/>
    <cellStyle name="표준 46 3 2 2 2 2" xfId="3711"/>
    <cellStyle name="표준 46 3 2 2 3" xfId="3491"/>
    <cellStyle name="표준 46 3 2 2 3 2" xfId="3820"/>
    <cellStyle name="표준 46 3 2 2 4" xfId="3603"/>
    <cellStyle name="표준 46 3 2 3" xfId="3328"/>
    <cellStyle name="표준 46 3 2 3 2" xfId="3657"/>
    <cellStyle name="표준 46 3 2 4" xfId="3437"/>
    <cellStyle name="표준 46 3 2 4 2" xfId="3766"/>
    <cellStyle name="표준 46 3 2 5" xfId="3549"/>
    <cellStyle name="표준 46 3 3" xfId="3232"/>
    <cellStyle name="표준 46 3 3 2" xfId="3290"/>
    <cellStyle name="표준 46 3 3 2 2" xfId="3402"/>
    <cellStyle name="표준 46 3 3 2 2 2" xfId="3731"/>
    <cellStyle name="표준 46 3 3 2 3" xfId="3511"/>
    <cellStyle name="표준 46 3 3 2 3 2" xfId="3840"/>
    <cellStyle name="표준 46 3 3 2 4" xfId="3623"/>
    <cellStyle name="표준 46 3 3 3" xfId="3348"/>
    <cellStyle name="표준 46 3 3 3 2" xfId="3677"/>
    <cellStyle name="표준 46 3 3 4" xfId="3457"/>
    <cellStyle name="표준 46 3 3 4 2" xfId="3786"/>
    <cellStyle name="표준 46 3 3 5" xfId="3569"/>
    <cellStyle name="표준 46 3 4" xfId="3253"/>
    <cellStyle name="표준 46 3 4 2" xfId="3365"/>
    <cellStyle name="표준 46 3 4 2 2" xfId="3694"/>
    <cellStyle name="표준 46 3 4 3" xfId="3474"/>
    <cellStyle name="표준 46 3 4 3 2" xfId="3803"/>
    <cellStyle name="표준 46 3 4 4" xfId="3586"/>
    <cellStyle name="표준 46 3 5" xfId="3311"/>
    <cellStyle name="표준 46 3 5 2" xfId="3640"/>
    <cellStyle name="표준 46 3 6" xfId="3420"/>
    <cellStyle name="표준 46 3 6 2" xfId="3749"/>
    <cellStyle name="표준 46 3 7" xfId="3532"/>
    <cellStyle name="표준 46 4" xfId="3200"/>
    <cellStyle name="표준 46 4 2" xfId="3260"/>
    <cellStyle name="표준 46 4 2 2" xfId="3372"/>
    <cellStyle name="표준 46 4 2 2 2" xfId="3701"/>
    <cellStyle name="표준 46 4 2 3" xfId="3481"/>
    <cellStyle name="표준 46 4 2 3 2" xfId="3810"/>
    <cellStyle name="표준 46 4 2 4" xfId="3593"/>
    <cellStyle name="표준 46 4 3" xfId="3318"/>
    <cellStyle name="표준 46 4 3 2" xfId="3647"/>
    <cellStyle name="표준 46 4 4" xfId="3427"/>
    <cellStyle name="표준 46 4 4 2" xfId="3756"/>
    <cellStyle name="표준 46 4 5" xfId="3539"/>
    <cellStyle name="표준 46 5" xfId="3222"/>
    <cellStyle name="표준 46 5 2" xfId="3280"/>
    <cellStyle name="표준 46 5 2 2" xfId="3392"/>
    <cellStyle name="표준 46 5 2 2 2" xfId="3721"/>
    <cellStyle name="표준 46 5 2 3" xfId="3501"/>
    <cellStyle name="표준 46 5 2 3 2" xfId="3830"/>
    <cellStyle name="표준 46 5 2 4" xfId="3613"/>
    <cellStyle name="표준 46 5 3" xfId="3338"/>
    <cellStyle name="표준 46 5 3 2" xfId="3667"/>
    <cellStyle name="표준 46 5 4" xfId="3447"/>
    <cellStyle name="표준 46 5 4 2" xfId="3776"/>
    <cellStyle name="표준 46 5 5" xfId="3559"/>
    <cellStyle name="표준 46 6" xfId="3243"/>
    <cellStyle name="표준 46 6 2" xfId="3355"/>
    <cellStyle name="표준 46 6 2 2" xfId="3684"/>
    <cellStyle name="표준 46 6 3" xfId="3464"/>
    <cellStyle name="표준 46 6 3 2" xfId="3793"/>
    <cellStyle name="표준 46 6 4" xfId="3576"/>
    <cellStyle name="표준 46 7" xfId="3301"/>
    <cellStyle name="표준 46 7 2" xfId="3630"/>
    <cellStyle name="표준 46 8" xfId="3410"/>
    <cellStyle name="표준 46 8 2" xfId="3739"/>
    <cellStyle name="표준 46 9" xfId="3522"/>
    <cellStyle name="표준 47" xfId="3127"/>
    <cellStyle name="표준 48" xfId="3071"/>
    <cellStyle name="표준 49" xfId="3170"/>
    <cellStyle name="표준 5" xfId="3072"/>
    <cellStyle name="표준 5 2" xfId="3073"/>
    <cellStyle name="표준 5 3" xfId="3074"/>
    <cellStyle name="표준 5 4" xfId="3075"/>
    <cellStyle name="표준 5 5" xfId="3076"/>
    <cellStyle name="표준 5 6" xfId="3077"/>
    <cellStyle name="표준 5 7" xfId="3078"/>
    <cellStyle name="표준 5 8" xfId="3079"/>
    <cellStyle name="표준 5 9" xfId="3080"/>
    <cellStyle name="표준 50" xfId="3081"/>
    <cellStyle name="표준 51" xfId="3082"/>
    <cellStyle name="표준 52" xfId="3083"/>
    <cellStyle name="표준 52 2" xfId="3084"/>
    <cellStyle name="표준 52 3" xfId="3085"/>
    <cellStyle name="표준 52 4" xfId="3086"/>
    <cellStyle name="표준 52 5" xfId="3087"/>
    <cellStyle name="표준 52 6" xfId="3088"/>
    <cellStyle name="표준 52 7" xfId="3089"/>
    <cellStyle name="표준 53" xfId="3171"/>
    <cellStyle name="표준 54" xfId="3173"/>
    <cellStyle name="표준 55" xfId="3172"/>
    <cellStyle name="표준 55 2" xfId="3190"/>
    <cellStyle name="표준 55 2 2" xfId="3211"/>
    <cellStyle name="표준 55 2 2 2" xfId="3271"/>
    <cellStyle name="표준 55 2 2 2 2" xfId="3383"/>
    <cellStyle name="표준 55 2 2 2 2 2" xfId="3712"/>
    <cellStyle name="표준 55 2 2 2 3" xfId="3492"/>
    <cellStyle name="표준 55 2 2 2 3 2" xfId="3821"/>
    <cellStyle name="표준 55 2 2 2 4" xfId="3604"/>
    <cellStyle name="표준 55 2 2 3" xfId="3329"/>
    <cellStyle name="표준 55 2 2 3 2" xfId="3658"/>
    <cellStyle name="표준 55 2 2 4" xfId="3438"/>
    <cellStyle name="표준 55 2 2 4 2" xfId="3767"/>
    <cellStyle name="표준 55 2 2 5" xfId="3550"/>
    <cellStyle name="표준 55 2 3" xfId="3233"/>
    <cellStyle name="표준 55 2 3 2" xfId="3291"/>
    <cellStyle name="표준 55 2 3 2 2" xfId="3403"/>
    <cellStyle name="표준 55 2 3 2 2 2" xfId="3732"/>
    <cellStyle name="표준 55 2 3 2 3" xfId="3512"/>
    <cellStyle name="표준 55 2 3 2 3 2" xfId="3841"/>
    <cellStyle name="표준 55 2 3 2 4" xfId="3624"/>
    <cellStyle name="표준 55 2 3 3" xfId="3349"/>
    <cellStyle name="표준 55 2 3 3 2" xfId="3678"/>
    <cellStyle name="표준 55 2 3 4" xfId="3458"/>
    <cellStyle name="표준 55 2 3 4 2" xfId="3787"/>
    <cellStyle name="표준 55 2 3 5" xfId="3570"/>
    <cellStyle name="표준 55 2 4" xfId="3254"/>
    <cellStyle name="표준 55 2 4 2" xfId="3366"/>
    <cellStyle name="표준 55 2 4 2 2" xfId="3695"/>
    <cellStyle name="표준 55 2 4 3" xfId="3475"/>
    <cellStyle name="표준 55 2 4 3 2" xfId="3804"/>
    <cellStyle name="표준 55 2 4 4" xfId="3587"/>
    <cellStyle name="표준 55 2 5" xfId="3312"/>
    <cellStyle name="표준 55 2 5 2" xfId="3641"/>
    <cellStyle name="표준 55 2 6" xfId="3421"/>
    <cellStyle name="표준 55 2 6 2" xfId="3750"/>
    <cellStyle name="표준 55 2 7" xfId="3533"/>
    <cellStyle name="표준 55 3" xfId="3201"/>
    <cellStyle name="표준 55 3 2" xfId="3261"/>
    <cellStyle name="표준 55 3 2 2" xfId="3373"/>
    <cellStyle name="표준 55 3 2 2 2" xfId="3702"/>
    <cellStyle name="표준 55 3 2 3" xfId="3482"/>
    <cellStyle name="표준 55 3 2 3 2" xfId="3811"/>
    <cellStyle name="표준 55 3 2 4" xfId="3594"/>
    <cellStyle name="표준 55 3 3" xfId="3319"/>
    <cellStyle name="표준 55 3 3 2" xfId="3648"/>
    <cellStyle name="표준 55 3 4" xfId="3428"/>
    <cellStyle name="표준 55 3 4 2" xfId="3757"/>
    <cellStyle name="표준 55 3 5" xfId="3540"/>
    <cellStyle name="표준 55 4" xfId="3223"/>
    <cellStyle name="표준 55 4 2" xfId="3281"/>
    <cellStyle name="표준 55 4 2 2" xfId="3393"/>
    <cellStyle name="표준 55 4 2 2 2" xfId="3722"/>
    <cellStyle name="표준 55 4 2 3" xfId="3502"/>
    <cellStyle name="표준 55 4 2 3 2" xfId="3831"/>
    <cellStyle name="표준 55 4 2 4" xfId="3614"/>
    <cellStyle name="표준 55 4 3" xfId="3339"/>
    <cellStyle name="표준 55 4 3 2" xfId="3668"/>
    <cellStyle name="표준 55 4 4" xfId="3448"/>
    <cellStyle name="표준 55 4 4 2" xfId="3777"/>
    <cellStyle name="표준 55 4 5" xfId="3560"/>
    <cellStyle name="표준 55 5" xfId="3244"/>
    <cellStyle name="표준 55 5 2" xfId="3356"/>
    <cellStyle name="표준 55 5 2 2" xfId="3685"/>
    <cellStyle name="표준 55 5 3" xfId="3465"/>
    <cellStyle name="표준 55 5 3 2" xfId="3794"/>
    <cellStyle name="표준 55 5 4" xfId="3577"/>
    <cellStyle name="표준 55 6" xfId="3302"/>
    <cellStyle name="표준 55 6 2" xfId="3631"/>
    <cellStyle name="표준 55 7" xfId="3411"/>
    <cellStyle name="표준 55 7 2" xfId="3740"/>
    <cellStyle name="표준 55 8" xfId="3523"/>
    <cellStyle name="표준 56" xfId="3177"/>
    <cellStyle name="표준 56 2" xfId="3191"/>
    <cellStyle name="표준 56 2 2" xfId="3212"/>
    <cellStyle name="표준 56 2 2 2" xfId="3272"/>
    <cellStyle name="표준 56 2 2 2 2" xfId="3384"/>
    <cellStyle name="표준 56 2 2 2 2 2" xfId="3713"/>
    <cellStyle name="표준 56 2 2 2 3" xfId="3493"/>
    <cellStyle name="표준 56 2 2 2 3 2" xfId="3822"/>
    <cellStyle name="표준 56 2 2 2 4" xfId="3605"/>
    <cellStyle name="표준 56 2 2 3" xfId="3330"/>
    <cellStyle name="표준 56 2 2 3 2" xfId="3659"/>
    <cellStyle name="표준 56 2 2 4" xfId="3439"/>
    <cellStyle name="표준 56 2 2 4 2" xfId="3768"/>
    <cellStyle name="표준 56 2 2 5" xfId="3551"/>
    <cellStyle name="표준 56 2 3" xfId="3234"/>
    <cellStyle name="표준 56 2 3 2" xfId="3292"/>
    <cellStyle name="표준 56 2 3 2 2" xfId="3404"/>
    <cellStyle name="표준 56 2 3 2 2 2" xfId="3733"/>
    <cellStyle name="표준 56 2 3 2 3" xfId="3513"/>
    <cellStyle name="표준 56 2 3 2 3 2" xfId="3842"/>
    <cellStyle name="표준 56 2 3 2 4" xfId="3625"/>
    <cellStyle name="표준 56 2 3 3" xfId="3350"/>
    <cellStyle name="표준 56 2 3 3 2" xfId="3679"/>
    <cellStyle name="표준 56 2 3 4" xfId="3459"/>
    <cellStyle name="표준 56 2 3 4 2" xfId="3788"/>
    <cellStyle name="표준 56 2 3 5" xfId="3571"/>
    <cellStyle name="표준 56 2 4" xfId="3255"/>
    <cellStyle name="표준 56 2 4 2" xfId="3367"/>
    <cellStyle name="표준 56 2 4 2 2" xfId="3696"/>
    <cellStyle name="표준 56 2 4 3" xfId="3476"/>
    <cellStyle name="표준 56 2 4 3 2" xfId="3805"/>
    <cellStyle name="표준 56 2 4 4" xfId="3588"/>
    <cellStyle name="표준 56 2 5" xfId="3313"/>
    <cellStyle name="표준 56 2 5 2" xfId="3642"/>
    <cellStyle name="표준 56 2 6" xfId="3422"/>
    <cellStyle name="표준 56 2 6 2" xfId="3751"/>
    <cellStyle name="표준 56 2 7" xfId="3534"/>
    <cellStyle name="표준 56 3" xfId="3202"/>
    <cellStyle name="표준 56 3 2" xfId="3262"/>
    <cellStyle name="표준 56 3 2 2" xfId="3374"/>
    <cellStyle name="표준 56 3 2 2 2" xfId="3703"/>
    <cellStyle name="표준 56 3 2 3" xfId="3483"/>
    <cellStyle name="표준 56 3 2 3 2" xfId="3812"/>
    <cellStyle name="표준 56 3 2 4" xfId="3595"/>
    <cellStyle name="표준 56 3 3" xfId="3320"/>
    <cellStyle name="표준 56 3 3 2" xfId="3649"/>
    <cellStyle name="표준 56 3 4" xfId="3429"/>
    <cellStyle name="표준 56 3 4 2" xfId="3758"/>
    <cellStyle name="표준 56 3 5" xfId="3541"/>
    <cellStyle name="표준 56 4" xfId="3224"/>
    <cellStyle name="표준 56 4 2" xfId="3282"/>
    <cellStyle name="표준 56 4 2 2" xfId="3394"/>
    <cellStyle name="표준 56 4 2 2 2" xfId="3723"/>
    <cellStyle name="표준 56 4 2 3" xfId="3503"/>
    <cellStyle name="표준 56 4 2 3 2" xfId="3832"/>
    <cellStyle name="표준 56 4 2 4" xfId="3615"/>
    <cellStyle name="표준 56 4 3" xfId="3340"/>
    <cellStyle name="표준 56 4 3 2" xfId="3669"/>
    <cellStyle name="표준 56 4 4" xfId="3449"/>
    <cellStyle name="표준 56 4 4 2" xfId="3778"/>
    <cellStyle name="표준 56 4 5" xfId="3561"/>
    <cellStyle name="표준 56 5" xfId="3245"/>
    <cellStyle name="표준 56 5 2" xfId="3357"/>
    <cellStyle name="표준 56 5 2 2" xfId="3686"/>
    <cellStyle name="표준 56 5 3" xfId="3466"/>
    <cellStyle name="표준 56 5 3 2" xfId="3795"/>
    <cellStyle name="표준 56 5 4" xfId="3578"/>
    <cellStyle name="표준 56 6" xfId="3303"/>
    <cellStyle name="표준 56 6 2" xfId="3632"/>
    <cellStyle name="표준 56 7" xfId="3412"/>
    <cellStyle name="표준 56 7 2" xfId="3741"/>
    <cellStyle name="표준 56 8" xfId="3524"/>
    <cellStyle name="표준 57" xfId="3181"/>
    <cellStyle name="표준 58" xfId="3180"/>
    <cellStyle name="표준 58 2" xfId="3205"/>
    <cellStyle name="표준 58 2 2" xfId="3265"/>
    <cellStyle name="표준 58 2 2 2" xfId="3377"/>
    <cellStyle name="표준 58 2 2 2 2" xfId="3706"/>
    <cellStyle name="표준 58 2 2 3" xfId="3486"/>
    <cellStyle name="표준 58 2 2 3 2" xfId="3815"/>
    <cellStyle name="표준 58 2 2 4" xfId="3598"/>
    <cellStyle name="표준 58 2 3" xfId="3323"/>
    <cellStyle name="표준 58 2 3 2" xfId="3652"/>
    <cellStyle name="표준 58 2 4" xfId="3432"/>
    <cellStyle name="표준 58 2 4 2" xfId="3761"/>
    <cellStyle name="표준 58 2 5" xfId="3544"/>
    <cellStyle name="표준 58 3" xfId="3227"/>
    <cellStyle name="표준 58 3 2" xfId="3285"/>
    <cellStyle name="표준 58 3 2 2" xfId="3397"/>
    <cellStyle name="표준 58 3 2 2 2" xfId="3726"/>
    <cellStyle name="표준 58 3 2 3" xfId="3506"/>
    <cellStyle name="표준 58 3 2 3 2" xfId="3835"/>
    <cellStyle name="표준 58 3 2 4" xfId="3618"/>
    <cellStyle name="표준 58 3 3" xfId="3343"/>
    <cellStyle name="표준 58 3 3 2" xfId="3672"/>
    <cellStyle name="표준 58 3 4" xfId="3452"/>
    <cellStyle name="표준 58 3 4 2" xfId="3781"/>
    <cellStyle name="표준 58 3 5" xfId="3564"/>
    <cellStyle name="표준 58 4" xfId="3248"/>
    <cellStyle name="표준 58 4 2" xfId="3360"/>
    <cellStyle name="표준 58 4 2 2" xfId="3689"/>
    <cellStyle name="표준 58 4 3" xfId="3469"/>
    <cellStyle name="표준 58 4 3 2" xfId="3798"/>
    <cellStyle name="표준 58 4 4" xfId="3581"/>
    <cellStyle name="표준 58 5" xfId="3306"/>
    <cellStyle name="표준 58 5 2" xfId="3635"/>
    <cellStyle name="표준 58 6" xfId="3415"/>
    <cellStyle name="표준 58 6 2" xfId="3744"/>
    <cellStyle name="표준 58 7" xfId="3527"/>
    <cellStyle name="표준 59" xfId="3187"/>
    <cellStyle name="표준 59 2" xfId="3208"/>
    <cellStyle name="표준 59 2 2" xfId="3268"/>
    <cellStyle name="표준 59 2 2 2" xfId="3380"/>
    <cellStyle name="표준 59 2 2 2 2" xfId="3709"/>
    <cellStyle name="표준 59 2 2 3" xfId="3489"/>
    <cellStyle name="표준 59 2 2 3 2" xfId="3818"/>
    <cellStyle name="표준 59 2 2 4" xfId="3601"/>
    <cellStyle name="표준 59 2 3" xfId="3326"/>
    <cellStyle name="표준 59 2 3 2" xfId="3655"/>
    <cellStyle name="표준 59 2 4" xfId="3435"/>
    <cellStyle name="표준 59 2 4 2" xfId="3764"/>
    <cellStyle name="표준 59 2 5" xfId="3547"/>
    <cellStyle name="표준 59 3" xfId="3230"/>
    <cellStyle name="표준 59 3 2" xfId="3288"/>
    <cellStyle name="표준 59 3 2 2" xfId="3400"/>
    <cellStyle name="표준 59 3 2 2 2" xfId="3729"/>
    <cellStyle name="표준 59 3 2 3" xfId="3509"/>
    <cellStyle name="표준 59 3 2 3 2" xfId="3838"/>
    <cellStyle name="표준 59 3 2 4" xfId="3621"/>
    <cellStyle name="표준 59 3 3" xfId="3346"/>
    <cellStyle name="표준 59 3 3 2" xfId="3675"/>
    <cellStyle name="표준 59 3 4" xfId="3455"/>
    <cellStyle name="표준 59 3 4 2" xfId="3784"/>
    <cellStyle name="표준 59 3 5" xfId="3567"/>
    <cellStyle name="표준 59 4" xfId="3251"/>
    <cellStyle name="표준 59 4 2" xfId="3363"/>
    <cellStyle name="표준 59 4 2 2" xfId="3692"/>
    <cellStyle name="표준 59 4 3" xfId="3472"/>
    <cellStyle name="표준 59 4 3 2" xfId="3801"/>
    <cellStyle name="표준 59 4 4" xfId="3584"/>
    <cellStyle name="표준 59 5" xfId="3309"/>
    <cellStyle name="표준 59 5 2" xfId="3638"/>
    <cellStyle name="표준 59 6" xfId="3418"/>
    <cellStyle name="표준 59 6 2" xfId="3747"/>
    <cellStyle name="표준 59 7" xfId="3530"/>
    <cellStyle name="표준 6" xfId="3090"/>
    <cellStyle name="표준 6 2" xfId="3091"/>
    <cellStyle name="표준 60" xfId="3182"/>
    <cellStyle name="표준 60 2" xfId="3206"/>
    <cellStyle name="표준 60 2 2" xfId="3266"/>
    <cellStyle name="표준 60 2 2 2" xfId="3378"/>
    <cellStyle name="표준 60 2 2 2 2" xfId="3707"/>
    <cellStyle name="표준 60 2 2 3" xfId="3487"/>
    <cellStyle name="표준 60 2 2 3 2" xfId="3816"/>
    <cellStyle name="표준 60 2 2 4" xfId="3599"/>
    <cellStyle name="표준 60 2 3" xfId="3324"/>
    <cellStyle name="표준 60 2 3 2" xfId="3653"/>
    <cellStyle name="표준 60 2 4" xfId="3433"/>
    <cellStyle name="표준 60 2 4 2" xfId="3762"/>
    <cellStyle name="표준 60 2 5" xfId="3545"/>
    <cellStyle name="표준 60 3" xfId="3228"/>
    <cellStyle name="표준 60 3 2" xfId="3286"/>
    <cellStyle name="표준 60 3 2 2" xfId="3398"/>
    <cellStyle name="표준 60 3 2 2 2" xfId="3727"/>
    <cellStyle name="표준 60 3 2 3" xfId="3507"/>
    <cellStyle name="표준 60 3 2 3 2" xfId="3836"/>
    <cellStyle name="표준 60 3 2 4" xfId="3619"/>
    <cellStyle name="표준 60 3 3" xfId="3344"/>
    <cellStyle name="표준 60 3 3 2" xfId="3673"/>
    <cellStyle name="표준 60 3 4" xfId="3453"/>
    <cellStyle name="표준 60 3 4 2" xfId="3782"/>
    <cellStyle name="표준 60 3 5" xfId="3565"/>
    <cellStyle name="표준 60 4" xfId="3249"/>
    <cellStyle name="표준 60 4 2" xfId="3361"/>
    <cellStyle name="표준 60 4 2 2" xfId="3690"/>
    <cellStyle name="표준 60 4 3" xfId="3470"/>
    <cellStyle name="표준 60 4 3 2" xfId="3799"/>
    <cellStyle name="표준 60 4 4" xfId="3582"/>
    <cellStyle name="표준 60 5" xfId="3307"/>
    <cellStyle name="표준 60 5 2" xfId="3636"/>
    <cellStyle name="표준 60 6" xfId="3416"/>
    <cellStyle name="표준 60 6 2" xfId="3745"/>
    <cellStyle name="표준 60 7" xfId="3528"/>
    <cellStyle name="표준 61" xfId="3186"/>
    <cellStyle name="표준 61 2" xfId="3207"/>
    <cellStyle name="표준 61 2 2" xfId="3267"/>
    <cellStyle name="표준 61 2 2 2" xfId="3379"/>
    <cellStyle name="표준 61 2 2 2 2" xfId="3708"/>
    <cellStyle name="표준 61 2 2 3" xfId="3488"/>
    <cellStyle name="표준 61 2 2 3 2" xfId="3817"/>
    <cellStyle name="표준 61 2 2 4" xfId="3600"/>
    <cellStyle name="표준 61 2 3" xfId="3325"/>
    <cellStyle name="표준 61 2 3 2" xfId="3654"/>
    <cellStyle name="표준 61 2 4" xfId="3434"/>
    <cellStyle name="표준 61 2 4 2" xfId="3763"/>
    <cellStyle name="표준 61 2 5" xfId="3546"/>
    <cellStyle name="표준 61 3" xfId="3229"/>
    <cellStyle name="표준 61 3 2" xfId="3287"/>
    <cellStyle name="표준 61 3 2 2" xfId="3399"/>
    <cellStyle name="표준 61 3 2 2 2" xfId="3728"/>
    <cellStyle name="표준 61 3 2 3" xfId="3508"/>
    <cellStyle name="표준 61 3 2 3 2" xfId="3837"/>
    <cellStyle name="표준 61 3 2 4" xfId="3620"/>
    <cellStyle name="표준 61 3 3" xfId="3345"/>
    <cellStyle name="표준 61 3 3 2" xfId="3674"/>
    <cellStyle name="표준 61 3 4" xfId="3454"/>
    <cellStyle name="표준 61 3 4 2" xfId="3783"/>
    <cellStyle name="표준 61 3 5" xfId="3566"/>
    <cellStyle name="표준 61 4" xfId="3250"/>
    <cellStyle name="표준 61 4 2" xfId="3362"/>
    <cellStyle name="표준 61 4 2 2" xfId="3691"/>
    <cellStyle name="표준 61 4 3" xfId="3471"/>
    <cellStyle name="표준 61 4 3 2" xfId="3800"/>
    <cellStyle name="표준 61 4 4" xfId="3583"/>
    <cellStyle name="표준 61 5" xfId="3308"/>
    <cellStyle name="표준 61 5 2" xfId="3637"/>
    <cellStyle name="표준 61 6" xfId="3417"/>
    <cellStyle name="표준 61 6 2" xfId="3746"/>
    <cellStyle name="표준 61 7" xfId="3529"/>
    <cellStyle name="표준 62" xfId="3195"/>
    <cellStyle name="표준 63" xfId="3194"/>
    <cellStyle name="표준 63 2" xfId="3258"/>
    <cellStyle name="표준 63 2 2" xfId="3370"/>
    <cellStyle name="표준 63 2 2 2" xfId="3699"/>
    <cellStyle name="표준 63 2 3" xfId="3479"/>
    <cellStyle name="표준 63 2 3 2" xfId="3808"/>
    <cellStyle name="표준 63 2 4" xfId="3591"/>
    <cellStyle name="표준 63 3" xfId="3316"/>
    <cellStyle name="표준 63 3 2" xfId="3645"/>
    <cellStyle name="표준 63 4" xfId="3425"/>
    <cellStyle name="표준 63 4 2" xfId="3754"/>
    <cellStyle name="표준 63 5" xfId="3537"/>
    <cellStyle name="표준 64" xfId="3215"/>
    <cellStyle name="표준 64 2" xfId="3275"/>
    <cellStyle name="표준 64 2 2" xfId="3387"/>
    <cellStyle name="표준 64 2 2 2" xfId="3716"/>
    <cellStyle name="표준 64 2 3" xfId="3496"/>
    <cellStyle name="표준 64 2 3 2" xfId="3825"/>
    <cellStyle name="표준 64 2 4" xfId="3608"/>
    <cellStyle name="표준 64 3" xfId="3333"/>
    <cellStyle name="표준 64 3 2" xfId="3662"/>
    <cellStyle name="표준 64 4" xfId="3442"/>
    <cellStyle name="표준 64 4 2" xfId="3771"/>
    <cellStyle name="표준 64 5" xfId="3554"/>
    <cellStyle name="표준 65" xfId="3220"/>
    <cellStyle name="표준 65 2" xfId="3278"/>
    <cellStyle name="표준 65 2 2" xfId="3390"/>
    <cellStyle name="표준 65 2 2 2" xfId="3719"/>
    <cellStyle name="표준 65 2 3" xfId="3499"/>
    <cellStyle name="표준 65 2 3 2" xfId="3828"/>
    <cellStyle name="표준 65 2 4" xfId="3611"/>
    <cellStyle name="표준 65 3" xfId="3336"/>
    <cellStyle name="표준 65 3 2" xfId="3665"/>
    <cellStyle name="표준 65 4" xfId="3445"/>
    <cellStyle name="표준 65 4 2" xfId="3774"/>
    <cellStyle name="표준 65 5" xfId="3557"/>
    <cellStyle name="표준 66" xfId="3238"/>
    <cellStyle name="표준 67" xfId="3237"/>
    <cellStyle name="표준 67 2" xfId="3353"/>
    <cellStyle name="표준 67 2 2" xfId="3682"/>
    <cellStyle name="표준 67 3" xfId="3462"/>
    <cellStyle name="표준 67 3 2" xfId="3791"/>
    <cellStyle name="표준 67 4" xfId="3574"/>
    <cellStyle name="표준 68" xfId="3296"/>
    <cellStyle name="표준 69" xfId="3295"/>
    <cellStyle name="표준 69 2" xfId="3628"/>
    <cellStyle name="표준 7" xfId="3092"/>
    <cellStyle name="표준 7 2" xfId="3093"/>
    <cellStyle name="표준 7 3" xfId="3094"/>
    <cellStyle name="표준 7 4" xfId="3095"/>
    <cellStyle name="표준 7 5" xfId="3096"/>
    <cellStyle name="표준 7 6" xfId="3097"/>
    <cellStyle name="표준 7 7" xfId="3098"/>
    <cellStyle name="표준 70" xfId="3407"/>
    <cellStyle name="표준 70 2" xfId="3736"/>
    <cellStyle name="표준 71" xfId="3408"/>
    <cellStyle name="표준 71 2" xfId="3737"/>
    <cellStyle name="표준 72" xfId="3517"/>
    <cellStyle name="표준 73" xfId="3516"/>
    <cellStyle name="표준 74" xfId="9"/>
    <cellStyle name="표준 8" xfId="3099"/>
    <cellStyle name="표준 8 2" xfId="3100"/>
    <cellStyle name="표준 8 3" xfId="3101"/>
    <cellStyle name="표준 8 4" xfId="3102"/>
    <cellStyle name="표준 9" xfId="3113"/>
    <cellStyle name="표준 9 2" xfId="3103"/>
    <cellStyle name="표준 9 3" xfId="3104"/>
    <cellStyle name="표준 9 4" xfId="3105"/>
    <cellStyle name="표준 9 5" xfId="3106"/>
    <cellStyle name="표준 9 6" xfId="3107"/>
    <cellStyle name="표준 9 7" xfId="3108"/>
    <cellStyle name="표준 9 8" xfId="3109"/>
    <cellStyle name="標準_Sheet1" xfId="3110"/>
    <cellStyle name="桁区切り 15" xfId="31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02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871441689623512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6510080"/>
        <c:axId val="60717337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510080"/>
        <c:axId val="607173376"/>
      </c:lineChart>
      <c:catAx>
        <c:axId val="606510080"/>
        <c:scaling>
          <c:orientation val="minMax"/>
        </c:scaling>
        <c:delete val="0"/>
        <c:axPos val="b"/>
        <c:majorTickMark val="out"/>
        <c:minorTickMark val="none"/>
        <c:tickLblPos val="nextTo"/>
        <c:crossAx val="607173376"/>
        <c:crosses val="autoZero"/>
        <c:auto val="1"/>
        <c:lblAlgn val="ctr"/>
        <c:lblOffset val="100"/>
        <c:noMultiLvlLbl val="0"/>
      </c:catAx>
      <c:valAx>
        <c:axId val="6071733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065100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02</a:t>
            </a:r>
            <a:r>
              <a:rPr lang="ko-KR" altLang="en-US"/>
              <a:t>월 호기별 가동율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0.42332597675529504</c:v>
                </c:pt>
                <c:pt idx="1">
                  <c:v>0.25730711452226057</c:v>
                </c:pt>
                <c:pt idx="2">
                  <c:v>0.55627405989779244</c:v>
                </c:pt>
                <c:pt idx="3">
                  <c:v>0.47867928202604598</c:v>
                </c:pt>
                <c:pt idx="4">
                  <c:v>0.18582059707207119</c:v>
                </c:pt>
                <c:pt idx="5">
                  <c:v>0.35841675493154673</c:v>
                </c:pt>
                <c:pt idx="6">
                  <c:v>0.46203038747447428</c:v>
                </c:pt>
                <c:pt idx="7">
                  <c:v>0.49217344263064966</c:v>
                </c:pt>
                <c:pt idx="8">
                  <c:v>2.2321428571428572E-2</c:v>
                </c:pt>
                <c:pt idx="9">
                  <c:v>0.14877825252878449</c:v>
                </c:pt>
                <c:pt idx="10">
                  <c:v>0.47562996259336171</c:v>
                </c:pt>
                <c:pt idx="11">
                  <c:v>0.3138379858747985</c:v>
                </c:pt>
                <c:pt idx="12">
                  <c:v>0.53840644199027687</c:v>
                </c:pt>
                <c:pt idx="13">
                  <c:v>0.50464496550409865</c:v>
                </c:pt>
                <c:pt idx="14">
                  <c:v>0.25145916024784509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277376"/>
        <c:axId val="606069888"/>
      </c:barChart>
      <c:catAx>
        <c:axId val="202277376"/>
        <c:scaling>
          <c:orientation val="minMax"/>
        </c:scaling>
        <c:delete val="0"/>
        <c:axPos val="b"/>
        <c:majorTickMark val="out"/>
        <c:minorTickMark val="none"/>
        <c:tickLblPos val="nextTo"/>
        <c:crossAx val="606069888"/>
        <c:crosses val="autoZero"/>
        <c:auto val="1"/>
        <c:lblAlgn val="ctr"/>
        <c:lblOffset val="100"/>
        <c:noMultiLvlLbl val="0"/>
      </c:catAx>
      <c:valAx>
        <c:axId val="60606988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2277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BASE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SPACER A,B,C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1">
                  <c:v>13347</c:v>
                </c:pt>
                <c:pt idx="2">
                  <c:v>5520</c:v>
                </c:pt>
                <c:pt idx="3">
                  <c:v>1923</c:v>
                </c:pt>
                <c:pt idx="5">
                  <c:v>498</c:v>
                </c:pt>
                <c:pt idx="6">
                  <c:v>1114</c:v>
                </c:pt>
                <c:pt idx="9">
                  <c:v>22736</c:v>
                </c:pt>
                <c:pt idx="12">
                  <c:v>205</c:v>
                </c:pt>
                <c:pt idx="13">
                  <c:v>4398</c:v>
                </c:pt>
                <c:pt idx="14">
                  <c:v>39016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BASE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SPACER A,B,C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2370</c:v>
                </c:pt>
                <c:pt idx="1">
                  <c:v>13350</c:v>
                </c:pt>
                <c:pt idx="2">
                  <c:v>5520</c:v>
                </c:pt>
                <c:pt idx="3">
                  <c:v>1930</c:v>
                </c:pt>
                <c:pt idx="4">
                  <c:v>4050</c:v>
                </c:pt>
                <c:pt idx="5">
                  <c:v>500</c:v>
                </c:pt>
                <c:pt idx="6">
                  <c:v>1114</c:v>
                </c:pt>
                <c:pt idx="7">
                  <c:v>3565</c:v>
                </c:pt>
                <c:pt idx="8">
                  <c:v>610</c:v>
                </c:pt>
                <c:pt idx="9">
                  <c:v>22740</c:v>
                </c:pt>
                <c:pt idx="10">
                  <c:v>706</c:v>
                </c:pt>
                <c:pt idx="11">
                  <c:v>1850</c:v>
                </c:pt>
                <c:pt idx="12">
                  <c:v>205</c:v>
                </c:pt>
                <c:pt idx="13">
                  <c:v>4400</c:v>
                </c:pt>
                <c:pt idx="14">
                  <c:v>39020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837056"/>
        <c:axId val="606071616"/>
      </c:lineChart>
      <c:catAx>
        <c:axId val="2898370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06071616"/>
        <c:crosses val="autoZero"/>
        <c:auto val="1"/>
        <c:lblAlgn val="ctr"/>
        <c:lblOffset val="100"/>
        <c:noMultiLvlLbl val="0"/>
      </c:catAx>
      <c:valAx>
        <c:axId val="6060716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89837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"/>
                <c:pt idx="0">
                  <c:v>0% 92% 100% 46% 0% 17% 29% 0% 0% 100% 0% 0% 17% 87%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'01'!$D$6:$D$20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BASE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SPACER A,B,C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0.91646067415730326</c:v>
                </c:pt>
                <c:pt idx="2">
                  <c:v>1</c:v>
                </c:pt>
                <c:pt idx="3">
                  <c:v>0.45667098445595855</c:v>
                </c:pt>
                <c:pt idx="4">
                  <c:v>0</c:v>
                </c:pt>
                <c:pt idx="5">
                  <c:v>0.16599999999999998</c:v>
                </c:pt>
                <c:pt idx="6">
                  <c:v>0.29166666666666669</c:v>
                </c:pt>
                <c:pt idx="7">
                  <c:v>0</c:v>
                </c:pt>
                <c:pt idx="8">
                  <c:v>0</c:v>
                </c:pt>
                <c:pt idx="9">
                  <c:v>0.99982409850483733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0.87460227272727264</c:v>
                </c:pt>
                <c:pt idx="14">
                  <c:v>0.99989748846745263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'01'!$D$6:$D$20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BASE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SPACER A,B,C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0.39145259010974381</c:v>
                </c:pt>
                <c:pt idx="1">
                  <c:v>0.39145259010974381</c:v>
                </c:pt>
                <c:pt idx="2">
                  <c:v>0.39145259010974381</c:v>
                </c:pt>
                <c:pt idx="3">
                  <c:v>0.39145259010974381</c:v>
                </c:pt>
                <c:pt idx="4">
                  <c:v>0.39145259010974381</c:v>
                </c:pt>
                <c:pt idx="5">
                  <c:v>0.39145259010974381</c:v>
                </c:pt>
                <c:pt idx="6">
                  <c:v>0.39145259010974381</c:v>
                </c:pt>
                <c:pt idx="7">
                  <c:v>0.39145259010974381</c:v>
                </c:pt>
                <c:pt idx="8">
                  <c:v>0.39145259010974381</c:v>
                </c:pt>
                <c:pt idx="9">
                  <c:v>0.39145259010974381</c:v>
                </c:pt>
                <c:pt idx="10">
                  <c:v>0.39145259010974381</c:v>
                </c:pt>
                <c:pt idx="11">
                  <c:v>0.39145259010974381</c:v>
                </c:pt>
                <c:pt idx="12">
                  <c:v>0.39145259010974381</c:v>
                </c:pt>
                <c:pt idx="13">
                  <c:v>0.39145259010974381</c:v>
                </c:pt>
                <c:pt idx="14">
                  <c:v>0.39145259010974381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838080"/>
        <c:axId val="606073344"/>
      </c:lineChart>
      <c:catAx>
        <c:axId val="289838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06073344"/>
        <c:crosses val="autoZero"/>
        <c:auto val="1"/>
        <c:lblAlgn val="ctr"/>
        <c:lblOffset val="100"/>
        <c:noMultiLvlLbl val="0"/>
      </c:catAx>
      <c:valAx>
        <c:axId val="60607334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89838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BASE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SPACER A,B,C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1">
                  <c:v>13347</c:v>
                </c:pt>
                <c:pt idx="2">
                  <c:v>5520</c:v>
                </c:pt>
                <c:pt idx="3">
                  <c:v>1923</c:v>
                </c:pt>
                <c:pt idx="5">
                  <c:v>498</c:v>
                </c:pt>
                <c:pt idx="6">
                  <c:v>1114</c:v>
                </c:pt>
                <c:pt idx="9">
                  <c:v>22736</c:v>
                </c:pt>
                <c:pt idx="12">
                  <c:v>205</c:v>
                </c:pt>
                <c:pt idx="13">
                  <c:v>4398</c:v>
                </c:pt>
                <c:pt idx="14">
                  <c:v>39016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BASE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SPACER A,B,C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2370</c:v>
                </c:pt>
                <c:pt idx="1">
                  <c:v>13350</c:v>
                </c:pt>
                <c:pt idx="2">
                  <c:v>5520</c:v>
                </c:pt>
                <c:pt idx="3">
                  <c:v>1930</c:v>
                </c:pt>
                <c:pt idx="4">
                  <c:v>4050</c:v>
                </c:pt>
                <c:pt idx="5">
                  <c:v>500</c:v>
                </c:pt>
                <c:pt idx="6">
                  <c:v>1114</c:v>
                </c:pt>
                <c:pt idx="7">
                  <c:v>3565</c:v>
                </c:pt>
                <c:pt idx="8">
                  <c:v>610</c:v>
                </c:pt>
                <c:pt idx="9">
                  <c:v>22740</c:v>
                </c:pt>
                <c:pt idx="10">
                  <c:v>706</c:v>
                </c:pt>
                <c:pt idx="11">
                  <c:v>1850</c:v>
                </c:pt>
                <c:pt idx="12">
                  <c:v>205</c:v>
                </c:pt>
                <c:pt idx="13">
                  <c:v>4400</c:v>
                </c:pt>
                <c:pt idx="14">
                  <c:v>39020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839104"/>
        <c:axId val="606075648"/>
      </c:lineChart>
      <c:catAx>
        <c:axId val="28983910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06075648"/>
        <c:crosses val="autoZero"/>
        <c:auto val="1"/>
        <c:lblAlgn val="ctr"/>
        <c:lblOffset val="100"/>
        <c:noMultiLvlLbl val="0"/>
      </c:catAx>
      <c:valAx>
        <c:axId val="6060756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89839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"/>
                <c:pt idx="0">
                  <c:v>0% 92% 100% 46% 0% 17% 29% 0% 0% 100% 0% 0% 17% 87%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'01'!$D$6:$D$20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BASE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SPACER A,B,C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0.91646067415730326</c:v>
                </c:pt>
                <c:pt idx="2">
                  <c:v>1</c:v>
                </c:pt>
                <c:pt idx="3">
                  <c:v>0.45667098445595855</c:v>
                </c:pt>
                <c:pt idx="4">
                  <c:v>0</c:v>
                </c:pt>
                <c:pt idx="5">
                  <c:v>0.16599999999999998</c:v>
                </c:pt>
                <c:pt idx="6">
                  <c:v>0.29166666666666669</c:v>
                </c:pt>
                <c:pt idx="7">
                  <c:v>0</c:v>
                </c:pt>
                <c:pt idx="8">
                  <c:v>0</c:v>
                </c:pt>
                <c:pt idx="9">
                  <c:v>0.99982409850483733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0.87460227272727264</c:v>
                </c:pt>
                <c:pt idx="14">
                  <c:v>0.99989748846745263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'01'!$D$6:$D$20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BASE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SPACER A,B,C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0.39145259010974381</c:v>
                </c:pt>
                <c:pt idx="1">
                  <c:v>0.39145259010974381</c:v>
                </c:pt>
                <c:pt idx="2">
                  <c:v>0.39145259010974381</c:v>
                </c:pt>
                <c:pt idx="3">
                  <c:v>0.39145259010974381</c:v>
                </c:pt>
                <c:pt idx="4">
                  <c:v>0.39145259010974381</c:v>
                </c:pt>
                <c:pt idx="5">
                  <c:v>0.39145259010974381</c:v>
                </c:pt>
                <c:pt idx="6">
                  <c:v>0.39145259010974381</c:v>
                </c:pt>
                <c:pt idx="7">
                  <c:v>0.39145259010974381</c:v>
                </c:pt>
                <c:pt idx="8">
                  <c:v>0.39145259010974381</c:v>
                </c:pt>
                <c:pt idx="9">
                  <c:v>0.39145259010974381</c:v>
                </c:pt>
                <c:pt idx="10">
                  <c:v>0.39145259010974381</c:v>
                </c:pt>
                <c:pt idx="11">
                  <c:v>0.39145259010974381</c:v>
                </c:pt>
                <c:pt idx="12">
                  <c:v>0.39145259010974381</c:v>
                </c:pt>
                <c:pt idx="13">
                  <c:v>0.39145259010974381</c:v>
                </c:pt>
                <c:pt idx="14">
                  <c:v>0.39145259010974381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839616"/>
        <c:axId val="607355456"/>
      </c:lineChart>
      <c:catAx>
        <c:axId val="289839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07355456"/>
        <c:crosses val="autoZero"/>
        <c:auto val="1"/>
        <c:lblAlgn val="ctr"/>
        <c:lblOffset val="100"/>
        <c:noMultiLvlLbl val="0"/>
      </c:catAx>
      <c:valAx>
        <c:axId val="6073554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89839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9840128"/>
        <c:axId val="60735776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840128"/>
        <c:axId val="607357760"/>
      </c:lineChart>
      <c:catAx>
        <c:axId val="289840128"/>
        <c:scaling>
          <c:orientation val="minMax"/>
        </c:scaling>
        <c:delete val="0"/>
        <c:axPos val="b"/>
        <c:majorTickMark val="out"/>
        <c:minorTickMark val="none"/>
        <c:tickLblPos val="nextTo"/>
        <c:crossAx val="607357760"/>
        <c:crosses val="autoZero"/>
        <c:auto val="1"/>
        <c:lblAlgn val="ctr"/>
        <c:lblOffset val="100"/>
        <c:noMultiLvlLbl val="0"/>
      </c:catAx>
      <c:valAx>
        <c:axId val="60735776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8984012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BASE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BODY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'02'!$L$6:$L$20</c:f>
              <c:numCache>
                <c:formatCode>_(* #,##0_);_(* \(#,##0\);_(* "-"_);_(@_)</c:formatCode>
                <c:ptCount val="15"/>
                <c:pt idx="1">
                  <c:v>15717</c:v>
                </c:pt>
                <c:pt idx="2">
                  <c:v>5103</c:v>
                </c:pt>
                <c:pt idx="7">
                  <c:v>192</c:v>
                </c:pt>
                <c:pt idx="9">
                  <c:v>23396</c:v>
                </c:pt>
                <c:pt idx="10">
                  <c:v>3121</c:v>
                </c:pt>
                <c:pt idx="11">
                  <c:v>219</c:v>
                </c:pt>
                <c:pt idx="12">
                  <c:v>3338</c:v>
                </c:pt>
                <c:pt idx="13">
                  <c:v>5144</c:v>
                </c:pt>
                <c:pt idx="14">
                  <c:v>41532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'02'!$D$6:$D$20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BASE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BODY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'02'!$J$6:$J$20</c:f>
              <c:numCache>
                <c:formatCode>_(* #,##0_);_(* \(#,##0\);_(* "-"_);_(@_)</c:formatCode>
                <c:ptCount val="15"/>
                <c:pt idx="0">
                  <c:v>2370</c:v>
                </c:pt>
                <c:pt idx="1">
                  <c:v>15720</c:v>
                </c:pt>
                <c:pt idx="2">
                  <c:v>5110</c:v>
                </c:pt>
                <c:pt idx="3">
                  <c:v>1930</c:v>
                </c:pt>
                <c:pt idx="4">
                  <c:v>4050</c:v>
                </c:pt>
                <c:pt idx="5">
                  <c:v>500</c:v>
                </c:pt>
                <c:pt idx="6">
                  <c:v>1114</c:v>
                </c:pt>
                <c:pt idx="7">
                  <c:v>192</c:v>
                </c:pt>
                <c:pt idx="8">
                  <c:v>610</c:v>
                </c:pt>
                <c:pt idx="9">
                  <c:v>23400</c:v>
                </c:pt>
                <c:pt idx="10">
                  <c:v>3121</c:v>
                </c:pt>
                <c:pt idx="11">
                  <c:v>220</c:v>
                </c:pt>
                <c:pt idx="12">
                  <c:v>3340</c:v>
                </c:pt>
                <c:pt idx="13">
                  <c:v>4150</c:v>
                </c:pt>
                <c:pt idx="14">
                  <c:v>41540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704896"/>
        <c:axId val="607360640"/>
      </c:lineChart>
      <c:catAx>
        <c:axId val="2907048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07360640"/>
        <c:crosses val="autoZero"/>
        <c:auto val="1"/>
        <c:lblAlgn val="ctr"/>
        <c:lblOffset val="100"/>
        <c:noMultiLvlLbl val="0"/>
      </c:catAx>
      <c:valAx>
        <c:axId val="60736064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90704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'02'!$AD$6:$AD$20</c:f>
              <c:strCache>
                <c:ptCount val="1"/>
                <c:pt idx="0">
                  <c:v>0% 100% 100% 0% 0% 0% 0% 21% 0% 100% 71% 17% 71% 114%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'02'!$D$6:$D$20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BASE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BODY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'02'!$AD$6:$AD$20</c:f>
              <c:numCache>
                <c:formatCode>0%</c:formatCode>
                <c:ptCount val="15"/>
                <c:pt idx="0">
                  <c:v>0</c:v>
                </c:pt>
                <c:pt idx="1">
                  <c:v>0.9998091603053435</c:v>
                </c:pt>
                <c:pt idx="2">
                  <c:v>0.99863013698630132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0.20833333333333334</c:v>
                </c:pt>
                <c:pt idx="8">
                  <c:v>0</c:v>
                </c:pt>
                <c:pt idx="9">
                  <c:v>0.99982905982905979</c:v>
                </c:pt>
                <c:pt idx="10">
                  <c:v>0.70833333333333337</c:v>
                </c:pt>
                <c:pt idx="11">
                  <c:v>0.16590909090909089</c:v>
                </c:pt>
                <c:pt idx="12">
                  <c:v>0.70790918163672656</c:v>
                </c:pt>
                <c:pt idx="13">
                  <c:v>1.1362248995983935</c:v>
                </c:pt>
                <c:pt idx="14">
                  <c:v>0.99980741454020217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'02'!$D$6:$D$20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BASE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BODY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'02'!$AE$6:$AE$20</c:f>
              <c:numCache>
                <c:formatCode>0%</c:formatCode>
                <c:ptCount val="15"/>
                <c:pt idx="0">
                  <c:v>0.46165237403145226</c:v>
                </c:pt>
                <c:pt idx="1">
                  <c:v>0.46165237403145226</c:v>
                </c:pt>
                <c:pt idx="2">
                  <c:v>0.46165237403145226</c:v>
                </c:pt>
                <c:pt idx="3">
                  <c:v>0.46165237403145226</c:v>
                </c:pt>
                <c:pt idx="4">
                  <c:v>0.46165237403145226</c:v>
                </c:pt>
                <c:pt idx="5">
                  <c:v>0.46165237403145226</c:v>
                </c:pt>
                <c:pt idx="6">
                  <c:v>0.46165237403145226</c:v>
                </c:pt>
                <c:pt idx="7">
                  <c:v>0.46165237403145226</c:v>
                </c:pt>
                <c:pt idx="8">
                  <c:v>0.46165237403145226</c:v>
                </c:pt>
                <c:pt idx="9">
                  <c:v>0.46165237403145226</c:v>
                </c:pt>
                <c:pt idx="10">
                  <c:v>0.46165237403145226</c:v>
                </c:pt>
                <c:pt idx="11">
                  <c:v>0.46165237403145226</c:v>
                </c:pt>
                <c:pt idx="12">
                  <c:v>0.46165237403145226</c:v>
                </c:pt>
                <c:pt idx="13">
                  <c:v>0.46165237403145226</c:v>
                </c:pt>
                <c:pt idx="14">
                  <c:v>0.46165237403145226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746880"/>
        <c:axId val="607362368"/>
      </c:lineChart>
      <c:catAx>
        <c:axId val="29074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07362368"/>
        <c:crosses val="autoZero"/>
        <c:auto val="1"/>
        <c:lblAlgn val="ctr"/>
        <c:lblOffset val="100"/>
        <c:noMultiLvlLbl val="0"/>
      </c:catAx>
      <c:valAx>
        <c:axId val="6073623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0746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BASE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BODY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'02'!$L$6:$L$20</c:f>
              <c:numCache>
                <c:formatCode>_(* #,##0_);_(* \(#,##0\);_(* "-"_);_(@_)</c:formatCode>
                <c:ptCount val="15"/>
                <c:pt idx="1">
                  <c:v>15717</c:v>
                </c:pt>
                <c:pt idx="2">
                  <c:v>5103</c:v>
                </c:pt>
                <c:pt idx="7">
                  <c:v>192</c:v>
                </c:pt>
                <c:pt idx="9">
                  <c:v>23396</c:v>
                </c:pt>
                <c:pt idx="10">
                  <c:v>3121</c:v>
                </c:pt>
                <c:pt idx="11">
                  <c:v>219</c:v>
                </c:pt>
                <c:pt idx="12">
                  <c:v>3338</c:v>
                </c:pt>
                <c:pt idx="13">
                  <c:v>5144</c:v>
                </c:pt>
                <c:pt idx="14">
                  <c:v>41532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'02'!$D$6:$D$20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BASE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BODY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'02'!$J$6:$J$20</c:f>
              <c:numCache>
                <c:formatCode>_(* #,##0_);_(* \(#,##0\);_(* "-"_);_(@_)</c:formatCode>
                <c:ptCount val="15"/>
                <c:pt idx="0">
                  <c:v>2370</c:v>
                </c:pt>
                <c:pt idx="1">
                  <c:v>15720</c:v>
                </c:pt>
                <c:pt idx="2">
                  <c:v>5110</c:v>
                </c:pt>
                <c:pt idx="3">
                  <c:v>1930</c:v>
                </c:pt>
                <c:pt idx="4">
                  <c:v>4050</c:v>
                </c:pt>
                <c:pt idx="5">
                  <c:v>500</c:v>
                </c:pt>
                <c:pt idx="6">
                  <c:v>1114</c:v>
                </c:pt>
                <c:pt idx="7">
                  <c:v>192</c:v>
                </c:pt>
                <c:pt idx="8">
                  <c:v>610</c:v>
                </c:pt>
                <c:pt idx="9">
                  <c:v>23400</c:v>
                </c:pt>
                <c:pt idx="10">
                  <c:v>3121</c:v>
                </c:pt>
                <c:pt idx="11">
                  <c:v>220</c:v>
                </c:pt>
                <c:pt idx="12">
                  <c:v>3340</c:v>
                </c:pt>
                <c:pt idx="13">
                  <c:v>4150</c:v>
                </c:pt>
                <c:pt idx="14">
                  <c:v>41540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747904"/>
        <c:axId val="605161152"/>
      </c:lineChart>
      <c:catAx>
        <c:axId val="29074790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05161152"/>
        <c:crosses val="autoZero"/>
        <c:auto val="1"/>
        <c:lblAlgn val="ctr"/>
        <c:lblOffset val="100"/>
        <c:noMultiLvlLbl val="0"/>
      </c:catAx>
      <c:valAx>
        <c:axId val="6051611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90747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'02'!$AD$6:$AD$20</c:f>
              <c:strCache>
                <c:ptCount val="1"/>
                <c:pt idx="0">
                  <c:v>0% 100% 100% 0% 0% 0% 0% 21% 0% 100% 71% 17% 71% 114%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'02'!$D$6:$D$20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BASE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BODY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'02'!$AD$6:$AD$20</c:f>
              <c:numCache>
                <c:formatCode>0%</c:formatCode>
                <c:ptCount val="15"/>
                <c:pt idx="0">
                  <c:v>0</c:v>
                </c:pt>
                <c:pt idx="1">
                  <c:v>0.9998091603053435</c:v>
                </c:pt>
                <c:pt idx="2">
                  <c:v>0.99863013698630132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0.20833333333333334</c:v>
                </c:pt>
                <c:pt idx="8">
                  <c:v>0</c:v>
                </c:pt>
                <c:pt idx="9">
                  <c:v>0.99982905982905979</c:v>
                </c:pt>
                <c:pt idx="10">
                  <c:v>0.70833333333333337</c:v>
                </c:pt>
                <c:pt idx="11">
                  <c:v>0.16590909090909089</c:v>
                </c:pt>
                <c:pt idx="12">
                  <c:v>0.70790918163672656</c:v>
                </c:pt>
                <c:pt idx="13">
                  <c:v>1.1362248995983935</c:v>
                </c:pt>
                <c:pt idx="14">
                  <c:v>0.99980741454020217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'02'!$D$6:$D$20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BASE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A</c:v>
                </c:pt>
                <c:pt idx="10">
                  <c:v>BODY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'02'!$AE$6:$AE$20</c:f>
              <c:numCache>
                <c:formatCode>0%</c:formatCode>
                <c:ptCount val="15"/>
                <c:pt idx="0">
                  <c:v>0.46165237403145226</c:v>
                </c:pt>
                <c:pt idx="1">
                  <c:v>0.46165237403145226</c:v>
                </c:pt>
                <c:pt idx="2">
                  <c:v>0.46165237403145226</c:v>
                </c:pt>
                <c:pt idx="3">
                  <c:v>0.46165237403145226</c:v>
                </c:pt>
                <c:pt idx="4">
                  <c:v>0.46165237403145226</c:v>
                </c:pt>
                <c:pt idx="5">
                  <c:v>0.46165237403145226</c:v>
                </c:pt>
                <c:pt idx="6">
                  <c:v>0.46165237403145226</c:v>
                </c:pt>
                <c:pt idx="7">
                  <c:v>0.46165237403145226</c:v>
                </c:pt>
                <c:pt idx="8">
                  <c:v>0.46165237403145226</c:v>
                </c:pt>
                <c:pt idx="9">
                  <c:v>0.46165237403145226</c:v>
                </c:pt>
                <c:pt idx="10">
                  <c:v>0.46165237403145226</c:v>
                </c:pt>
                <c:pt idx="11">
                  <c:v>0.46165237403145226</c:v>
                </c:pt>
                <c:pt idx="12">
                  <c:v>0.46165237403145226</c:v>
                </c:pt>
                <c:pt idx="13">
                  <c:v>0.46165237403145226</c:v>
                </c:pt>
                <c:pt idx="14">
                  <c:v>0.46165237403145226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748416"/>
        <c:axId val="605162880"/>
      </c:lineChart>
      <c:catAx>
        <c:axId val="290748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05162880"/>
        <c:crosses val="autoZero"/>
        <c:auto val="1"/>
        <c:lblAlgn val="ctr"/>
        <c:lblOffset val="100"/>
        <c:noMultiLvlLbl val="0"/>
      </c:catAx>
      <c:valAx>
        <c:axId val="6051628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0748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0748928"/>
        <c:axId val="60516518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748928"/>
        <c:axId val="605165184"/>
      </c:lineChart>
      <c:catAx>
        <c:axId val="290748928"/>
        <c:scaling>
          <c:orientation val="minMax"/>
        </c:scaling>
        <c:delete val="0"/>
        <c:axPos val="b"/>
        <c:majorTickMark val="out"/>
        <c:minorTickMark val="none"/>
        <c:tickLblPos val="nextTo"/>
        <c:crossAx val="605165184"/>
        <c:crosses val="autoZero"/>
        <c:auto val="1"/>
        <c:lblAlgn val="ctr"/>
        <c:lblOffset val="100"/>
        <c:noMultiLvlLbl val="0"/>
      </c:catAx>
      <c:valAx>
        <c:axId val="6051651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9074892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BASE/UNDER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1">
                  <c:v>11400</c:v>
                </c:pt>
                <c:pt idx="2">
                  <c:v>757</c:v>
                </c:pt>
                <c:pt idx="3">
                  <c:v>894</c:v>
                </c:pt>
                <c:pt idx="6">
                  <c:v>1273</c:v>
                </c:pt>
                <c:pt idx="9">
                  <c:v>21536</c:v>
                </c:pt>
                <c:pt idx="10">
                  <c:v>1122</c:v>
                </c:pt>
                <c:pt idx="12">
                  <c:v>1318</c:v>
                </c:pt>
                <c:pt idx="13">
                  <c:v>3460</c:v>
                </c:pt>
                <c:pt idx="14">
                  <c:v>29128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BASE/UNDER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2370</c:v>
                </c:pt>
                <c:pt idx="1">
                  <c:v>11400</c:v>
                </c:pt>
                <c:pt idx="2">
                  <c:v>760</c:v>
                </c:pt>
                <c:pt idx="3">
                  <c:v>895</c:v>
                </c:pt>
                <c:pt idx="4">
                  <c:v>4050</c:v>
                </c:pt>
                <c:pt idx="5">
                  <c:v>500</c:v>
                </c:pt>
                <c:pt idx="6">
                  <c:v>1280</c:v>
                </c:pt>
                <c:pt idx="7">
                  <c:v>192</c:v>
                </c:pt>
                <c:pt idx="8">
                  <c:v>610</c:v>
                </c:pt>
                <c:pt idx="9">
                  <c:v>21540</c:v>
                </c:pt>
                <c:pt idx="10">
                  <c:v>1130</c:v>
                </c:pt>
                <c:pt idx="11">
                  <c:v>220</c:v>
                </c:pt>
                <c:pt idx="12">
                  <c:v>1320</c:v>
                </c:pt>
                <c:pt idx="13">
                  <c:v>3460</c:v>
                </c:pt>
                <c:pt idx="14">
                  <c:v>29130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1681792"/>
        <c:axId val="616759872"/>
      </c:lineChart>
      <c:catAx>
        <c:axId val="2916817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16759872"/>
        <c:crosses val="autoZero"/>
        <c:auto val="1"/>
        <c:lblAlgn val="ctr"/>
        <c:lblOffset val="100"/>
        <c:noMultiLvlLbl val="0"/>
      </c:catAx>
      <c:valAx>
        <c:axId val="6167598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91681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"/>
                <c:pt idx="0">
                  <c:v>0% 100% 25% 25% 0% 0% 66% 0% 0% 100% 99% 0% 29% 79% 83%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'05'!$D$6:$D$20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BASE/UNDER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0.24901315789473685</c:v>
                </c:pt>
                <c:pt idx="3">
                  <c:v>0.24972067039106144</c:v>
                </c:pt>
                <c:pt idx="4">
                  <c:v>0</c:v>
                </c:pt>
                <c:pt idx="5">
                  <c:v>0</c:v>
                </c:pt>
                <c:pt idx="6">
                  <c:v>0.66302083333333328</c:v>
                </c:pt>
                <c:pt idx="7">
                  <c:v>0</c:v>
                </c:pt>
                <c:pt idx="8">
                  <c:v>0</c:v>
                </c:pt>
                <c:pt idx="9">
                  <c:v>0.99981429897864438</c:v>
                </c:pt>
                <c:pt idx="10">
                  <c:v>0.99292035398230083</c:v>
                </c:pt>
                <c:pt idx="11">
                  <c:v>0</c:v>
                </c:pt>
                <c:pt idx="12">
                  <c:v>0.29122474747474753</c:v>
                </c:pt>
                <c:pt idx="13">
                  <c:v>0.79166666666666663</c:v>
                </c:pt>
                <c:pt idx="14">
                  <c:v>0.83327611854903316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'05'!$D$6:$D$20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BASE/UNDER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0.40471045648470161</c:v>
                </c:pt>
                <c:pt idx="1">
                  <c:v>0.40471045648470161</c:v>
                </c:pt>
                <c:pt idx="2">
                  <c:v>0.40471045648470161</c:v>
                </c:pt>
                <c:pt idx="3">
                  <c:v>0.40471045648470161</c:v>
                </c:pt>
                <c:pt idx="4">
                  <c:v>0.40471045648470161</c:v>
                </c:pt>
                <c:pt idx="5">
                  <c:v>0.40471045648470161</c:v>
                </c:pt>
                <c:pt idx="6">
                  <c:v>0.40471045648470161</c:v>
                </c:pt>
                <c:pt idx="7">
                  <c:v>0.40471045648470161</c:v>
                </c:pt>
                <c:pt idx="8">
                  <c:v>0.40471045648470161</c:v>
                </c:pt>
                <c:pt idx="9">
                  <c:v>0.40471045648470161</c:v>
                </c:pt>
                <c:pt idx="10">
                  <c:v>0.40471045648470161</c:v>
                </c:pt>
                <c:pt idx="11">
                  <c:v>0.40471045648470161</c:v>
                </c:pt>
                <c:pt idx="12">
                  <c:v>0.40471045648470161</c:v>
                </c:pt>
                <c:pt idx="13">
                  <c:v>0.40471045648470161</c:v>
                </c:pt>
                <c:pt idx="14">
                  <c:v>0.40471045648470161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1683840"/>
        <c:axId val="616761600"/>
      </c:lineChart>
      <c:catAx>
        <c:axId val="291683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16761600"/>
        <c:crosses val="autoZero"/>
        <c:auto val="1"/>
        <c:lblAlgn val="ctr"/>
        <c:lblOffset val="100"/>
        <c:noMultiLvlLbl val="0"/>
      </c:catAx>
      <c:valAx>
        <c:axId val="6167616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1683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BASE/UNDER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1">
                  <c:v>11400</c:v>
                </c:pt>
                <c:pt idx="2">
                  <c:v>757</c:v>
                </c:pt>
                <c:pt idx="3">
                  <c:v>894</c:v>
                </c:pt>
                <c:pt idx="6">
                  <c:v>1273</c:v>
                </c:pt>
                <c:pt idx="9">
                  <c:v>21536</c:v>
                </c:pt>
                <c:pt idx="10">
                  <c:v>1122</c:v>
                </c:pt>
                <c:pt idx="12">
                  <c:v>1318</c:v>
                </c:pt>
                <c:pt idx="13">
                  <c:v>3460</c:v>
                </c:pt>
                <c:pt idx="14">
                  <c:v>29128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BASE/UNDER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2370</c:v>
                </c:pt>
                <c:pt idx="1">
                  <c:v>11400</c:v>
                </c:pt>
                <c:pt idx="2">
                  <c:v>760</c:v>
                </c:pt>
                <c:pt idx="3">
                  <c:v>895</c:v>
                </c:pt>
                <c:pt idx="4">
                  <c:v>4050</c:v>
                </c:pt>
                <c:pt idx="5">
                  <c:v>500</c:v>
                </c:pt>
                <c:pt idx="6">
                  <c:v>1280</c:v>
                </c:pt>
                <c:pt idx="7">
                  <c:v>192</c:v>
                </c:pt>
                <c:pt idx="8">
                  <c:v>610</c:v>
                </c:pt>
                <c:pt idx="9">
                  <c:v>21540</c:v>
                </c:pt>
                <c:pt idx="10">
                  <c:v>1130</c:v>
                </c:pt>
                <c:pt idx="11">
                  <c:v>220</c:v>
                </c:pt>
                <c:pt idx="12">
                  <c:v>1320</c:v>
                </c:pt>
                <c:pt idx="13">
                  <c:v>3460</c:v>
                </c:pt>
                <c:pt idx="14">
                  <c:v>29130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288000"/>
        <c:axId val="616763904"/>
      </c:lineChart>
      <c:catAx>
        <c:axId val="2922880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16763904"/>
        <c:crosses val="autoZero"/>
        <c:auto val="1"/>
        <c:lblAlgn val="ctr"/>
        <c:lblOffset val="100"/>
        <c:noMultiLvlLbl val="0"/>
      </c:catAx>
      <c:valAx>
        <c:axId val="6167639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92288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"/>
                <c:pt idx="0">
                  <c:v>0% 100% 25% 25% 0% 0% 66% 0% 0% 100% 99% 0% 29% 79% 83%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'05'!$D$6:$D$20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BASE/UNDER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0.24901315789473685</c:v>
                </c:pt>
                <c:pt idx="3">
                  <c:v>0.24972067039106144</c:v>
                </c:pt>
                <c:pt idx="4">
                  <c:v>0</c:v>
                </c:pt>
                <c:pt idx="5">
                  <c:v>0</c:v>
                </c:pt>
                <c:pt idx="6">
                  <c:v>0.66302083333333328</c:v>
                </c:pt>
                <c:pt idx="7">
                  <c:v>0</c:v>
                </c:pt>
                <c:pt idx="8">
                  <c:v>0</c:v>
                </c:pt>
                <c:pt idx="9">
                  <c:v>0.99981429897864438</c:v>
                </c:pt>
                <c:pt idx="10">
                  <c:v>0.99292035398230083</c:v>
                </c:pt>
                <c:pt idx="11">
                  <c:v>0</c:v>
                </c:pt>
                <c:pt idx="12">
                  <c:v>0.29122474747474753</c:v>
                </c:pt>
                <c:pt idx="13">
                  <c:v>0.79166666666666663</c:v>
                </c:pt>
                <c:pt idx="14">
                  <c:v>0.83327611854903316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'05'!$D$6:$D$20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BASE/UNDER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0.40471045648470161</c:v>
                </c:pt>
                <c:pt idx="1">
                  <c:v>0.40471045648470161</c:v>
                </c:pt>
                <c:pt idx="2">
                  <c:v>0.40471045648470161</c:v>
                </c:pt>
                <c:pt idx="3">
                  <c:v>0.40471045648470161</c:v>
                </c:pt>
                <c:pt idx="4">
                  <c:v>0.40471045648470161</c:v>
                </c:pt>
                <c:pt idx="5">
                  <c:v>0.40471045648470161</c:v>
                </c:pt>
                <c:pt idx="6">
                  <c:v>0.40471045648470161</c:v>
                </c:pt>
                <c:pt idx="7">
                  <c:v>0.40471045648470161</c:v>
                </c:pt>
                <c:pt idx="8">
                  <c:v>0.40471045648470161</c:v>
                </c:pt>
                <c:pt idx="9">
                  <c:v>0.40471045648470161</c:v>
                </c:pt>
                <c:pt idx="10">
                  <c:v>0.40471045648470161</c:v>
                </c:pt>
                <c:pt idx="11">
                  <c:v>0.40471045648470161</c:v>
                </c:pt>
                <c:pt idx="12">
                  <c:v>0.40471045648470161</c:v>
                </c:pt>
                <c:pt idx="13">
                  <c:v>0.40471045648470161</c:v>
                </c:pt>
                <c:pt idx="14">
                  <c:v>0.40471045648470161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290048"/>
        <c:axId val="616765632"/>
      </c:lineChart>
      <c:catAx>
        <c:axId val="29229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16765632"/>
        <c:crosses val="autoZero"/>
        <c:auto val="1"/>
        <c:lblAlgn val="ctr"/>
        <c:lblOffset val="100"/>
        <c:noMultiLvlLbl val="0"/>
      </c:catAx>
      <c:valAx>
        <c:axId val="6167656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2290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642816"/>
        <c:axId val="60726534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642816"/>
        <c:axId val="607265344"/>
      </c:lineChart>
      <c:catAx>
        <c:axId val="292642816"/>
        <c:scaling>
          <c:orientation val="minMax"/>
        </c:scaling>
        <c:delete val="0"/>
        <c:axPos val="b"/>
        <c:majorTickMark val="out"/>
        <c:minorTickMark val="none"/>
        <c:tickLblPos val="nextTo"/>
        <c:crossAx val="607265344"/>
        <c:crosses val="autoZero"/>
        <c:auto val="1"/>
        <c:lblAlgn val="ctr"/>
        <c:lblOffset val="100"/>
        <c:noMultiLvlLbl val="0"/>
      </c:catAx>
      <c:valAx>
        <c:axId val="6072653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926428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1">
                  <c:v>11583</c:v>
                </c:pt>
                <c:pt idx="2">
                  <c:v>4847</c:v>
                </c:pt>
                <c:pt idx="3">
                  <c:v>4225</c:v>
                </c:pt>
                <c:pt idx="5">
                  <c:v>1140</c:v>
                </c:pt>
                <c:pt idx="6">
                  <c:v>1273</c:v>
                </c:pt>
                <c:pt idx="8">
                  <c:v>190</c:v>
                </c:pt>
                <c:pt idx="9">
                  <c:v>23312</c:v>
                </c:pt>
                <c:pt idx="10">
                  <c:v>2979</c:v>
                </c:pt>
                <c:pt idx="13">
                  <c:v>6323</c:v>
                </c:pt>
                <c:pt idx="14">
                  <c:v>42972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2370</c:v>
                </c:pt>
                <c:pt idx="1">
                  <c:v>11590</c:v>
                </c:pt>
                <c:pt idx="2">
                  <c:v>4850</c:v>
                </c:pt>
                <c:pt idx="3">
                  <c:v>4230</c:v>
                </c:pt>
                <c:pt idx="4">
                  <c:v>4050</c:v>
                </c:pt>
                <c:pt idx="5">
                  <c:v>1140</c:v>
                </c:pt>
                <c:pt idx="6">
                  <c:v>1280</c:v>
                </c:pt>
                <c:pt idx="7">
                  <c:v>192</c:v>
                </c:pt>
                <c:pt idx="8">
                  <c:v>190</c:v>
                </c:pt>
                <c:pt idx="9">
                  <c:v>23320</c:v>
                </c:pt>
                <c:pt idx="10">
                  <c:v>2980</c:v>
                </c:pt>
                <c:pt idx="11">
                  <c:v>220</c:v>
                </c:pt>
                <c:pt idx="12">
                  <c:v>1320</c:v>
                </c:pt>
                <c:pt idx="13">
                  <c:v>6330</c:v>
                </c:pt>
                <c:pt idx="14">
                  <c:v>42980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054912"/>
        <c:axId val="607268224"/>
      </c:lineChart>
      <c:catAx>
        <c:axId val="31005491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07268224"/>
        <c:crosses val="autoZero"/>
        <c:auto val="1"/>
        <c:lblAlgn val="ctr"/>
        <c:lblOffset val="100"/>
        <c:noMultiLvlLbl val="0"/>
      </c:catAx>
      <c:valAx>
        <c:axId val="6072682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10054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"/>
                <c:pt idx="0">
                  <c:v>0% 100% 100% 96% 0% 25% 0% 0% 21% 100% 79% 0% 0% 87%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'06'!$D$6:$D$20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</c:v>
                </c:pt>
                <c:pt idx="1">
                  <c:v>0.99939603106125974</c:v>
                </c:pt>
                <c:pt idx="2">
                  <c:v>0.99938144329896905</c:v>
                </c:pt>
                <c:pt idx="3">
                  <c:v>0.95720055161544537</c:v>
                </c:pt>
                <c:pt idx="4">
                  <c:v>0</c:v>
                </c:pt>
                <c:pt idx="5">
                  <c:v>0.25</c:v>
                </c:pt>
                <c:pt idx="6">
                  <c:v>0</c:v>
                </c:pt>
                <c:pt idx="7">
                  <c:v>0</c:v>
                </c:pt>
                <c:pt idx="8">
                  <c:v>0.20833333333333334</c:v>
                </c:pt>
                <c:pt idx="9">
                  <c:v>0.9996569468267581</c:v>
                </c:pt>
                <c:pt idx="10">
                  <c:v>0.79140100671140934</c:v>
                </c:pt>
                <c:pt idx="11">
                  <c:v>0</c:v>
                </c:pt>
                <c:pt idx="12">
                  <c:v>0</c:v>
                </c:pt>
                <c:pt idx="13">
                  <c:v>0.87403238546603479</c:v>
                </c:pt>
                <c:pt idx="14">
                  <c:v>0.99981386691484408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'06'!$D$6:$D$20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0.47194770434853694</c:v>
                </c:pt>
                <c:pt idx="1">
                  <c:v>0.47194770434853694</c:v>
                </c:pt>
                <c:pt idx="2">
                  <c:v>0.47194770434853694</c:v>
                </c:pt>
                <c:pt idx="3">
                  <c:v>0.47194770434853694</c:v>
                </c:pt>
                <c:pt idx="4">
                  <c:v>0.47194770434853694</c:v>
                </c:pt>
                <c:pt idx="5">
                  <c:v>0.47194770434853694</c:v>
                </c:pt>
                <c:pt idx="6">
                  <c:v>0.47194770434853694</c:v>
                </c:pt>
                <c:pt idx="7">
                  <c:v>0.47194770434853694</c:v>
                </c:pt>
                <c:pt idx="8">
                  <c:v>0.47194770434853694</c:v>
                </c:pt>
                <c:pt idx="9">
                  <c:v>0.47194770434853694</c:v>
                </c:pt>
                <c:pt idx="10">
                  <c:v>0.47194770434853694</c:v>
                </c:pt>
                <c:pt idx="11">
                  <c:v>0.47194770434853694</c:v>
                </c:pt>
                <c:pt idx="12">
                  <c:v>0.47194770434853694</c:v>
                </c:pt>
                <c:pt idx="13">
                  <c:v>0.47194770434853694</c:v>
                </c:pt>
                <c:pt idx="14">
                  <c:v>0.47194770434853694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056448"/>
        <c:axId val="607269952"/>
      </c:lineChart>
      <c:catAx>
        <c:axId val="31005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07269952"/>
        <c:crosses val="autoZero"/>
        <c:auto val="1"/>
        <c:lblAlgn val="ctr"/>
        <c:lblOffset val="100"/>
        <c:noMultiLvlLbl val="0"/>
      </c:catAx>
      <c:valAx>
        <c:axId val="6072699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10056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1">
                  <c:v>11583</c:v>
                </c:pt>
                <c:pt idx="2">
                  <c:v>4847</c:v>
                </c:pt>
                <c:pt idx="3">
                  <c:v>4225</c:v>
                </c:pt>
                <c:pt idx="5">
                  <c:v>1140</c:v>
                </c:pt>
                <c:pt idx="6">
                  <c:v>1273</c:v>
                </c:pt>
                <c:pt idx="8">
                  <c:v>190</c:v>
                </c:pt>
                <c:pt idx="9">
                  <c:v>23312</c:v>
                </c:pt>
                <c:pt idx="10">
                  <c:v>2979</c:v>
                </c:pt>
                <c:pt idx="13">
                  <c:v>6323</c:v>
                </c:pt>
                <c:pt idx="14">
                  <c:v>42972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2370</c:v>
                </c:pt>
                <c:pt idx="1">
                  <c:v>11590</c:v>
                </c:pt>
                <c:pt idx="2">
                  <c:v>4850</c:v>
                </c:pt>
                <c:pt idx="3">
                  <c:v>4230</c:v>
                </c:pt>
                <c:pt idx="4">
                  <c:v>4050</c:v>
                </c:pt>
                <c:pt idx="5">
                  <c:v>1140</c:v>
                </c:pt>
                <c:pt idx="6">
                  <c:v>1280</c:v>
                </c:pt>
                <c:pt idx="7">
                  <c:v>192</c:v>
                </c:pt>
                <c:pt idx="8">
                  <c:v>190</c:v>
                </c:pt>
                <c:pt idx="9">
                  <c:v>23320</c:v>
                </c:pt>
                <c:pt idx="10">
                  <c:v>2980</c:v>
                </c:pt>
                <c:pt idx="11">
                  <c:v>220</c:v>
                </c:pt>
                <c:pt idx="12">
                  <c:v>1320</c:v>
                </c:pt>
                <c:pt idx="13">
                  <c:v>6330</c:v>
                </c:pt>
                <c:pt idx="14">
                  <c:v>42980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056960"/>
        <c:axId val="607272256"/>
      </c:lineChart>
      <c:catAx>
        <c:axId val="31005696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07272256"/>
        <c:crosses val="autoZero"/>
        <c:auto val="1"/>
        <c:lblAlgn val="ctr"/>
        <c:lblOffset val="100"/>
        <c:noMultiLvlLbl val="0"/>
      </c:catAx>
      <c:valAx>
        <c:axId val="6072722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10056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"/>
                <c:pt idx="0">
                  <c:v>0% 100% 100% 96% 0% 25% 0% 0% 21% 100% 79% 0% 0% 87%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'06'!$D$6:$D$20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</c:v>
                </c:pt>
                <c:pt idx="1">
                  <c:v>0.99939603106125974</c:v>
                </c:pt>
                <c:pt idx="2">
                  <c:v>0.99938144329896905</c:v>
                </c:pt>
                <c:pt idx="3">
                  <c:v>0.95720055161544537</c:v>
                </c:pt>
                <c:pt idx="4">
                  <c:v>0</c:v>
                </c:pt>
                <c:pt idx="5">
                  <c:v>0.25</c:v>
                </c:pt>
                <c:pt idx="6">
                  <c:v>0</c:v>
                </c:pt>
                <c:pt idx="7">
                  <c:v>0</c:v>
                </c:pt>
                <c:pt idx="8">
                  <c:v>0.20833333333333334</c:v>
                </c:pt>
                <c:pt idx="9">
                  <c:v>0.9996569468267581</c:v>
                </c:pt>
                <c:pt idx="10">
                  <c:v>0.79140100671140934</c:v>
                </c:pt>
                <c:pt idx="11">
                  <c:v>0</c:v>
                </c:pt>
                <c:pt idx="12">
                  <c:v>0</c:v>
                </c:pt>
                <c:pt idx="13">
                  <c:v>0.87403238546603479</c:v>
                </c:pt>
                <c:pt idx="14">
                  <c:v>0.99981386691484408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'06'!$D$6:$D$20</c:f>
              <c:strCache>
                <c:ptCount val="14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F/ADAPTER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0.47194770434853694</c:v>
                </c:pt>
                <c:pt idx="1">
                  <c:v>0.47194770434853694</c:v>
                </c:pt>
                <c:pt idx="2">
                  <c:v>0.47194770434853694</c:v>
                </c:pt>
                <c:pt idx="3">
                  <c:v>0.47194770434853694</c:v>
                </c:pt>
                <c:pt idx="4">
                  <c:v>0.47194770434853694</c:v>
                </c:pt>
                <c:pt idx="5">
                  <c:v>0.47194770434853694</c:v>
                </c:pt>
                <c:pt idx="6">
                  <c:v>0.47194770434853694</c:v>
                </c:pt>
                <c:pt idx="7">
                  <c:v>0.47194770434853694</c:v>
                </c:pt>
                <c:pt idx="8">
                  <c:v>0.47194770434853694</c:v>
                </c:pt>
                <c:pt idx="9">
                  <c:v>0.47194770434853694</c:v>
                </c:pt>
                <c:pt idx="10">
                  <c:v>0.47194770434853694</c:v>
                </c:pt>
                <c:pt idx="11">
                  <c:v>0.47194770434853694</c:v>
                </c:pt>
                <c:pt idx="12">
                  <c:v>0.47194770434853694</c:v>
                </c:pt>
                <c:pt idx="13">
                  <c:v>0.47194770434853694</c:v>
                </c:pt>
                <c:pt idx="14">
                  <c:v>0.47194770434853694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057984"/>
        <c:axId val="607831168"/>
      </c:lineChart>
      <c:catAx>
        <c:axId val="310057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07831168"/>
        <c:crosses val="autoZero"/>
        <c:auto val="1"/>
        <c:lblAlgn val="ctr"/>
        <c:lblOffset val="100"/>
        <c:noMultiLvlLbl val="0"/>
      </c:catAx>
      <c:valAx>
        <c:axId val="6078311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10057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643328"/>
        <c:axId val="60783347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643328"/>
        <c:axId val="607833472"/>
      </c:lineChart>
      <c:catAx>
        <c:axId val="292643328"/>
        <c:scaling>
          <c:orientation val="minMax"/>
        </c:scaling>
        <c:delete val="0"/>
        <c:axPos val="b"/>
        <c:majorTickMark val="out"/>
        <c:minorTickMark val="none"/>
        <c:tickLblPos val="nextTo"/>
        <c:crossAx val="607833472"/>
        <c:crosses val="autoZero"/>
        <c:auto val="1"/>
        <c:lblAlgn val="ctr"/>
        <c:lblOffset val="100"/>
        <c:noMultiLvlLbl val="0"/>
      </c:catAx>
      <c:valAx>
        <c:axId val="60783347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9264332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5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 1.2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F/ADAPTER</c:v>
                </c:pt>
                <c:pt idx="12">
                  <c:v>SPACER A,B,C</c:v>
                </c:pt>
                <c:pt idx="13">
                  <c:v>COVER</c:v>
                </c:pt>
                <c:pt idx="14">
                  <c:v>SPACER A,B,C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1">
                  <c:v>14484</c:v>
                </c:pt>
                <c:pt idx="2">
                  <c:v>5369</c:v>
                </c:pt>
                <c:pt idx="3">
                  <c:v>5045</c:v>
                </c:pt>
                <c:pt idx="4">
                  <c:v>4731</c:v>
                </c:pt>
                <c:pt idx="6">
                  <c:v>2355</c:v>
                </c:pt>
                <c:pt idx="7">
                  <c:v>3056</c:v>
                </c:pt>
                <c:pt idx="8">
                  <c:v>206</c:v>
                </c:pt>
                <c:pt idx="10">
                  <c:v>4410</c:v>
                </c:pt>
                <c:pt idx="12">
                  <c:v>790</c:v>
                </c:pt>
                <c:pt idx="13">
                  <c:v>2050</c:v>
                </c:pt>
                <c:pt idx="14">
                  <c:v>4564</c:v>
                </c:pt>
                <c:pt idx="15">
                  <c:v>45096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5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 1.2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F/ADAPTER</c:v>
                </c:pt>
                <c:pt idx="12">
                  <c:v>SPACER A,B,C</c:v>
                </c:pt>
                <c:pt idx="13">
                  <c:v>COVER</c:v>
                </c:pt>
                <c:pt idx="14">
                  <c:v>SPACER A,B,C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2370</c:v>
                </c:pt>
                <c:pt idx="1">
                  <c:v>14490</c:v>
                </c:pt>
                <c:pt idx="2">
                  <c:v>5370</c:v>
                </c:pt>
                <c:pt idx="3">
                  <c:v>5050</c:v>
                </c:pt>
                <c:pt idx="4">
                  <c:v>4731</c:v>
                </c:pt>
                <c:pt idx="5">
                  <c:v>1140</c:v>
                </c:pt>
                <c:pt idx="6">
                  <c:v>2360</c:v>
                </c:pt>
                <c:pt idx="7">
                  <c:v>3060</c:v>
                </c:pt>
                <c:pt idx="8">
                  <c:v>206</c:v>
                </c:pt>
                <c:pt idx="9">
                  <c:v>23320</c:v>
                </c:pt>
                <c:pt idx="10">
                  <c:v>4410</c:v>
                </c:pt>
                <c:pt idx="11">
                  <c:v>220</c:v>
                </c:pt>
                <c:pt idx="12">
                  <c:v>790</c:v>
                </c:pt>
                <c:pt idx="13">
                  <c:v>2050</c:v>
                </c:pt>
                <c:pt idx="14">
                  <c:v>4570</c:v>
                </c:pt>
                <c:pt idx="15">
                  <c:v>45100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659008"/>
        <c:axId val="607836352"/>
      </c:lineChart>
      <c:catAx>
        <c:axId val="3116590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07836352"/>
        <c:crosses val="autoZero"/>
        <c:auto val="1"/>
        <c:lblAlgn val="ctr"/>
        <c:lblOffset val="100"/>
        <c:noMultiLvlLbl val="0"/>
      </c:catAx>
      <c:valAx>
        <c:axId val="6078363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11659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"/>
                <c:pt idx="0">
                  <c:v>0% 100% 100% 100% 71% 0% 54% 71% 21% 0% 92% 0% 21% 58% 79%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'07'!$D$6:$D$21</c:f>
              <c:strCache>
                <c:ptCount val="15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 1.2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F/ADAPTER</c:v>
                </c:pt>
                <c:pt idx="12">
                  <c:v>SPACER A,B,C</c:v>
                </c:pt>
                <c:pt idx="13">
                  <c:v>COVER</c:v>
                </c:pt>
                <c:pt idx="14">
                  <c:v>SPACER A,B,C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0</c:v>
                </c:pt>
                <c:pt idx="1">
                  <c:v>0.99958592132505175</c:v>
                </c:pt>
                <c:pt idx="2">
                  <c:v>0.99981378026070766</c:v>
                </c:pt>
                <c:pt idx="3">
                  <c:v>0.99900990099009901</c:v>
                </c:pt>
                <c:pt idx="4">
                  <c:v>0.70833333333333337</c:v>
                </c:pt>
                <c:pt idx="5">
                  <c:v>0</c:v>
                </c:pt>
                <c:pt idx="6">
                  <c:v>0.54051906779661019</c:v>
                </c:pt>
                <c:pt idx="7">
                  <c:v>0.70740740740740748</c:v>
                </c:pt>
                <c:pt idx="8">
                  <c:v>0.20833333333333334</c:v>
                </c:pt>
                <c:pt idx="9">
                  <c:v>0</c:v>
                </c:pt>
                <c:pt idx="10">
                  <c:v>0.91666666666666663</c:v>
                </c:pt>
                <c:pt idx="11">
                  <c:v>0</c:v>
                </c:pt>
                <c:pt idx="12">
                  <c:v>0.20833333333333334</c:v>
                </c:pt>
                <c:pt idx="13">
                  <c:v>0.58333333333333337</c:v>
                </c:pt>
                <c:pt idx="14">
                  <c:v>0.79062727935813271</c:v>
                </c:pt>
                <c:pt idx="15">
                  <c:v>0.9999113082039911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'07'!$D$6:$D$21</c:f>
              <c:strCache>
                <c:ptCount val="15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 1.2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F/ADAPTER</c:v>
                </c:pt>
                <c:pt idx="12">
                  <c:v>SPACER A,B,C</c:v>
                </c:pt>
                <c:pt idx="13">
                  <c:v>COVER</c:v>
                </c:pt>
                <c:pt idx="14">
                  <c:v>SPACER A,B,C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0.57745831102279999</c:v>
                </c:pt>
                <c:pt idx="1">
                  <c:v>0.57745831102279999</c:v>
                </c:pt>
                <c:pt idx="2">
                  <c:v>0.57745831102279999</c:v>
                </c:pt>
                <c:pt idx="3">
                  <c:v>0.57745831102279999</c:v>
                </c:pt>
                <c:pt idx="4">
                  <c:v>0.57745831102279999</c:v>
                </c:pt>
                <c:pt idx="5">
                  <c:v>0.57745831102279999</c:v>
                </c:pt>
                <c:pt idx="6">
                  <c:v>0.57745831102279999</c:v>
                </c:pt>
                <c:pt idx="7">
                  <c:v>0.57745831102279999</c:v>
                </c:pt>
                <c:pt idx="8">
                  <c:v>0.57745831102279999</c:v>
                </c:pt>
                <c:pt idx="9">
                  <c:v>0.57745831102279999</c:v>
                </c:pt>
                <c:pt idx="10">
                  <c:v>0.57745831102279999</c:v>
                </c:pt>
                <c:pt idx="11">
                  <c:v>0.57745831102279999</c:v>
                </c:pt>
                <c:pt idx="12">
                  <c:v>0.57745831102279999</c:v>
                </c:pt>
                <c:pt idx="13">
                  <c:v>0.57745831102279999</c:v>
                </c:pt>
                <c:pt idx="14">
                  <c:v>0.57745831102279999</c:v>
                </c:pt>
                <c:pt idx="15">
                  <c:v>0.57745831102279999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886336"/>
        <c:axId val="607076352"/>
      </c:lineChart>
      <c:catAx>
        <c:axId val="31188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07076352"/>
        <c:crosses val="autoZero"/>
        <c:auto val="1"/>
        <c:lblAlgn val="ctr"/>
        <c:lblOffset val="100"/>
        <c:noMultiLvlLbl val="0"/>
      </c:catAx>
      <c:valAx>
        <c:axId val="6070763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11886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5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 1.2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F/ADAPTER</c:v>
                </c:pt>
                <c:pt idx="12">
                  <c:v>SPACER A,B,C</c:v>
                </c:pt>
                <c:pt idx="13">
                  <c:v>COVER</c:v>
                </c:pt>
                <c:pt idx="14">
                  <c:v>SPACER A,B,C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1">
                  <c:v>14484</c:v>
                </c:pt>
                <c:pt idx="2">
                  <c:v>5369</c:v>
                </c:pt>
                <c:pt idx="3">
                  <c:v>5045</c:v>
                </c:pt>
                <c:pt idx="4">
                  <c:v>4731</c:v>
                </c:pt>
                <c:pt idx="6">
                  <c:v>2355</c:v>
                </c:pt>
                <c:pt idx="7">
                  <c:v>3056</c:v>
                </c:pt>
                <c:pt idx="8">
                  <c:v>206</c:v>
                </c:pt>
                <c:pt idx="10">
                  <c:v>4410</c:v>
                </c:pt>
                <c:pt idx="12">
                  <c:v>790</c:v>
                </c:pt>
                <c:pt idx="13">
                  <c:v>2050</c:v>
                </c:pt>
                <c:pt idx="14">
                  <c:v>4564</c:v>
                </c:pt>
                <c:pt idx="15">
                  <c:v>45096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5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 1.2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F/ADAPTER</c:v>
                </c:pt>
                <c:pt idx="12">
                  <c:v>SPACER A,B,C</c:v>
                </c:pt>
                <c:pt idx="13">
                  <c:v>COVER</c:v>
                </c:pt>
                <c:pt idx="14">
                  <c:v>SPACER A,B,C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2370</c:v>
                </c:pt>
                <c:pt idx="1">
                  <c:v>14490</c:v>
                </c:pt>
                <c:pt idx="2">
                  <c:v>5370</c:v>
                </c:pt>
                <c:pt idx="3">
                  <c:v>5050</c:v>
                </c:pt>
                <c:pt idx="4">
                  <c:v>4731</c:v>
                </c:pt>
                <c:pt idx="5">
                  <c:v>1140</c:v>
                </c:pt>
                <c:pt idx="6">
                  <c:v>2360</c:v>
                </c:pt>
                <c:pt idx="7">
                  <c:v>3060</c:v>
                </c:pt>
                <c:pt idx="8">
                  <c:v>206</c:v>
                </c:pt>
                <c:pt idx="9">
                  <c:v>23320</c:v>
                </c:pt>
                <c:pt idx="10">
                  <c:v>4410</c:v>
                </c:pt>
                <c:pt idx="11">
                  <c:v>220</c:v>
                </c:pt>
                <c:pt idx="12">
                  <c:v>790</c:v>
                </c:pt>
                <c:pt idx="13">
                  <c:v>2050</c:v>
                </c:pt>
                <c:pt idx="14">
                  <c:v>4570</c:v>
                </c:pt>
                <c:pt idx="15">
                  <c:v>45100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886848"/>
        <c:axId val="607078656"/>
      </c:lineChart>
      <c:catAx>
        <c:axId val="31188684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07078656"/>
        <c:crosses val="autoZero"/>
        <c:auto val="1"/>
        <c:lblAlgn val="ctr"/>
        <c:lblOffset val="100"/>
        <c:noMultiLvlLbl val="0"/>
      </c:catAx>
      <c:valAx>
        <c:axId val="6070786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11886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"/>
                <c:pt idx="0">
                  <c:v>0% 100% 100% 100% 71% 0% 54% 71% 21% 0% 92% 0% 21% 58% 79%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'07'!$D$6:$D$21</c:f>
              <c:strCache>
                <c:ptCount val="15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 1.2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F/ADAPTER</c:v>
                </c:pt>
                <c:pt idx="12">
                  <c:v>SPACER A,B,C</c:v>
                </c:pt>
                <c:pt idx="13">
                  <c:v>COVER</c:v>
                </c:pt>
                <c:pt idx="14">
                  <c:v>SPACER A,B,C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0</c:v>
                </c:pt>
                <c:pt idx="1">
                  <c:v>0.99958592132505175</c:v>
                </c:pt>
                <c:pt idx="2">
                  <c:v>0.99981378026070766</c:v>
                </c:pt>
                <c:pt idx="3">
                  <c:v>0.99900990099009901</c:v>
                </c:pt>
                <c:pt idx="4">
                  <c:v>0.70833333333333337</c:v>
                </c:pt>
                <c:pt idx="5">
                  <c:v>0</c:v>
                </c:pt>
                <c:pt idx="6">
                  <c:v>0.54051906779661019</c:v>
                </c:pt>
                <c:pt idx="7">
                  <c:v>0.70740740740740748</c:v>
                </c:pt>
                <c:pt idx="8">
                  <c:v>0.20833333333333334</c:v>
                </c:pt>
                <c:pt idx="9">
                  <c:v>0</c:v>
                </c:pt>
                <c:pt idx="10">
                  <c:v>0.91666666666666663</c:v>
                </c:pt>
                <c:pt idx="11">
                  <c:v>0</c:v>
                </c:pt>
                <c:pt idx="12">
                  <c:v>0.20833333333333334</c:v>
                </c:pt>
                <c:pt idx="13">
                  <c:v>0.58333333333333337</c:v>
                </c:pt>
                <c:pt idx="14">
                  <c:v>0.79062727935813271</c:v>
                </c:pt>
                <c:pt idx="15">
                  <c:v>0.9999113082039911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'07'!$D$6:$D$21</c:f>
              <c:strCache>
                <c:ptCount val="15"/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 1.2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F/ADAPTER</c:v>
                </c:pt>
                <c:pt idx="12">
                  <c:v>SPACER A,B,C</c:v>
                </c:pt>
                <c:pt idx="13">
                  <c:v>COVER</c:v>
                </c:pt>
                <c:pt idx="14">
                  <c:v>SPACER A,B,C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0.57745831102279999</c:v>
                </c:pt>
                <c:pt idx="1">
                  <c:v>0.57745831102279999</c:v>
                </c:pt>
                <c:pt idx="2">
                  <c:v>0.57745831102279999</c:v>
                </c:pt>
                <c:pt idx="3">
                  <c:v>0.57745831102279999</c:v>
                </c:pt>
                <c:pt idx="4">
                  <c:v>0.57745831102279999</c:v>
                </c:pt>
                <c:pt idx="5">
                  <c:v>0.57745831102279999</c:v>
                </c:pt>
                <c:pt idx="6">
                  <c:v>0.57745831102279999</c:v>
                </c:pt>
                <c:pt idx="7">
                  <c:v>0.57745831102279999</c:v>
                </c:pt>
                <c:pt idx="8">
                  <c:v>0.57745831102279999</c:v>
                </c:pt>
                <c:pt idx="9">
                  <c:v>0.57745831102279999</c:v>
                </c:pt>
                <c:pt idx="10">
                  <c:v>0.57745831102279999</c:v>
                </c:pt>
                <c:pt idx="11">
                  <c:v>0.57745831102279999</c:v>
                </c:pt>
                <c:pt idx="12">
                  <c:v>0.57745831102279999</c:v>
                </c:pt>
                <c:pt idx="13">
                  <c:v>0.57745831102279999</c:v>
                </c:pt>
                <c:pt idx="14">
                  <c:v>0.57745831102279999</c:v>
                </c:pt>
                <c:pt idx="15">
                  <c:v>0.57745831102279999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887872"/>
        <c:axId val="607080384"/>
      </c:lineChart>
      <c:catAx>
        <c:axId val="311887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07080384"/>
        <c:crosses val="autoZero"/>
        <c:auto val="1"/>
        <c:lblAlgn val="ctr"/>
        <c:lblOffset val="100"/>
        <c:noMultiLvlLbl val="0"/>
      </c:catAx>
      <c:valAx>
        <c:axId val="6070803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11887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888384"/>
        <c:axId val="60708268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888384"/>
        <c:axId val="607082688"/>
      </c:lineChart>
      <c:catAx>
        <c:axId val="311888384"/>
        <c:scaling>
          <c:orientation val="minMax"/>
        </c:scaling>
        <c:delete val="0"/>
        <c:axPos val="b"/>
        <c:majorTickMark val="out"/>
        <c:minorTickMark val="none"/>
        <c:tickLblPos val="nextTo"/>
        <c:crossAx val="607082688"/>
        <c:crosses val="autoZero"/>
        <c:auto val="1"/>
        <c:lblAlgn val="ctr"/>
        <c:lblOffset val="100"/>
        <c:noMultiLvlLbl val="0"/>
      </c:catAx>
      <c:valAx>
        <c:axId val="60708268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88838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 1.2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0">
                  <c:v>4098</c:v>
                </c:pt>
                <c:pt idx="1">
                  <c:v>15558</c:v>
                </c:pt>
                <c:pt idx="2">
                  <c:v>5206</c:v>
                </c:pt>
                <c:pt idx="3">
                  <c:v>3580</c:v>
                </c:pt>
                <c:pt idx="6">
                  <c:v>2605</c:v>
                </c:pt>
                <c:pt idx="7">
                  <c:v>5360</c:v>
                </c:pt>
                <c:pt idx="10">
                  <c:v>4132</c:v>
                </c:pt>
                <c:pt idx="11">
                  <c:v>1140</c:v>
                </c:pt>
                <c:pt idx="12">
                  <c:v>1856</c:v>
                </c:pt>
                <c:pt idx="13">
                  <c:v>5384</c:v>
                </c:pt>
                <c:pt idx="14">
                  <c:v>45728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 1.2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4100</c:v>
                </c:pt>
                <c:pt idx="1">
                  <c:v>15560</c:v>
                </c:pt>
                <c:pt idx="2">
                  <c:v>5210</c:v>
                </c:pt>
                <c:pt idx="3">
                  <c:v>3580</c:v>
                </c:pt>
                <c:pt idx="4">
                  <c:v>4731</c:v>
                </c:pt>
                <c:pt idx="5">
                  <c:v>1140</c:v>
                </c:pt>
                <c:pt idx="6">
                  <c:v>2610</c:v>
                </c:pt>
                <c:pt idx="7">
                  <c:v>5360</c:v>
                </c:pt>
                <c:pt idx="8">
                  <c:v>206</c:v>
                </c:pt>
                <c:pt idx="9">
                  <c:v>23320</c:v>
                </c:pt>
                <c:pt idx="10">
                  <c:v>4140</c:v>
                </c:pt>
                <c:pt idx="11">
                  <c:v>1140</c:v>
                </c:pt>
                <c:pt idx="12">
                  <c:v>1860</c:v>
                </c:pt>
                <c:pt idx="13">
                  <c:v>5390</c:v>
                </c:pt>
                <c:pt idx="14">
                  <c:v>45730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737280"/>
        <c:axId val="608453760"/>
      </c:lineChart>
      <c:catAx>
        <c:axId val="3127372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08453760"/>
        <c:crosses val="autoZero"/>
        <c:auto val="1"/>
        <c:lblAlgn val="ctr"/>
        <c:lblOffset val="100"/>
        <c:noMultiLvlLbl val="0"/>
      </c:catAx>
      <c:valAx>
        <c:axId val="6084537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12737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"/>
                <c:pt idx="0">
                  <c:v>96% 100% 100% 79% 0% 0% 71% 100% 0% 0% 83% 25% 50% 83%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'08'!$D$6:$D$20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 1.2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0.9578658536585366</c:v>
                </c:pt>
                <c:pt idx="1">
                  <c:v>0.99987146529562987</c:v>
                </c:pt>
                <c:pt idx="2">
                  <c:v>0.99923224568138191</c:v>
                </c:pt>
                <c:pt idx="3">
                  <c:v>0.79166666666666663</c:v>
                </c:pt>
                <c:pt idx="4">
                  <c:v>0</c:v>
                </c:pt>
                <c:pt idx="5">
                  <c:v>0</c:v>
                </c:pt>
                <c:pt idx="6">
                  <c:v>0.70697637292464877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0.83172302737520132</c:v>
                </c:pt>
                <c:pt idx="11">
                  <c:v>0.25</c:v>
                </c:pt>
                <c:pt idx="12">
                  <c:v>0.49892473118279568</c:v>
                </c:pt>
                <c:pt idx="13">
                  <c:v>0.83240568954854677</c:v>
                </c:pt>
                <c:pt idx="14">
                  <c:v>0.99995626503389456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'08'!$D$6:$D$20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 1.2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0.59124148782448682</c:v>
                </c:pt>
                <c:pt idx="1">
                  <c:v>0.59124148782448682</c:v>
                </c:pt>
                <c:pt idx="2">
                  <c:v>0.59124148782448682</c:v>
                </c:pt>
                <c:pt idx="3">
                  <c:v>0.59124148782448682</c:v>
                </c:pt>
                <c:pt idx="4">
                  <c:v>0.59124148782448682</c:v>
                </c:pt>
                <c:pt idx="5">
                  <c:v>0.59124148782448682</c:v>
                </c:pt>
                <c:pt idx="6">
                  <c:v>0.59124148782448682</c:v>
                </c:pt>
                <c:pt idx="7">
                  <c:v>0.59124148782448682</c:v>
                </c:pt>
                <c:pt idx="8">
                  <c:v>0.59124148782448682</c:v>
                </c:pt>
                <c:pt idx="9">
                  <c:v>0.59124148782448682</c:v>
                </c:pt>
                <c:pt idx="10">
                  <c:v>0.59124148782448682</c:v>
                </c:pt>
                <c:pt idx="11">
                  <c:v>0.59124148782448682</c:v>
                </c:pt>
                <c:pt idx="12">
                  <c:v>0.59124148782448682</c:v>
                </c:pt>
                <c:pt idx="13">
                  <c:v>0.59124148782448682</c:v>
                </c:pt>
                <c:pt idx="14">
                  <c:v>0.59124148782448682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832512"/>
        <c:axId val="608455488"/>
      </c:lineChart>
      <c:catAx>
        <c:axId val="31283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08455488"/>
        <c:crosses val="autoZero"/>
        <c:auto val="1"/>
        <c:lblAlgn val="ctr"/>
        <c:lblOffset val="100"/>
        <c:noMultiLvlLbl val="0"/>
      </c:catAx>
      <c:valAx>
        <c:axId val="6084554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12832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 1.2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0">
                  <c:v>4098</c:v>
                </c:pt>
                <c:pt idx="1">
                  <c:v>15558</c:v>
                </c:pt>
                <c:pt idx="2">
                  <c:v>5206</c:v>
                </c:pt>
                <c:pt idx="3">
                  <c:v>3580</c:v>
                </c:pt>
                <c:pt idx="6">
                  <c:v>2605</c:v>
                </c:pt>
                <c:pt idx="7">
                  <c:v>5360</c:v>
                </c:pt>
                <c:pt idx="10">
                  <c:v>4132</c:v>
                </c:pt>
                <c:pt idx="11">
                  <c:v>1140</c:v>
                </c:pt>
                <c:pt idx="12">
                  <c:v>1856</c:v>
                </c:pt>
                <c:pt idx="13">
                  <c:v>5384</c:v>
                </c:pt>
                <c:pt idx="14">
                  <c:v>45728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 1.2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4100</c:v>
                </c:pt>
                <c:pt idx="1">
                  <c:v>15560</c:v>
                </c:pt>
                <c:pt idx="2">
                  <c:v>5210</c:v>
                </c:pt>
                <c:pt idx="3">
                  <c:v>3580</c:v>
                </c:pt>
                <c:pt idx="4">
                  <c:v>4731</c:v>
                </c:pt>
                <c:pt idx="5">
                  <c:v>1140</c:v>
                </c:pt>
                <c:pt idx="6">
                  <c:v>2610</c:v>
                </c:pt>
                <c:pt idx="7">
                  <c:v>5360</c:v>
                </c:pt>
                <c:pt idx="8">
                  <c:v>206</c:v>
                </c:pt>
                <c:pt idx="9">
                  <c:v>23320</c:v>
                </c:pt>
                <c:pt idx="10">
                  <c:v>4140</c:v>
                </c:pt>
                <c:pt idx="11">
                  <c:v>1140</c:v>
                </c:pt>
                <c:pt idx="12">
                  <c:v>1860</c:v>
                </c:pt>
                <c:pt idx="13">
                  <c:v>5390</c:v>
                </c:pt>
                <c:pt idx="14">
                  <c:v>45730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833536"/>
        <c:axId val="608457792"/>
      </c:lineChart>
      <c:catAx>
        <c:axId val="3128335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08457792"/>
        <c:crosses val="autoZero"/>
        <c:auto val="1"/>
        <c:lblAlgn val="ctr"/>
        <c:lblOffset val="100"/>
        <c:noMultiLvlLbl val="0"/>
      </c:catAx>
      <c:valAx>
        <c:axId val="60845779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12833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"/>
                <c:pt idx="0">
                  <c:v>96% 100% 100% 79% 0% 0% 71% 100% 0% 0% 83% 25% 50% 83%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'08'!$D$6:$D$20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 1.2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0.9578658536585366</c:v>
                </c:pt>
                <c:pt idx="1">
                  <c:v>0.99987146529562987</c:v>
                </c:pt>
                <c:pt idx="2">
                  <c:v>0.99923224568138191</c:v>
                </c:pt>
                <c:pt idx="3">
                  <c:v>0.79166666666666663</c:v>
                </c:pt>
                <c:pt idx="4">
                  <c:v>0</c:v>
                </c:pt>
                <c:pt idx="5">
                  <c:v>0</c:v>
                </c:pt>
                <c:pt idx="6">
                  <c:v>0.70697637292464877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0.83172302737520132</c:v>
                </c:pt>
                <c:pt idx="11">
                  <c:v>0.25</c:v>
                </c:pt>
                <c:pt idx="12">
                  <c:v>0.49892473118279568</c:v>
                </c:pt>
                <c:pt idx="13">
                  <c:v>0.83240568954854677</c:v>
                </c:pt>
                <c:pt idx="14">
                  <c:v>0.99995626503389456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'08'!$D$6:$D$20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 1.2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0.59124148782448682</c:v>
                </c:pt>
                <c:pt idx="1">
                  <c:v>0.59124148782448682</c:v>
                </c:pt>
                <c:pt idx="2">
                  <c:v>0.59124148782448682</c:v>
                </c:pt>
                <c:pt idx="3">
                  <c:v>0.59124148782448682</c:v>
                </c:pt>
                <c:pt idx="4">
                  <c:v>0.59124148782448682</c:v>
                </c:pt>
                <c:pt idx="5">
                  <c:v>0.59124148782448682</c:v>
                </c:pt>
                <c:pt idx="6">
                  <c:v>0.59124148782448682</c:v>
                </c:pt>
                <c:pt idx="7">
                  <c:v>0.59124148782448682</c:v>
                </c:pt>
                <c:pt idx="8">
                  <c:v>0.59124148782448682</c:v>
                </c:pt>
                <c:pt idx="9">
                  <c:v>0.59124148782448682</c:v>
                </c:pt>
                <c:pt idx="10">
                  <c:v>0.59124148782448682</c:v>
                </c:pt>
                <c:pt idx="11">
                  <c:v>0.59124148782448682</c:v>
                </c:pt>
                <c:pt idx="12">
                  <c:v>0.59124148782448682</c:v>
                </c:pt>
                <c:pt idx="13">
                  <c:v>0.59124148782448682</c:v>
                </c:pt>
                <c:pt idx="14">
                  <c:v>0.59124148782448682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834048"/>
        <c:axId val="608459520"/>
      </c:lineChart>
      <c:catAx>
        <c:axId val="312834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08459520"/>
        <c:crosses val="autoZero"/>
        <c:auto val="1"/>
        <c:lblAlgn val="ctr"/>
        <c:lblOffset val="100"/>
        <c:noMultiLvlLbl val="0"/>
      </c:catAx>
      <c:valAx>
        <c:axId val="6084595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12834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834560"/>
        <c:axId val="60860121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834560"/>
        <c:axId val="608601216"/>
      </c:lineChart>
      <c:catAx>
        <c:axId val="312834560"/>
        <c:scaling>
          <c:orientation val="minMax"/>
        </c:scaling>
        <c:delete val="0"/>
        <c:axPos val="b"/>
        <c:majorTickMark val="out"/>
        <c:minorTickMark val="none"/>
        <c:tickLblPos val="nextTo"/>
        <c:crossAx val="608601216"/>
        <c:crosses val="autoZero"/>
        <c:auto val="1"/>
        <c:lblAlgn val="ctr"/>
        <c:lblOffset val="100"/>
        <c:noMultiLvlLbl val="0"/>
      </c:catAx>
      <c:valAx>
        <c:axId val="6086012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283456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'09'!$D$6:$D$22</c:f>
              <c:strCache>
                <c:ptCount val="16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SEPARATOR 1.2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LEAD GUIDE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SPACER A,B,C</c:v>
                </c:pt>
              </c:strCache>
            </c:strRef>
          </c:cat>
          <c:val>
            <c:numRef>
              <c:f>'09'!$L$6:$L$22</c:f>
              <c:numCache>
                <c:formatCode>_(* #,##0_);_(* \(#,##0\);_(* "-"_);_(@_)</c:formatCode>
                <c:ptCount val="17"/>
                <c:pt idx="0">
                  <c:v>4720</c:v>
                </c:pt>
                <c:pt idx="2">
                  <c:v>2437</c:v>
                </c:pt>
                <c:pt idx="3">
                  <c:v>627</c:v>
                </c:pt>
                <c:pt idx="4">
                  <c:v>4011</c:v>
                </c:pt>
                <c:pt idx="5">
                  <c:v>3679</c:v>
                </c:pt>
                <c:pt idx="8">
                  <c:v>3290</c:v>
                </c:pt>
                <c:pt idx="13">
                  <c:v>831</c:v>
                </c:pt>
                <c:pt idx="14">
                  <c:v>4116</c:v>
                </c:pt>
                <c:pt idx="15">
                  <c:v>7161</c:v>
                </c:pt>
                <c:pt idx="16">
                  <c:v>43064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'09'!$D$6:$D$22</c:f>
              <c:strCache>
                <c:ptCount val="16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SEPARATOR 1.2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LEAD GUIDE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SPACER A,B,C</c:v>
                </c:pt>
              </c:strCache>
            </c:strRef>
          </c:cat>
          <c:val>
            <c:numRef>
              <c:f>'09'!$J$6:$J$22</c:f>
              <c:numCache>
                <c:formatCode>_(* #,##0_);_(* \(#,##0\);_(* "-"_);_(@_)</c:formatCode>
                <c:ptCount val="17"/>
                <c:pt idx="0">
                  <c:v>4720</c:v>
                </c:pt>
                <c:pt idx="1">
                  <c:v>15560</c:v>
                </c:pt>
                <c:pt idx="2">
                  <c:v>2440</c:v>
                </c:pt>
                <c:pt idx="3">
                  <c:v>627</c:v>
                </c:pt>
                <c:pt idx="4">
                  <c:v>4020</c:v>
                </c:pt>
                <c:pt idx="5">
                  <c:v>3680</c:v>
                </c:pt>
                <c:pt idx="6">
                  <c:v>1140</c:v>
                </c:pt>
                <c:pt idx="7">
                  <c:v>2610</c:v>
                </c:pt>
                <c:pt idx="8">
                  <c:v>3290</c:v>
                </c:pt>
                <c:pt idx="9">
                  <c:v>206</c:v>
                </c:pt>
                <c:pt idx="10">
                  <c:v>23320</c:v>
                </c:pt>
                <c:pt idx="11">
                  <c:v>4140</c:v>
                </c:pt>
                <c:pt idx="12">
                  <c:v>1140</c:v>
                </c:pt>
                <c:pt idx="13">
                  <c:v>831</c:v>
                </c:pt>
                <c:pt idx="14">
                  <c:v>4120</c:v>
                </c:pt>
                <c:pt idx="15">
                  <c:v>7161</c:v>
                </c:pt>
                <c:pt idx="16">
                  <c:v>43070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819136"/>
        <c:axId val="608604096"/>
      </c:lineChart>
      <c:catAx>
        <c:axId val="3138191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08604096"/>
        <c:crosses val="autoZero"/>
        <c:auto val="1"/>
        <c:lblAlgn val="ctr"/>
        <c:lblOffset val="100"/>
        <c:noMultiLvlLbl val="0"/>
      </c:catAx>
      <c:valAx>
        <c:axId val="60860409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13819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'09'!$AD$6:$AD$22</c:f>
              <c:strCache>
                <c:ptCount val="1"/>
                <c:pt idx="0">
                  <c:v>100% 0% 58% 17% 79% 67% 0% 0% 71% 0% 0% 0% 0% 21% 75%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'09'!$D$6:$D$22</c:f>
              <c:strCache>
                <c:ptCount val="16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SEPARATOR 1.2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LEAD GUIDE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SPACER A,B,C</c:v>
                </c:pt>
              </c:strCache>
            </c:strRef>
          </c:cat>
          <c:val>
            <c:numRef>
              <c:f>'09'!$AD$6:$AD$22</c:f>
              <c:numCache>
                <c:formatCode>0%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0.58261612021857923</c:v>
                </c:pt>
                <c:pt idx="3">
                  <c:v>0.16666666666666666</c:v>
                </c:pt>
                <c:pt idx="4">
                  <c:v>0.78989427860696515</c:v>
                </c:pt>
                <c:pt idx="5">
                  <c:v>0.66648550724637678</c:v>
                </c:pt>
                <c:pt idx="6">
                  <c:v>0</c:v>
                </c:pt>
                <c:pt idx="7">
                  <c:v>0</c:v>
                </c:pt>
                <c:pt idx="8">
                  <c:v>0.70833333333333337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0.20833333333333334</c:v>
                </c:pt>
                <c:pt idx="14">
                  <c:v>0.74927184466019414</c:v>
                </c:pt>
                <c:pt idx="15">
                  <c:v>1</c:v>
                </c:pt>
                <c:pt idx="16">
                  <c:v>0.99986069189691196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'09'!$D$6:$D$22</c:f>
              <c:strCache>
                <c:ptCount val="16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SEPARATOR 1.2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LEAD GUIDE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SPACER A,B,C</c:v>
                </c:pt>
              </c:strCache>
            </c:strRef>
          </c:cat>
          <c:val>
            <c:numRef>
              <c:f>'09'!$AE$6:$AE$22</c:f>
              <c:numCache>
                <c:formatCode>0%</c:formatCode>
                <c:ptCount val="17"/>
                <c:pt idx="0">
                  <c:v>0.45809745173082406</c:v>
                </c:pt>
                <c:pt idx="1">
                  <c:v>0.45809745173082406</c:v>
                </c:pt>
                <c:pt idx="2">
                  <c:v>0.45809745173082406</c:v>
                </c:pt>
                <c:pt idx="3">
                  <c:v>0.45809745173082406</c:v>
                </c:pt>
                <c:pt idx="4">
                  <c:v>0.45809745173082406</c:v>
                </c:pt>
                <c:pt idx="5">
                  <c:v>0.45809745173082406</c:v>
                </c:pt>
                <c:pt idx="6">
                  <c:v>0.45809745173082406</c:v>
                </c:pt>
                <c:pt idx="7">
                  <c:v>0.45809745173082406</c:v>
                </c:pt>
                <c:pt idx="8">
                  <c:v>0.45809745173082406</c:v>
                </c:pt>
                <c:pt idx="9">
                  <c:v>0.45809745173082406</c:v>
                </c:pt>
                <c:pt idx="10">
                  <c:v>0.45809745173082406</c:v>
                </c:pt>
                <c:pt idx="11">
                  <c:v>0.45809745173082406</c:v>
                </c:pt>
                <c:pt idx="12">
                  <c:v>0.45809745173082406</c:v>
                </c:pt>
                <c:pt idx="13">
                  <c:v>0.45809745173082406</c:v>
                </c:pt>
                <c:pt idx="14">
                  <c:v>0.45809745173082406</c:v>
                </c:pt>
                <c:pt idx="15">
                  <c:v>0.45809745173082406</c:v>
                </c:pt>
                <c:pt idx="16">
                  <c:v>0.45809745173082406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820672"/>
        <c:axId val="608606976"/>
      </c:lineChart>
      <c:catAx>
        <c:axId val="31382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08606976"/>
        <c:crosses val="autoZero"/>
        <c:auto val="1"/>
        <c:lblAlgn val="ctr"/>
        <c:lblOffset val="100"/>
        <c:noMultiLvlLbl val="0"/>
      </c:catAx>
      <c:valAx>
        <c:axId val="6086069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13820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'09'!$D$6:$D$22</c:f>
              <c:strCache>
                <c:ptCount val="16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SEPARATOR 1.2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LEAD GUIDE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SPACER A,B,C</c:v>
                </c:pt>
              </c:strCache>
            </c:strRef>
          </c:cat>
          <c:val>
            <c:numRef>
              <c:f>'09'!$L$6:$L$22</c:f>
              <c:numCache>
                <c:formatCode>_(* #,##0_);_(* \(#,##0\);_(* "-"_);_(@_)</c:formatCode>
                <c:ptCount val="17"/>
                <c:pt idx="0">
                  <c:v>4720</c:v>
                </c:pt>
                <c:pt idx="2">
                  <c:v>2437</c:v>
                </c:pt>
                <c:pt idx="3">
                  <c:v>627</c:v>
                </c:pt>
                <c:pt idx="4">
                  <c:v>4011</c:v>
                </c:pt>
                <c:pt idx="5">
                  <c:v>3679</c:v>
                </c:pt>
                <c:pt idx="8">
                  <c:v>3290</c:v>
                </c:pt>
                <c:pt idx="13">
                  <c:v>831</c:v>
                </c:pt>
                <c:pt idx="14">
                  <c:v>4116</c:v>
                </c:pt>
                <c:pt idx="15">
                  <c:v>7161</c:v>
                </c:pt>
                <c:pt idx="16">
                  <c:v>43064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'09'!$D$6:$D$22</c:f>
              <c:strCache>
                <c:ptCount val="16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SEPARATOR 1.2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LEAD GUIDE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SPACER A,B,C</c:v>
                </c:pt>
              </c:strCache>
            </c:strRef>
          </c:cat>
          <c:val>
            <c:numRef>
              <c:f>'09'!$J$6:$J$22</c:f>
              <c:numCache>
                <c:formatCode>_(* #,##0_);_(* \(#,##0\);_(* "-"_);_(@_)</c:formatCode>
                <c:ptCount val="17"/>
                <c:pt idx="0">
                  <c:v>4720</c:v>
                </c:pt>
                <c:pt idx="1">
                  <c:v>15560</c:v>
                </c:pt>
                <c:pt idx="2">
                  <c:v>2440</c:v>
                </c:pt>
                <c:pt idx="3">
                  <c:v>627</c:v>
                </c:pt>
                <c:pt idx="4">
                  <c:v>4020</c:v>
                </c:pt>
                <c:pt idx="5">
                  <c:v>3680</c:v>
                </c:pt>
                <c:pt idx="6">
                  <c:v>1140</c:v>
                </c:pt>
                <c:pt idx="7">
                  <c:v>2610</c:v>
                </c:pt>
                <c:pt idx="8">
                  <c:v>3290</c:v>
                </c:pt>
                <c:pt idx="9">
                  <c:v>206</c:v>
                </c:pt>
                <c:pt idx="10">
                  <c:v>23320</c:v>
                </c:pt>
                <c:pt idx="11">
                  <c:v>4140</c:v>
                </c:pt>
                <c:pt idx="12">
                  <c:v>1140</c:v>
                </c:pt>
                <c:pt idx="13">
                  <c:v>831</c:v>
                </c:pt>
                <c:pt idx="14">
                  <c:v>4120</c:v>
                </c:pt>
                <c:pt idx="15">
                  <c:v>7161</c:v>
                </c:pt>
                <c:pt idx="16">
                  <c:v>43070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821184"/>
        <c:axId val="609428608"/>
      </c:lineChart>
      <c:catAx>
        <c:axId val="31382118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09428608"/>
        <c:crosses val="autoZero"/>
        <c:auto val="1"/>
        <c:lblAlgn val="ctr"/>
        <c:lblOffset val="100"/>
        <c:noMultiLvlLbl val="0"/>
      </c:catAx>
      <c:valAx>
        <c:axId val="6094286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13821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'09'!$AD$6:$AD$22</c:f>
              <c:strCache>
                <c:ptCount val="1"/>
                <c:pt idx="0">
                  <c:v>100% 0% 58% 17% 79% 67% 0% 0% 71% 0% 0% 0% 0% 21% 75%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'09'!$D$6:$D$22</c:f>
              <c:strCache>
                <c:ptCount val="16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SEPARATOR 1.2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LEAD GUIDE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SPACER A,B,C</c:v>
                </c:pt>
              </c:strCache>
            </c:strRef>
          </c:cat>
          <c:val>
            <c:numRef>
              <c:f>'09'!$AD$6:$AD$22</c:f>
              <c:numCache>
                <c:formatCode>0%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0.58261612021857923</c:v>
                </c:pt>
                <c:pt idx="3">
                  <c:v>0.16666666666666666</c:v>
                </c:pt>
                <c:pt idx="4">
                  <c:v>0.78989427860696515</c:v>
                </c:pt>
                <c:pt idx="5">
                  <c:v>0.66648550724637678</c:v>
                </c:pt>
                <c:pt idx="6">
                  <c:v>0</c:v>
                </c:pt>
                <c:pt idx="7">
                  <c:v>0</c:v>
                </c:pt>
                <c:pt idx="8">
                  <c:v>0.70833333333333337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0.20833333333333334</c:v>
                </c:pt>
                <c:pt idx="14">
                  <c:v>0.74927184466019414</c:v>
                </c:pt>
                <c:pt idx="15">
                  <c:v>1</c:v>
                </c:pt>
                <c:pt idx="16">
                  <c:v>0.99986069189691196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'09'!$D$6:$D$22</c:f>
              <c:strCache>
                <c:ptCount val="16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SLIDER</c:v>
                </c:pt>
                <c:pt idx="5">
                  <c:v>SEPARATOR 1.2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LEAD GUIDE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SPACER A,B,C</c:v>
                </c:pt>
              </c:strCache>
            </c:strRef>
          </c:cat>
          <c:val>
            <c:numRef>
              <c:f>'09'!$AE$6:$AE$22</c:f>
              <c:numCache>
                <c:formatCode>0%</c:formatCode>
                <c:ptCount val="17"/>
                <c:pt idx="0">
                  <c:v>0.45809745173082406</c:v>
                </c:pt>
                <c:pt idx="1">
                  <c:v>0.45809745173082406</c:v>
                </c:pt>
                <c:pt idx="2">
                  <c:v>0.45809745173082406</c:v>
                </c:pt>
                <c:pt idx="3">
                  <c:v>0.45809745173082406</c:v>
                </c:pt>
                <c:pt idx="4">
                  <c:v>0.45809745173082406</c:v>
                </c:pt>
                <c:pt idx="5">
                  <c:v>0.45809745173082406</c:v>
                </c:pt>
                <c:pt idx="6">
                  <c:v>0.45809745173082406</c:v>
                </c:pt>
                <c:pt idx="7">
                  <c:v>0.45809745173082406</c:v>
                </c:pt>
                <c:pt idx="8">
                  <c:v>0.45809745173082406</c:v>
                </c:pt>
                <c:pt idx="9">
                  <c:v>0.45809745173082406</c:v>
                </c:pt>
                <c:pt idx="10">
                  <c:v>0.45809745173082406</c:v>
                </c:pt>
                <c:pt idx="11">
                  <c:v>0.45809745173082406</c:v>
                </c:pt>
                <c:pt idx="12">
                  <c:v>0.45809745173082406</c:v>
                </c:pt>
                <c:pt idx="13">
                  <c:v>0.45809745173082406</c:v>
                </c:pt>
                <c:pt idx="14">
                  <c:v>0.45809745173082406</c:v>
                </c:pt>
                <c:pt idx="15">
                  <c:v>0.45809745173082406</c:v>
                </c:pt>
                <c:pt idx="16">
                  <c:v>0.45809745173082406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822720"/>
        <c:axId val="609430336"/>
      </c:lineChart>
      <c:catAx>
        <c:axId val="31382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09430336"/>
        <c:crosses val="autoZero"/>
        <c:auto val="1"/>
        <c:lblAlgn val="ctr"/>
        <c:lblOffset val="100"/>
        <c:noMultiLvlLbl val="0"/>
      </c:catAx>
      <c:valAx>
        <c:axId val="6094303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1382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2002944"/>
        <c:axId val="60943264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002944"/>
        <c:axId val="609432640"/>
      </c:lineChart>
      <c:catAx>
        <c:axId val="322002944"/>
        <c:scaling>
          <c:orientation val="minMax"/>
        </c:scaling>
        <c:delete val="0"/>
        <c:axPos val="b"/>
        <c:majorTickMark val="out"/>
        <c:minorTickMark val="none"/>
        <c:tickLblPos val="nextTo"/>
        <c:crossAx val="609432640"/>
        <c:crosses val="autoZero"/>
        <c:auto val="1"/>
        <c:lblAlgn val="ctr"/>
        <c:lblOffset val="100"/>
        <c:noMultiLvlLbl val="0"/>
      </c:catAx>
      <c:valAx>
        <c:axId val="6094326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2200294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0">
                  <c:v>5063</c:v>
                </c:pt>
                <c:pt idx="3">
                  <c:v>5438</c:v>
                </c:pt>
                <c:pt idx="6">
                  <c:v>3124</c:v>
                </c:pt>
                <c:pt idx="7">
                  <c:v>5391</c:v>
                </c:pt>
                <c:pt idx="12">
                  <c:v>5508</c:v>
                </c:pt>
                <c:pt idx="13">
                  <c:v>2960</c:v>
                </c:pt>
                <c:pt idx="14">
                  <c:v>5640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5063</c:v>
                </c:pt>
                <c:pt idx="1">
                  <c:v>15560</c:v>
                </c:pt>
                <c:pt idx="2">
                  <c:v>2440</c:v>
                </c:pt>
                <c:pt idx="3">
                  <c:v>5440</c:v>
                </c:pt>
                <c:pt idx="4">
                  <c:v>3680</c:v>
                </c:pt>
                <c:pt idx="5">
                  <c:v>1140</c:v>
                </c:pt>
                <c:pt idx="6">
                  <c:v>3130</c:v>
                </c:pt>
                <c:pt idx="7">
                  <c:v>5400</c:v>
                </c:pt>
                <c:pt idx="8">
                  <c:v>206</c:v>
                </c:pt>
                <c:pt idx="9">
                  <c:v>23320</c:v>
                </c:pt>
                <c:pt idx="10">
                  <c:v>4140</c:v>
                </c:pt>
                <c:pt idx="11">
                  <c:v>1140</c:v>
                </c:pt>
                <c:pt idx="12">
                  <c:v>5510</c:v>
                </c:pt>
                <c:pt idx="13">
                  <c:v>2960</c:v>
                </c:pt>
                <c:pt idx="14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483392"/>
        <c:axId val="609574912"/>
      </c:lineChart>
      <c:catAx>
        <c:axId val="3274833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09574912"/>
        <c:crosses val="autoZero"/>
        <c:auto val="1"/>
        <c:lblAlgn val="ctr"/>
        <c:lblOffset val="100"/>
        <c:noMultiLvlLbl val="0"/>
      </c:catAx>
      <c:valAx>
        <c:axId val="6095749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27483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"/>
                <c:pt idx="0">
                  <c:v>100% 0% 0% 96% 0% 0% 87% 100% 0% 0% 0% 0% 100% 38% 21%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0.95798100490196081</c:v>
                </c:pt>
                <c:pt idx="4">
                  <c:v>0</c:v>
                </c:pt>
                <c:pt idx="5">
                  <c:v>0</c:v>
                </c:pt>
                <c:pt idx="6">
                  <c:v>0.87332268370607025</c:v>
                </c:pt>
                <c:pt idx="7">
                  <c:v>0.99833333333333329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0.9996370235934664</c:v>
                </c:pt>
                <c:pt idx="13">
                  <c:v>0.375</c:v>
                </c:pt>
                <c:pt idx="14">
                  <c:v>0.20833333333333334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0.36084049192454426</c:v>
                </c:pt>
                <c:pt idx="1">
                  <c:v>0.36084049192454426</c:v>
                </c:pt>
                <c:pt idx="2">
                  <c:v>0.36084049192454426</c:v>
                </c:pt>
                <c:pt idx="3">
                  <c:v>0.36084049192454426</c:v>
                </c:pt>
                <c:pt idx="4">
                  <c:v>0.36084049192454426</c:v>
                </c:pt>
                <c:pt idx="5">
                  <c:v>0.36084049192454426</c:v>
                </c:pt>
                <c:pt idx="6">
                  <c:v>0.36084049192454426</c:v>
                </c:pt>
                <c:pt idx="7">
                  <c:v>0.36084049192454426</c:v>
                </c:pt>
                <c:pt idx="8">
                  <c:v>0.36084049192454426</c:v>
                </c:pt>
                <c:pt idx="9">
                  <c:v>0.36084049192454426</c:v>
                </c:pt>
                <c:pt idx="10">
                  <c:v>0.36084049192454426</c:v>
                </c:pt>
                <c:pt idx="11">
                  <c:v>0.36084049192454426</c:v>
                </c:pt>
                <c:pt idx="12">
                  <c:v>0.36084049192454426</c:v>
                </c:pt>
                <c:pt idx="13">
                  <c:v>0.36084049192454426</c:v>
                </c:pt>
                <c:pt idx="14">
                  <c:v>0.36084049192454426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484928"/>
        <c:axId val="609576640"/>
      </c:lineChart>
      <c:catAx>
        <c:axId val="32748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09576640"/>
        <c:crosses val="autoZero"/>
        <c:auto val="1"/>
        <c:lblAlgn val="ctr"/>
        <c:lblOffset val="100"/>
        <c:noMultiLvlLbl val="0"/>
      </c:catAx>
      <c:valAx>
        <c:axId val="6095766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27484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0">
                  <c:v>5063</c:v>
                </c:pt>
                <c:pt idx="3">
                  <c:v>5438</c:v>
                </c:pt>
                <c:pt idx="6">
                  <c:v>3124</c:v>
                </c:pt>
                <c:pt idx="7">
                  <c:v>5391</c:v>
                </c:pt>
                <c:pt idx="12">
                  <c:v>5508</c:v>
                </c:pt>
                <c:pt idx="13">
                  <c:v>2960</c:v>
                </c:pt>
                <c:pt idx="14">
                  <c:v>5640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5063</c:v>
                </c:pt>
                <c:pt idx="1">
                  <c:v>15560</c:v>
                </c:pt>
                <c:pt idx="2">
                  <c:v>2440</c:v>
                </c:pt>
                <c:pt idx="3">
                  <c:v>5440</c:v>
                </c:pt>
                <c:pt idx="4">
                  <c:v>3680</c:v>
                </c:pt>
                <c:pt idx="5">
                  <c:v>1140</c:v>
                </c:pt>
                <c:pt idx="6">
                  <c:v>3130</c:v>
                </c:pt>
                <c:pt idx="7">
                  <c:v>5400</c:v>
                </c:pt>
                <c:pt idx="8">
                  <c:v>206</c:v>
                </c:pt>
                <c:pt idx="9">
                  <c:v>23320</c:v>
                </c:pt>
                <c:pt idx="10">
                  <c:v>4140</c:v>
                </c:pt>
                <c:pt idx="11">
                  <c:v>1140</c:v>
                </c:pt>
                <c:pt idx="12">
                  <c:v>5510</c:v>
                </c:pt>
                <c:pt idx="13">
                  <c:v>2960</c:v>
                </c:pt>
                <c:pt idx="14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485440"/>
        <c:axId val="609578944"/>
      </c:lineChart>
      <c:catAx>
        <c:axId val="3274854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09578944"/>
        <c:crosses val="autoZero"/>
        <c:auto val="1"/>
        <c:lblAlgn val="ctr"/>
        <c:lblOffset val="100"/>
        <c:noMultiLvlLbl val="0"/>
      </c:catAx>
      <c:valAx>
        <c:axId val="6095789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27485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"/>
                <c:pt idx="0">
                  <c:v>100% 0% 0% 96% 0% 0% 87% 100% 0% 0% 0% 0% 100% 38% 21%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0.95798100490196081</c:v>
                </c:pt>
                <c:pt idx="4">
                  <c:v>0</c:v>
                </c:pt>
                <c:pt idx="5">
                  <c:v>0</c:v>
                </c:pt>
                <c:pt idx="6">
                  <c:v>0.87332268370607025</c:v>
                </c:pt>
                <c:pt idx="7">
                  <c:v>0.99833333333333329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0.9996370235934664</c:v>
                </c:pt>
                <c:pt idx="13">
                  <c:v>0.375</c:v>
                </c:pt>
                <c:pt idx="14">
                  <c:v>0.20833333333333334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COVER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0.36084049192454426</c:v>
                </c:pt>
                <c:pt idx="1">
                  <c:v>0.36084049192454426</c:v>
                </c:pt>
                <c:pt idx="2">
                  <c:v>0.36084049192454426</c:v>
                </c:pt>
                <c:pt idx="3">
                  <c:v>0.36084049192454426</c:v>
                </c:pt>
                <c:pt idx="4">
                  <c:v>0.36084049192454426</c:v>
                </c:pt>
                <c:pt idx="5">
                  <c:v>0.36084049192454426</c:v>
                </c:pt>
                <c:pt idx="6">
                  <c:v>0.36084049192454426</c:v>
                </c:pt>
                <c:pt idx="7">
                  <c:v>0.36084049192454426</c:v>
                </c:pt>
                <c:pt idx="8">
                  <c:v>0.36084049192454426</c:v>
                </c:pt>
                <c:pt idx="9">
                  <c:v>0.36084049192454426</c:v>
                </c:pt>
                <c:pt idx="10">
                  <c:v>0.36084049192454426</c:v>
                </c:pt>
                <c:pt idx="11">
                  <c:v>0.36084049192454426</c:v>
                </c:pt>
                <c:pt idx="12">
                  <c:v>0.36084049192454426</c:v>
                </c:pt>
                <c:pt idx="13">
                  <c:v>0.36084049192454426</c:v>
                </c:pt>
                <c:pt idx="14">
                  <c:v>0.36084049192454426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486464"/>
        <c:axId val="609580672"/>
      </c:lineChart>
      <c:catAx>
        <c:axId val="327486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09580672"/>
        <c:crosses val="autoZero"/>
        <c:auto val="1"/>
        <c:lblAlgn val="ctr"/>
        <c:lblOffset val="100"/>
        <c:noMultiLvlLbl val="0"/>
      </c:catAx>
      <c:valAx>
        <c:axId val="6095806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27486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2003456"/>
        <c:axId val="6099435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003456"/>
        <c:axId val="609943552"/>
      </c:lineChart>
      <c:catAx>
        <c:axId val="322003456"/>
        <c:scaling>
          <c:orientation val="minMax"/>
        </c:scaling>
        <c:delete val="0"/>
        <c:axPos val="b"/>
        <c:majorTickMark val="out"/>
        <c:minorTickMark val="none"/>
        <c:tickLblPos val="nextTo"/>
        <c:crossAx val="609943552"/>
        <c:crosses val="autoZero"/>
        <c:auto val="1"/>
        <c:lblAlgn val="ctr"/>
        <c:lblOffset val="100"/>
        <c:noMultiLvlLbl val="0"/>
      </c:catAx>
      <c:valAx>
        <c:axId val="6099435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2200345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INSULATOR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0">
                  <c:v>4243</c:v>
                </c:pt>
                <c:pt idx="2">
                  <c:v>52428</c:v>
                </c:pt>
                <c:pt idx="3">
                  <c:v>5183</c:v>
                </c:pt>
                <c:pt idx="6">
                  <c:v>3021</c:v>
                </c:pt>
                <c:pt idx="7">
                  <c:v>3142</c:v>
                </c:pt>
                <c:pt idx="10">
                  <c:v>5764</c:v>
                </c:pt>
                <c:pt idx="12">
                  <c:v>3954</c:v>
                </c:pt>
                <c:pt idx="13">
                  <c:v>2789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INSULATOR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4250</c:v>
                </c:pt>
                <c:pt idx="1">
                  <c:v>15560</c:v>
                </c:pt>
                <c:pt idx="2">
                  <c:v>52430</c:v>
                </c:pt>
                <c:pt idx="3">
                  <c:v>5190</c:v>
                </c:pt>
                <c:pt idx="4">
                  <c:v>3680</c:v>
                </c:pt>
                <c:pt idx="5">
                  <c:v>1140</c:v>
                </c:pt>
                <c:pt idx="6">
                  <c:v>3030</c:v>
                </c:pt>
                <c:pt idx="7">
                  <c:v>3150</c:v>
                </c:pt>
                <c:pt idx="8">
                  <c:v>206</c:v>
                </c:pt>
                <c:pt idx="9">
                  <c:v>23320</c:v>
                </c:pt>
                <c:pt idx="10">
                  <c:v>5770</c:v>
                </c:pt>
                <c:pt idx="11">
                  <c:v>1140</c:v>
                </c:pt>
                <c:pt idx="12">
                  <c:v>3960</c:v>
                </c:pt>
                <c:pt idx="13">
                  <c:v>2790</c:v>
                </c:pt>
                <c:pt idx="14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534528"/>
        <c:axId val="609946432"/>
      </c:lineChart>
      <c:catAx>
        <c:axId val="3285345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09946432"/>
        <c:crosses val="autoZero"/>
        <c:auto val="1"/>
        <c:lblAlgn val="ctr"/>
        <c:lblOffset val="100"/>
        <c:noMultiLvlLbl val="0"/>
      </c:catAx>
      <c:valAx>
        <c:axId val="6099464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28534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"/>
                <c:pt idx="0">
                  <c:v>100% 0% 87% 100% 0% 0% 71% 83% 0% 0% 75% 0% 67% 42%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'12'!$D$6:$D$20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INSULATOR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0.99835294117647055</c:v>
                </c:pt>
                <c:pt idx="1">
                  <c:v>0</c:v>
                </c:pt>
                <c:pt idx="2">
                  <c:v>0.87496662216288379</c:v>
                </c:pt>
                <c:pt idx="3">
                  <c:v>0.99865125240847785</c:v>
                </c:pt>
                <c:pt idx="4">
                  <c:v>0</c:v>
                </c:pt>
                <c:pt idx="5">
                  <c:v>0</c:v>
                </c:pt>
                <c:pt idx="6">
                  <c:v>0.70622937293729371</c:v>
                </c:pt>
                <c:pt idx="7">
                  <c:v>0.8312169312169313</c:v>
                </c:pt>
                <c:pt idx="8">
                  <c:v>0</c:v>
                </c:pt>
                <c:pt idx="9">
                  <c:v>0</c:v>
                </c:pt>
                <c:pt idx="10">
                  <c:v>0.74922010398613514</c:v>
                </c:pt>
                <c:pt idx="11">
                  <c:v>0</c:v>
                </c:pt>
                <c:pt idx="12">
                  <c:v>0.66565656565656561</c:v>
                </c:pt>
                <c:pt idx="13">
                  <c:v>0.4165173237753883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'12'!$D$6:$D$20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INSULATOR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0.41605407422134311</c:v>
                </c:pt>
                <c:pt idx="1">
                  <c:v>0.41605407422134311</c:v>
                </c:pt>
                <c:pt idx="2">
                  <c:v>0.41605407422134311</c:v>
                </c:pt>
                <c:pt idx="3">
                  <c:v>0.41605407422134311</c:v>
                </c:pt>
                <c:pt idx="4">
                  <c:v>0.41605407422134311</c:v>
                </c:pt>
                <c:pt idx="5">
                  <c:v>0.41605407422134311</c:v>
                </c:pt>
                <c:pt idx="6">
                  <c:v>0.41605407422134311</c:v>
                </c:pt>
                <c:pt idx="7">
                  <c:v>0.41605407422134311</c:v>
                </c:pt>
                <c:pt idx="8">
                  <c:v>0.41605407422134311</c:v>
                </c:pt>
                <c:pt idx="9">
                  <c:v>0.41605407422134311</c:v>
                </c:pt>
                <c:pt idx="10">
                  <c:v>0.41605407422134311</c:v>
                </c:pt>
                <c:pt idx="11">
                  <c:v>0.41605407422134311</c:v>
                </c:pt>
                <c:pt idx="12">
                  <c:v>0.41605407422134311</c:v>
                </c:pt>
                <c:pt idx="13">
                  <c:v>0.41605407422134311</c:v>
                </c:pt>
                <c:pt idx="14">
                  <c:v>0.41605407422134311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552960"/>
        <c:axId val="609948160"/>
      </c:lineChart>
      <c:catAx>
        <c:axId val="32855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09948160"/>
        <c:crosses val="autoZero"/>
        <c:auto val="1"/>
        <c:lblAlgn val="ctr"/>
        <c:lblOffset val="100"/>
        <c:noMultiLvlLbl val="0"/>
      </c:catAx>
      <c:valAx>
        <c:axId val="6099481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28552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INSULATOR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0">
                  <c:v>4243</c:v>
                </c:pt>
                <c:pt idx="2">
                  <c:v>52428</c:v>
                </c:pt>
                <c:pt idx="3">
                  <c:v>5183</c:v>
                </c:pt>
                <c:pt idx="6">
                  <c:v>3021</c:v>
                </c:pt>
                <c:pt idx="7">
                  <c:v>3142</c:v>
                </c:pt>
                <c:pt idx="10">
                  <c:v>5764</c:v>
                </c:pt>
                <c:pt idx="12">
                  <c:v>3954</c:v>
                </c:pt>
                <c:pt idx="13">
                  <c:v>2789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INSULATOR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4250</c:v>
                </c:pt>
                <c:pt idx="1">
                  <c:v>15560</c:v>
                </c:pt>
                <c:pt idx="2">
                  <c:v>52430</c:v>
                </c:pt>
                <c:pt idx="3">
                  <c:v>5190</c:v>
                </c:pt>
                <c:pt idx="4">
                  <c:v>3680</c:v>
                </c:pt>
                <c:pt idx="5">
                  <c:v>1140</c:v>
                </c:pt>
                <c:pt idx="6">
                  <c:v>3030</c:v>
                </c:pt>
                <c:pt idx="7">
                  <c:v>3150</c:v>
                </c:pt>
                <c:pt idx="8">
                  <c:v>206</c:v>
                </c:pt>
                <c:pt idx="9">
                  <c:v>23320</c:v>
                </c:pt>
                <c:pt idx="10">
                  <c:v>5770</c:v>
                </c:pt>
                <c:pt idx="11">
                  <c:v>1140</c:v>
                </c:pt>
                <c:pt idx="12">
                  <c:v>3960</c:v>
                </c:pt>
                <c:pt idx="13">
                  <c:v>2790</c:v>
                </c:pt>
                <c:pt idx="14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553472"/>
        <c:axId val="609950464"/>
      </c:lineChart>
      <c:catAx>
        <c:axId val="3285534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09950464"/>
        <c:crosses val="autoZero"/>
        <c:auto val="1"/>
        <c:lblAlgn val="ctr"/>
        <c:lblOffset val="100"/>
        <c:noMultiLvlLbl val="0"/>
      </c:catAx>
      <c:valAx>
        <c:axId val="6099504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28553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"/>
                <c:pt idx="0">
                  <c:v>100% 0% 87% 100% 0% 0% 71% 83% 0% 0% 75% 0% 67% 42%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'12'!$D$6:$D$20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INSULATOR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0.99835294117647055</c:v>
                </c:pt>
                <c:pt idx="1">
                  <c:v>0</c:v>
                </c:pt>
                <c:pt idx="2">
                  <c:v>0.87496662216288379</c:v>
                </c:pt>
                <c:pt idx="3">
                  <c:v>0.99865125240847785</c:v>
                </c:pt>
                <c:pt idx="4">
                  <c:v>0</c:v>
                </c:pt>
                <c:pt idx="5">
                  <c:v>0</c:v>
                </c:pt>
                <c:pt idx="6">
                  <c:v>0.70622937293729371</c:v>
                </c:pt>
                <c:pt idx="7">
                  <c:v>0.8312169312169313</c:v>
                </c:pt>
                <c:pt idx="8">
                  <c:v>0</c:v>
                </c:pt>
                <c:pt idx="9">
                  <c:v>0</c:v>
                </c:pt>
                <c:pt idx="10">
                  <c:v>0.74922010398613514</c:v>
                </c:pt>
                <c:pt idx="11">
                  <c:v>0</c:v>
                </c:pt>
                <c:pt idx="12">
                  <c:v>0.66565656565656561</c:v>
                </c:pt>
                <c:pt idx="13">
                  <c:v>0.4165173237753883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'12'!$D$6:$D$20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INSULATOR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0.41605407422134311</c:v>
                </c:pt>
                <c:pt idx="1">
                  <c:v>0.41605407422134311</c:v>
                </c:pt>
                <c:pt idx="2">
                  <c:v>0.41605407422134311</c:v>
                </c:pt>
                <c:pt idx="3">
                  <c:v>0.41605407422134311</c:v>
                </c:pt>
                <c:pt idx="4">
                  <c:v>0.41605407422134311</c:v>
                </c:pt>
                <c:pt idx="5">
                  <c:v>0.41605407422134311</c:v>
                </c:pt>
                <c:pt idx="6">
                  <c:v>0.41605407422134311</c:v>
                </c:pt>
                <c:pt idx="7">
                  <c:v>0.41605407422134311</c:v>
                </c:pt>
                <c:pt idx="8">
                  <c:v>0.41605407422134311</c:v>
                </c:pt>
                <c:pt idx="9">
                  <c:v>0.41605407422134311</c:v>
                </c:pt>
                <c:pt idx="10">
                  <c:v>0.41605407422134311</c:v>
                </c:pt>
                <c:pt idx="11">
                  <c:v>0.41605407422134311</c:v>
                </c:pt>
                <c:pt idx="12">
                  <c:v>0.41605407422134311</c:v>
                </c:pt>
                <c:pt idx="13">
                  <c:v>0.41605407422134311</c:v>
                </c:pt>
                <c:pt idx="14">
                  <c:v>0.41605407422134311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554496"/>
        <c:axId val="239682112"/>
      </c:lineChart>
      <c:catAx>
        <c:axId val="32855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39682112"/>
        <c:crosses val="autoZero"/>
        <c:auto val="1"/>
        <c:lblAlgn val="ctr"/>
        <c:lblOffset val="100"/>
        <c:noMultiLvlLbl val="0"/>
      </c:catAx>
      <c:valAx>
        <c:axId val="2396821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28554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8555008"/>
        <c:axId val="23968441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555008"/>
        <c:axId val="239684416"/>
      </c:lineChart>
      <c:catAx>
        <c:axId val="328555008"/>
        <c:scaling>
          <c:orientation val="minMax"/>
        </c:scaling>
        <c:delete val="0"/>
        <c:axPos val="b"/>
        <c:majorTickMark val="out"/>
        <c:minorTickMark val="none"/>
        <c:tickLblPos val="nextTo"/>
        <c:crossAx val="239684416"/>
        <c:crosses val="autoZero"/>
        <c:auto val="1"/>
        <c:lblAlgn val="ctr"/>
        <c:lblOffset val="100"/>
        <c:noMultiLvlLbl val="0"/>
      </c:catAx>
      <c:valAx>
        <c:axId val="2396844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2855500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INSULATOR</c:v>
                </c:pt>
                <c:pt idx="3">
                  <c:v>LEAD GUIDE</c:v>
                </c:pt>
                <c:pt idx="4">
                  <c:v>SLIDER</c:v>
                </c:pt>
                <c:pt idx="5">
                  <c:v>SEPARATOR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'13'!$L$6:$L$21</c:f>
              <c:numCache>
                <c:formatCode>_(* #,##0_);_(* \(#,##0\);_(* "-"_);_(@_)</c:formatCode>
                <c:ptCount val="16"/>
                <c:pt idx="0">
                  <c:v>4675</c:v>
                </c:pt>
                <c:pt idx="2">
                  <c:v>30816</c:v>
                </c:pt>
                <c:pt idx="3">
                  <c:v>6076</c:v>
                </c:pt>
                <c:pt idx="4">
                  <c:v>4446</c:v>
                </c:pt>
                <c:pt idx="5">
                  <c:v>3096</c:v>
                </c:pt>
                <c:pt idx="6">
                  <c:v>3674</c:v>
                </c:pt>
                <c:pt idx="7">
                  <c:v>1845</c:v>
                </c:pt>
                <c:pt idx="8">
                  <c:v>2378</c:v>
                </c:pt>
                <c:pt idx="11">
                  <c:v>11522</c:v>
                </c:pt>
                <c:pt idx="12">
                  <c:v>10938</c:v>
                </c:pt>
                <c:pt idx="13">
                  <c:v>5120</c:v>
                </c:pt>
                <c:pt idx="14">
                  <c:v>7049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'13'!$D$6:$D$21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INSULATOR</c:v>
                </c:pt>
                <c:pt idx="3">
                  <c:v>LEAD GUIDE</c:v>
                </c:pt>
                <c:pt idx="4">
                  <c:v>SLIDER</c:v>
                </c:pt>
                <c:pt idx="5">
                  <c:v>SEPARATOR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'13'!$J$6:$J$21</c:f>
              <c:numCache>
                <c:formatCode>_(* #,##0_);_(* \(#,##0\);_(* "-"_);_(@_)</c:formatCode>
                <c:ptCount val="16"/>
                <c:pt idx="0">
                  <c:v>4680</c:v>
                </c:pt>
                <c:pt idx="1">
                  <c:v>15560</c:v>
                </c:pt>
                <c:pt idx="2">
                  <c:v>30820</c:v>
                </c:pt>
                <c:pt idx="3">
                  <c:v>6080</c:v>
                </c:pt>
                <c:pt idx="4">
                  <c:v>4450</c:v>
                </c:pt>
                <c:pt idx="5">
                  <c:v>3100</c:v>
                </c:pt>
                <c:pt idx="6">
                  <c:v>3680</c:v>
                </c:pt>
                <c:pt idx="7">
                  <c:v>1850</c:v>
                </c:pt>
                <c:pt idx="8">
                  <c:v>2380</c:v>
                </c:pt>
                <c:pt idx="9">
                  <c:v>206</c:v>
                </c:pt>
                <c:pt idx="10">
                  <c:v>23320</c:v>
                </c:pt>
                <c:pt idx="11">
                  <c:v>11530</c:v>
                </c:pt>
                <c:pt idx="12">
                  <c:v>10940</c:v>
                </c:pt>
                <c:pt idx="13">
                  <c:v>5120</c:v>
                </c:pt>
                <c:pt idx="14">
                  <c:v>7050</c:v>
                </c:pt>
                <c:pt idx="15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723392"/>
        <c:axId val="239687296"/>
      </c:lineChart>
      <c:catAx>
        <c:axId val="3297233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39687296"/>
        <c:crosses val="autoZero"/>
        <c:auto val="1"/>
        <c:lblAlgn val="ctr"/>
        <c:lblOffset val="100"/>
        <c:noMultiLvlLbl val="0"/>
      </c:catAx>
      <c:valAx>
        <c:axId val="23968729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29723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'13'!$AD$6:$AD$21</c:f>
              <c:strCache>
                <c:ptCount val="1"/>
                <c:pt idx="0">
                  <c:v>100% 0% 33% 62% 83% 58% 42% 42% 50% 0% 0% 100% 100% 54% 92%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'13'!$D$6:$D$21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INSULATOR</c:v>
                </c:pt>
                <c:pt idx="3">
                  <c:v>LEAD GUIDE</c:v>
                </c:pt>
                <c:pt idx="4">
                  <c:v>SLIDER</c:v>
                </c:pt>
                <c:pt idx="5">
                  <c:v>SEPARATOR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'13'!$AD$6:$AD$21</c:f>
              <c:numCache>
                <c:formatCode>0%</c:formatCode>
                <c:ptCount val="16"/>
                <c:pt idx="0">
                  <c:v>0.99893162393162394</c:v>
                </c:pt>
                <c:pt idx="1">
                  <c:v>0</c:v>
                </c:pt>
                <c:pt idx="2">
                  <c:v>0.33329007138221933</c:v>
                </c:pt>
                <c:pt idx="3">
                  <c:v>0.62458881578947367</c:v>
                </c:pt>
                <c:pt idx="4">
                  <c:v>0.83258426966292143</c:v>
                </c:pt>
                <c:pt idx="5">
                  <c:v>0.58258064516129038</c:v>
                </c:pt>
                <c:pt idx="6">
                  <c:v>0.41598731884057971</c:v>
                </c:pt>
                <c:pt idx="7">
                  <c:v>0.41554054054054057</c:v>
                </c:pt>
                <c:pt idx="8">
                  <c:v>0.49957983193277311</c:v>
                </c:pt>
                <c:pt idx="9">
                  <c:v>0</c:v>
                </c:pt>
                <c:pt idx="10">
                  <c:v>0</c:v>
                </c:pt>
                <c:pt idx="11">
                  <c:v>0.99930615784908938</c:v>
                </c:pt>
                <c:pt idx="12">
                  <c:v>0.9998171846435101</c:v>
                </c:pt>
                <c:pt idx="13">
                  <c:v>0.54166666666666663</c:v>
                </c:pt>
                <c:pt idx="14">
                  <c:v>0.91653664302600468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'13'!$D$6:$D$21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INSULATOR</c:v>
                </c:pt>
                <c:pt idx="3">
                  <c:v>LEAD GUIDE</c:v>
                </c:pt>
                <c:pt idx="4">
                  <c:v>SLIDER</c:v>
                </c:pt>
                <c:pt idx="5">
                  <c:v>SEPARATOR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'13'!$AE$6:$AE$21</c:f>
              <c:numCache>
                <c:formatCode>0%</c:formatCode>
                <c:ptCount val="16"/>
                <c:pt idx="0">
                  <c:v>0.5440273179617795</c:v>
                </c:pt>
                <c:pt idx="1">
                  <c:v>0.5440273179617795</c:v>
                </c:pt>
                <c:pt idx="2">
                  <c:v>0.5440273179617795</c:v>
                </c:pt>
                <c:pt idx="3">
                  <c:v>0.5440273179617795</c:v>
                </c:pt>
                <c:pt idx="4">
                  <c:v>0.5440273179617795</c:v>
                </c:pt>
                <c:pt idx="5">
                  <c:v>0.5440273179617795</c:v>
                </c:pt>
                <c:pt idx="6">
                  <c:v>0.5440273179617795</c:v>
                </c:pt>
                <c:pt idx="7">
                  <c:v>0.5440273179617795</c:v>
                </c:pt>
                <c:pt idx="8">
                  <c:v>0.5440273179617795</c:v>
                </c:pt>
                <c:pt idx="9">
                  <c:v>0.5440273179617795</c:v>
                </c:pt>
                <c:pt idx="10">
                  <c:v>0.5440273179617795</c:v>
                </c:pt>
                <c:pt idx="11">
                  <c:v>0.5440273179617795</c:v>
                </c:pt>
                <c:pt idx="12">
                  <c:v>0.5440273179617795</c:v>
                </c:pt>
                <c:pt idx="13">
                  <c:v>0.5440273179617795</c:v>
                </c:pt>
                <c:pt idx="14">
                  <c:v>0.5440273179617795</c:v>
                </c:pt>
                <c:pt idx="15">
                  <c:v>0.5440273179617795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916928"/>
        <c:axId val="239689024"/>
      </c:lineChart>
      <c:catAx>
        <c:axId val="329916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39689024"/>
        <c:crosses val="autoZero"/>
        <c:auto val="1"/>
        <c:lblAlgn val="ctr"/>
        <c:lblOffset val="100"/>
        <c:noMultiLvlLbl val="0"/>
      </c:catAx>
      <c:valAx>
        <c:axId val="2396890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29916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INSULATOR</c:v>
                </c:pt>
                <c:pt idx="3">
                  <c:v>LEAD GUIDE</c:v>
                </c:pt>
                <c:pt idx="4">
                  <c:v>SLIDER</c:v>
                </c:pt>
                <c:pt idx="5">
                  <c:v>SEPARATOR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'13'!$L$6:$L$21</c:f>
              <c:numCache>
                <c:formatCode>_(* #,##0_);_(* \(#,##0\);_(* "-"_);_(@_)</c:formatCode>
                <c:ptCount val="16"/>
                <c:pt idx="0">
                  <c:v>4675</c:v>
                </c:pt>
                <c:pt idx="2">
                  <c:v>30816</c:v>
                </c:pt>
                <c:pt idx="3">
                  <c:v>6076</c:v>
                </c:pt>
                <c:pt idx="4">
                  <c:v>4446</c:v>
                </c:pt>
                <c:pt idx="5">
                  <c:v>3096</c:v>
                </c:pt>
                <c:pt idx="6">
                  <c:v>3674</c:v>
                </c:pt>
                <c:pt idx="7">
                  <c:v>1845</c:v>
                </c:pt>
                <c:pt idx="8">
                  <c:v>2378</c:v>
                </c:pt>
                <c:pt idx="11">
                  <c:v>11522</c:v>
                </c:pt>
                <c:pt idx="12">
                  <c:v>10938</c:v>
                </c:pt>
                <c:pt idx="13">
                  <c:v>5120</c:v>
                </c:pt>
                <c:pt idx="14">
                  <c:v>7049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'13'!$D$6:$D$21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INSULATOR</c:v>
                </c:pt>
                <c:pt idx="3">
                  <c:v>LEAD GUIDE</c:v>
                </c:pt>
                <c:pt idx="4">
                  <c:v>SLIDER</c:v>
                </c:pt>
                <c:pt idx="5">
                  <c:v>SEPARATOR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'13'!$J$6:$J$21</c:f>
              <c:numCache>
                <c:formatCode>_(* #,##0_);_(* \(#,##0\);_(* "-"_);_(@_)</c:formatCode>
                <c:ptCount val="16"/>
                <c:pt idx="0">
                  <c:v>4680</c:v>
                </c:pt>
                <c:pt idx="1">
                  <c:v>15560</c:v>
                </c:pt>
                <c:pt idx="2">
                  <c:v>30820</c:v>
                </c:pt>
                <c:pt idx="3">
                  <c:v>6080</c:v>
                </c:pt>
                <c:pt idx="4">
                  <c:v>4450</c:v>
                </c:pt>
                <c:pt idx="5">
                  <c:v>3100</c:v>
                </c:pt>
                <c:pt idx="6">
                  <c:v>3680</c:v>
                </c:pt>
                <c:pt idx="7">
                  <c:v>1850</c:v>
                </c:pt>
                <c:pt idx="8">
                  <c:v>2380</c:v>
                </c:pt>
                <c:pt idx="9">
                  <c:v>206</c:v>
                </c:pt>
                <c:pt idx="10">
                  <c:v>23320</c:v>
                </c:pt>
                <c:pt idx="11">
                  <c:v>11530</c:v>
                </c:pt>
                <c:pt idx="12">
                  <c:v>10940</c:v>
                </c:pt>
                <c:pt idx="13">
                  <c:v>5120</c:v>
                </c:pt>
                <c:pt idx="14">
                  <c:v>7050</c:v>
                </c:pt>
                <c:pt idx="15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917952"/>
        <c:axId val="293152448"/>
      </c:lineChart>
      <c:catAx>
        <c:axId val="32991795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93152448"/>
        <c:crosses val="autoZero"/>
        <c:auto val="1"/>
        <c:lblAlgn val="ctr"/>
        <c:lblOffset val="100"/>
        <c:noMultiLvlLbl val="0"/>
      </c:catAx>
      <c:valAx>
        <c:axId val="2931524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29917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'13'!$AD$6:$AD$21</c:f>
              <c:strCache>
                <c:ptCount val="1"/>
                <c:pt idx="0">
                  <c:v>100% 0% 33% 62% 83% 58% 42% 42% 50% 0% 0% 100% 100% 54% 92%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'13'!$D$6:$D$21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INSULATOR</c:v>
                </c:pt>
                <c:pt idx="3">
                  <c:v>LEAD GUIDE</c:v>
                </c:pt>
                <c:pt idx="4">
                  <c:v>SLIDER</c:v>
                </c:pt>
                <c:pt idx="5">
                  <c:v>SEPARATOR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'13'!$AD$6:$AD$21</c:f>
              <c:numCache>
                <c:formatCode>0%</c:formatCode>
                <c:ptCount val="16"/>
                <c:pt idx="0">
                  <c:v>0.99893162393162394</c:v>
                </c:pt>
                <c:pt idx="1">
                  <c:v>0</c:v>
                </c:pt>
                <c:pt idx="2">
                  <c:v>0.33329007138221933</c:v>
                </c:pt>
                <c:pt idx="3">
                  <c:v>0.62458881578947367</c:v>
                </c:pt>
                <c:pt idx="4">
                  <c:v>0.83258426966292143</c:v>
                </c:pt>
                <c:pt idx="5">
                  <c:v>0.58258064516129038</c:v>
                </c:pt>
                <c:pt idx="6">
                  <c:v>0.41598731884057971</c:v>
                </c:pt>
                <c:pt idx="7">
                  <c:v>0.41554054054054057</c:v>
                </c:pt>
                <c:pt idx="8">
                  <c:v>0.49957983193277311</c:v>
                </c:pt>
                <c:pt idx="9">
                  <c:v>0</c:v>
                </c:pt>
                <c:pt idx="10">
                  <c:v>0</c:v>
                </c:pt>
                <c:pt idx="11">
                  <c:v>0.99930615784908938</c:v>
                </c:pt>
                <c:pt idx="12">
                  <c:v>0.9998171846435101</c:v>
                </c:pt>
                <c:pt idx="13">
                  <c:v>0.54166666666666663</c:v>
                </c:pt>
                <c:pt idx="14">
                  <c:v>0.91653664302600468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'13'!$D$6:$D$21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INSULATOR</c:v>
                </c:pt>
                <c:pt idx="3">
                  <c:v>LEAD GUIDE</c:v>
                </c:pt>
                <c:pt idx="4">
                  <c:v>SLIDER</c:v>
                </c:pt>
                <c:pt idx="5">
                  <c:v>SEPARATOR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'13'!$AE$6:$AE$21</c:f>
              <c:numCache>
                <c:formatCode>0%</c:formatCode>
                <c:ptCount val="16"/>
                <c:pt idx="0">
                  <c:v>0.5440273179617795</c:v>
                </c:pt>
                <c:pt idx="1">
                  <c:v>0.5440273179617795</c:v>
                </c:pt>
                <c:pt idx="2">
                  <c:v>0.5440273179617795</c:v>
                </c:pt>
                <c:pt idx="3">
                  <c:v>0.5440273179617795</c:v>
                </c:pt>
                <c:pt idx="4">
                  <c:v>0.5440273179617795</c:v>
                </c:pt>
                <c:pt idx="5">
                  <c:v>0.5440273179617795</c:v>
                </c:pt>
                <c:pt idx="6">
                  <c:v>0.5440273179617795</c:v>
                </c:pt>
                <c:pt idx="7">
                  <c:v>0.5440273179617795</c:v>
                </c:pt>
                <c:pt idx="8">
                  <c:v>0.5440273179617795</c:v>
                </c:pt>
                <c:pt idx="9">
                  <c:v>0.5440273179617795</c:v>
                </c:pt>
                <c:pt idx="10">
                  <c:v>0.5440273179617795</c:v>
                </c:pt>
                <c:pt idx="11">
                  <c:v>0.5440273179617795</c:v>
                </c:pt>
                <c:pt idx="12">
                  <c:v>0.5440273179617795</c:v>
                </c:pt>
                <c:pt idx="13">
                  <c:v>0.5440273179617795</c:v>
                </c:pt>
                <c:pt idx="14">
                  <c:v>0.5440273179617795</c:v>
                </c:pt>
                <c:pt idx="15">
                  <c:v>0.5440273179617795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919488"/>
        <c:axId val="293154176"/>
      </c:lineChart>
      <c:catAx>
        <c:axId val="329919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93154176"/>
        <c:crosses val="autoZero"/>
        <c:auto val="1"/>
        <c:lblAlgn val="ctr"/>
        <c:lblOffset val="100"/>
        <c:noMultiLvlLbl val="0"/>
      </c:catAx>
      <c:valAx>
        <c:axId val="2931541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29919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1001856"/>
        <c:axId val="29315648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001856"/>
        <c:axId val="293156480"/>
      </c:lineChart>
      <c:catAx>
        <c:axId val="331001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93156480"/>
        <c:crosses val="autoZero"/>
        <c:auto val="1"/>
        <c:lblAlgn val="ctr"/>
        <c:lblOffset val="100"/>
        <c:noMultiLvlLbl val="0"/>
      </c:catAx>
      <c:valAx>
        <c:axId val="2931564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3100185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'14'!$L$6:$L$21</c:f>
              <c:numCache>
                <c:formatCode>_(* #,##0_);_(* \(#,##0\);_(* "-"_);_(@_)</c:formatCode>
                <c:ptCount val="16"/>
                <c:pt idx="0">
                  <c:v>4520</c:v>
                </c:pt>
                <c:pt idx="2">
                  <c:v>12974</c:v>
                </c:pt>
                <c:pt idx="3">
                  <c:v>5012</c:v>
                </c:pt>
                <c:pt idx="4">
                  <c:v>800</c:v>
                </c:pt>
                <c:pt idx="5">
                  <c:v>8520</c:v>
                </c:pt>
                <c:pt idx="6">
                  <c:v>2586</c:v>
                </c:pt>
                <c:pt idx="7">
                  <c:v>1090</c:v>
                </c:pt>
                <c:pt idx="8">
                  <c:v>2608</c:v>
                </c:pt>
                <c:pt idx="11">
                  <c:v>12610</c:v>
                </c:pt>
                <c:pt idx="12">
                  <c:v>13116</c:v>
                </c:pt>
                <c:pt idx="13">
                  <c:v>6970</c:v>
                </c:pt>
                <c:pt idx="14">
                  <c:v>2970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'14'!$D$6:$D$21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'14'!$J$6:$J$21</c:f>
              <c:numCache>
                <c:formatCode>_(* #,##0_);_(* \(#,##0\);_(* "-"_);_(@_)</c:formatCode>
                <c:ptCount val="16"/>
                <c:pt idx="0">
                  <c:v>4520</c:v>
                </c:pt>
                <c:pt idx="1">
                  <c:v>15560</c:v>
                </c:pt>
                <c:pt idx="2">
                  <c:v>12980</c:v>
                </c:pt>
                <c:pt idx="3">
                  <c:v>5020</c:v>
                </c:pt>
                <c:pt idx="4">
                  <c:v>800</c:v>
                </c:pt>
                <c:pt idx="5">
                  <c:v>8520</c:v>
                </c:pt>
                <c:pt idx="6">
                  <c:v>2590</c:v>
                </c:pt>
                <c:pt idx="7">
                  <c:v>1090</c:v>
                </c:pt>
                <c:pt idx="8">
                  <c:v>2610</c:v>
                </c:pt>
                <c:pt idx="9">
                  <c:v>206</c:v>
                </c:pt>
                <c:pt idx="10">
                  <c:v>23320</c:v>
                </c:pt>
                <c:pt idx="11">
                  <c:v>12610</c:v>
                </c:pt>
                <c:pt idx="12">
                  <c:v>13120</c:v>
                </c:pt>
                <c:pt idx="13">
                  <c:v>6970</c:v>
                </c:pt>
                <c:pt idx="14">
                  <c:v>2970</c:v>
                </c:pt>
                <c:pt idx="15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595264"/>
        <c:axId val="344023616"/>
      </c:lineChart>
      <c:catAx>
        <c:axId val="33159526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4023616"/>
        <c:crosses val="autoZero"/>
        <c:auto val="1"/>
        <c:lblAlgn val="ctr"/>
        <c:lblOffset val="100"/>
        <c:noMultiLvlLbl val="0"/>
      </c:catAx>
      <c:valAx>
        <c:axId val="3440236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31595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'14'!$AD$6:$AD$21</c:f>
              <c:strCache>
                <c:ptCount val="1"/>
                <c:pt idx="0">
                  <c:v>100% 0% 100% 87% 21% 83% 67% 33% 58% 0% 0% 100% 100% 75% 50%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'14'!$D$6:$D$21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'14'!$AD$6:$AD$21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0.99953775038520798</c:v>
                </c:pt>
                <c:pt idx="3">
                  <c:v>0.87360557768924296</c:v>
                </c:pt>
                <c:pt idx="4">
                  <c:v>0.20833333333333334</c:v>
                </c:pt>
                <c:pt idx="5">
                  <c:v>0.83333333333333337</c:v>
                </c:pt>
                <c:pt idx="6">
                  <c:v>0.66563706563706559</c:v>
                </c:pt>
                <c:pt idx="7">
                  <c:v>0.33333333333333331</c:v>
                </c:pt>
                <c:pt idx="8">
                  <c:v>0.58288633461047257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0.99969512195121957</c:v>
                </c:pt>
                <c:pt idx="13">
                  <c:v>0.75</c:v>
                </c:pt>
                <c:pt idx="14">
                  <c:v>0.5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'14'!$D$6:$D$21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'14'!$AE$6:$AE$21</c:f>
              <c:numCache>
                <c:formatCode>0%</c:formatCode>
                <c:ptCount val="16"/>
                <c:pt idx="0">
                  <c:v>0.58309079001821407</c:v>
                </c:pt>
                <c:pt idx="1">
                  <c:v>0.58309079001821407</c:v>
                </c:pt>
                <c:pt idx="2">
                  <c:v>0.58309079001821407</c:v>
                </c:pt>
                <c:pt idx="3">
                  <c:v>0.58309079001821407</c:v>
                </c:pt>
                <c:pt idx="4">
                  <c:v>0.58309079001821407</c:v>
                </c:pt>
                <c:pt idx="5">
                  <c:v>0.58309079001821407</c:v>
                </c:pt>
                <c:pt idx="6">
                  <c:v>0.58309079001821407</c:v>
                </c:pt>
                <c:pt idx="7">
                  <c:v>0</c:v>
                </c:pt>
                <c:pt idx="8">
                  <c:v>0.58309079001821407</c:v>
                </c:pt>
                <c:pt idx="9">
                  <c:v>0.58309079001821407</c:v>
                </c:pt>
                <c:pt idx="10">
                  <c:v>0.58309079001821407</c:v>
                </c:pt>
                <c:pt idx="11">
                  <c:v>0.58309079001821407</c:v>
                </c:pt>
                <c:pt idx="12">
                  <c:v>0.58309079001821407</c:v>
                </c:pt>
                <c:pt idx="13">
                  <c:v>0.58309079001821407</c:v>
                </c:pt>
                <c:pt idx="14">
                  <c:v>0.58309079001821407</c:v>
                </c:pt>
                <c:pt idx="15">
                  <c:v>0.58309079001821407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601408"/>
        <c:axId val="344025344"/>
      </c:lineChart>
      <c:catAx>
        <c:axId val="33160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4025344"/>
        <c:crosses val="autoZero"/>
        <c:auto val="1"/>
        <c:lblAlgn val="ctr"/>
        <c:lblOffset val="100"/>
        <c:noMultiLvlLbl val="0"/>
      </c:catAx>
      <c:valAx>
        <c:axId val="34402534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31601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'14'!$L$6:$L$21</c:f>
              <c:numCache>
                <c:formatCode>_(* #,##0_);_(* \(#,##0\);_(* "-"_);_(@_)</c:formatCode>
                <c:ptCount val="16"/>
                <c:pt idx="0">
                  <c:v>4520</c:v>
                </c:pt>
                <c:pt idx="2">
                  <c:v>12974</c:v>
                </c:pt>
                <c:pt idx="3">
                  <c:v>5012</c:v>
                </c:pt>
                <c:pt idx="4">
                  <c:v>800</c:v>
                </c:pt>
                <c:pt idx="5">
                  <c:v>8520</c:v>
                </c:pt>
                <c:pt idx="6">
                  <c:v>2586</c:v>
                </c:pt>
                <c:pt idx="7">
                  <c:v>1090</c:v>
                </c:pt>
                <c:pt idx="8">
                  <c:v>2608</c:v>
                </c:pt>
                <c:pt idx="11">
                  <c:v>12610</c:v>
                </c:pt>
                <c:pt idx="12">
                  <c:v>13116</c:v>
                </c:pt>
                <c:pt idx="13">
                  <c:v>6970</c:v>
                </c:pt>
                <c:pt idx="14">
                  <c:v>2970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'14'!$D$6:$D$21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'14'!$J$6:$J$21</c:f>
              <c:numCache>
                <c:formatCode>_(* #,##0_);_(* \(#,##0\);_(* "-"_);_(@_)</c:formatCode>
                <c:ptCount val="16"/>
                <c:pt idx="0">
                  <c:v>4520</c:v>
                </c:pt>
                <c:pt idx="1">
                  <c:v>15560</c:v>
                </c:pt>
                <c:pt idx="2">
                  <c:v>12980</c:v>
                </c:pt>
                <c:pt idx="3">
                  <c:v>5020</c:v>
                </c:pt>
                <c:pt idx="4">
                  <c:v>800</c:v>
                </c:pt>
                <c:pt idx="5">
                  <c:v>8520</c:v>
                </c:pt>
                <c:pt idx="6">
                  <c:v>2590</c:v>
                </c:pt>
                <c:pt idx="7">
                  <c:v>1090</c:v>
                </c:pt>
                <c:pt idx="8">
                  <c:v>2610</c:v>
                </c:pt>
                <c:pt idx="9">
                  <c:v>206</c:v>
                </c:pt>
                <c:pt idx="10">
                  <c:v>23320</c:v>
                </c:pt>
                <c:pt idx="11">
                  <c:v>12610</c:v>
                </c:pt>
                <c:pt idx="12">
                  <c:v>13120</c:v>
                </c:pt>
                <c:pt idx="13">
                  <c:v>6970</c:v>
                </c:pt>
                <c:pt idx="14">
                  <c:v>2970</c:v>
                </c:pt>
                <c:pt idx="15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601920"/>
        <c:axId val="344027648"/>
      </c:lineChart>
      <c:catAx>
        <c:axId val="33160192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4027648"/>
        <c:crosses val="autoZero"/>
        <c:auto val="1"/>
        <c:lblAlgn val="ctr"/>
        <c:lblOffset val="100"/>
        <c:noMultiLvlLbl val="0"/>
      </c:catAx>
      <c:valAx>
        <c:axId val="3440276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31601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'14'!$AD$6:$AD$21</c:f>
              <c:strCache>
                <c:ptCount val="1"/>
                <c:pt idx="0">
                  <c:v>100% 0% 100% 87% 21% 83% 67% 33% 58% 0% 0% 100% 100% 75% 50%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'14'!$D$6:$D$21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'14'!$AD$6:$AD$21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0.99953775038520798</c:v>
                </c:pt>
                <c:pt idx="3">
                  <c:v>0.87360557768924296</c:v>
                </c:pt>
                <c:pt idx="4">
                  <c:v>0.20833333333333334</c:v>
                </c:pt>
                <c:pt idx="5">
                  <c:v>0.83333333333333337</c:v>
                </c:pt>
                <c:pt idx="6">
                  <c:v>0.66563706563706559</c:v>
                </c:pt>
                <c:pt idx="7">
                  <c:v>0.33333333333333331</c:v>
                </c:pt>
                <c:pt idx="8">
                  <c:v>0.58288633461047257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0.99969512195121957</c:v>
                </c:pt>
                <c:pt idx="13">
                  <c:v>0.75</c:v>
                </c:pt>
                <c:pt idx="14">
                  <c:v>0.5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'14'!$D$6:$D$21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LED 6V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'14'!$AE$6:$AE$21</c:f>
              <c:numCache>
                <c:formatCode>0%</c:formatCode>
                <c:ptCount val="16"/>
                <c:pt idx="0">
                  <c:v>0.58309079001821407</c:v>
                </c:pt>
                <c:pt idx="1">
                  <c:v>0.58309079001821407</c:v>
                </c:pt>
                <c:pt idx="2">
                  <c:v>0.58309079001821407</c:v>
                </c:pt>
                <c:pt idx="3">
                  <c:v>0.58309079001821407</c:v>
                </c:pt>
                <c:pt idx="4">
                  <c:v>0.58309079001821407</c:v>
                </c:pt>
                <c:pt idx="5">
                  <c:v>0.58309079001821407</c:v>
                </c:pt>
                <c:pt idx="6">
                  <c:v>0.58309079001821407</c:v>
                </c:pt>
                <c:pt idx="7">
                  <c:v>0</c:v>
                </c:pt>
                <c:pt idx="8">
                  <c:v>0.58309079001821407</c:v>
                </c:pt>
                <c:pt idx="9">
                  <c:v>0.58309079001821407</c:v>
                </c:pt>
                <c:pt idx="10">
                  <c:v>0.58309079001821407</c:v>
                </c:pt>
                <c:pt idx="11">
                  <c:v>0.58309079001821407</c:v>
                </c:pt>
                <c:pt idx="12">
                  <c:v>0.58309079001821407</c:v>
                </c:pt>
                <c:pt idx="13">
                  <c:v>0.58309079001821407</c:v>
                </c:pt>
                <c:pt idx="14">
                  <c:v>0.58309079001821407</c:v>
                </c:pt>
                <c:pt idx="15">
                  <c:v>0.58309079001821407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603456"/>
        <c:axId val="344029376"/>
      </c:lineChart>
      <c:catAx>
        <c:axId val="33160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4029376"/>
        <c:crosses val="autoZero"/>
        <c:auto val="1"/>
        <c:lblAlgn val="ctr"/>
        <c:lblOffset val="100"/>
        <c:noMultiLvlLbl val="0"/>
      </c:catAx>
      <c:valAx>
        <c:axId val="3440293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31603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2206080"/>
        <c:axId val="34465440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206080"/>
        <c:axId val="344654400"/>
      </c:lineChart>
      <c:catAx>
        <c:axId val="332206080"/>
        <c:scaling>
          <c:orientation val="minMax"/>
        </c:scaling>
        <c:delete val="0"/>
        <c:axPos val="b"/>
        <c:majorTickMark val="out"/>
        <c:minorTickMark val="none"/>
        <c:tickLblPos val="nextTo"/>
        <c:crossAx val="344654400"/>
        <c:crosses val="autoZero"/>
        <c:auto val="1"/>
        <c:lblAlgn val="ctr"/>
        <c:lblOffset val="100"/>
        <c:noMultiLvlLbl val="0"/>
      </c:catAx>
      <c:valAx>
        <c:axId val="3446544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3220608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'19'!$L$6:$L$20</c:f>
              <c:numCache>
                <c:formatCode>_(* #,##0_);_(* \(#,##0\);_(* "-"_);_(@_)</c:formatCode>
                <c:ptCount val="15"/>
                <c:pt idx="0">
                  <c:v>3911</c:v>
                </c:pt>
                <c:pt idx="2">
                  <c:v>10368</c:v>
                </c:pt>
                <c:pt idx="3">
                  <c:v>5382</c:v>
                </c:pt>
                <c:pt idx="5">
                  <c:v>10258</c:v>
                </c:pt>
                <c:pt idx="6">
                  <c:v>3611</c:v>
                </c:pt>
                <c:pt idx="7">
                  <c:v>3346</c:v>
                </c:pt>
                <c:pt idx="10">
                  <c:v>10598</c:v>
                </c:pt>
                <c:pt idx="11">
                  <c:v>11222</c:v>
                </c:pt>
                <c:pt idx="12">
                  <c:v>9172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'19'!$D$6:$D$20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'19'!$J$6:$J$20</c:f>
              <c:numCache>
                <c:formatCode>_(* #,##0_);_(* \(#,##0\);_(* "-"_);_(@_)</c:formatCode>
                <c:ptCount val="15"/>
                <c:pt idx="0">
                  <c:v>4520</c:v>
                </c:pt>
                <c:pt idx="1">
                  <c:v>15560</c:v>
                </c:pt>
                <c:pt idx="2">
                  <c:v>10370</c:v>
                </c:pt>
                <c:pt idx="3">
                  <c:v>5390</c:v>
                </c:pt>
                <c:pt idx="4">
                  <c:v>800</c:v>
                </c:pt>
                <c:pt idx="5">
                  <c:v>10260</c:v>
                </c:pt>
                <c:pt idx="6">
                  <c:v>3620</c:v>
                </c:pt>
                <c:pt idx="7">
                  <c:v>3350</c:v>
                </c:pt>
                <c:pt idx="8">
                  <c:v>206</c:v>
                </c:pt>
                <c:pt idx="9">
                  <c:v>23320</c:v>
                </c:pt>
                <c:pt idx="10">
                  <c:v>10600</c:v>
                </c:pt>
                <c:pt idx="11">
                  <c:v>11230</c:v>
                </c:pt>
                <c:pt idx="12">
                  <c:v>9180</c:v>
                </c:pt>
                <c:pt idx="13">
                  <c:v>2970</c:v>
                </c:pt>
                <c:pt idx="14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550144"/>
        <c:axId val="344657280"/>
      </c:lineChart>
      <c:catAx>
        <c:axId val="3325501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4657280"/>
        <c:crosses val="autoZero"/>
        <c:auto val="1"/>
        <c:lblAlgn val="ctr"/>
        <c:lblOffset val="100"/>
        <c:noMultiLvlLbl val="0"/>
      </c:catAx>
      <c:valAx>
        <c:axId val="3446572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32550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'19'!$AD$6:$AD$20</c:f>
              <c:strCache>
                <c:ptCount val="1"/>
                <c:pt idx="0">
                  <c:v>83% 0% 100% 100% 0% 100% 83% 83% 0% 0% 100% 100% 100%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'19'!$D$6:$D$20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'19'!$AD$6:$AD$20</c:f>
              <c:numCache>
                <c:formatCode>0%</c:formatCode>
                <c:ptCount val="15"/>
                <c:pt idx="0">
                  <c:v>0.82921275811209438</c:v>
                </c:pt>
                <c:pt idx="1">
                  <c:v>0</c:v>
                </c:pt>
                <c:pt idx="2">
                  <c:v>0.99980713596914172</c:v>
                </c:pt>
                <c:pt idx="3">
                  <c:v>0.99851576994434132</c:v>
                </c:pt>
                <c:pt idx="4">
                  <c:v>0</c:v>
                </c:pt>
                <c:pt idx="5">
                  <c:v>0.99980506822612081</c:v>
                </c:pt>
                <c:pt idx="6">
                  <c:v>0.83126151012891347</c:v>
                </c:pt>
                <c:pt idx="7">
                  <c:v>0.83233830845771151</c:v>
                </c:pt>
                <c:pt idx="8">
                  <c:v>0</c:v>
                </c:pt>
                <c:pt idx="9">
                  <c:v>0</c:v>
                </c:pt>
                <c:pt idx="10">
                  <c:v>0.99981132075471701</c:v>
                </c:pt>
                <c:pt idx="11">
                  <c:v>0.99928762243989311</c:v>
                </c:pt>
                <c:pt idx="12">
                  <c:v>0.99912854030501086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'19'!$D$6:$D$20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'19'!$AE$6:$AE$20</c:f>
              <c:numCache>
                <c:formatCode>0%</c:formatCode>
                <c:ptCount val="15"/>
                <c:pt idx="0">
                  <c:v>0.56594453562252967</c:v>
                </c:pt>
                <c:pt idx="1">
                  <c:v>0.56594453562252967</c:v>
                </c:pt>
                <c:pt idx="2">
                  <c:v>0.56594453562252967</c:v>
                </c:pt>
                <c:pt idx="3">
                  <c:v>0.56594453562252967</c:v>
                </c:pt>
                <c:pt idx="4">
                  <c:v>0.56594453562252967</c:v>
                </c:pt>
                <c:pt idx="5">
                  <c:v>0.56594453562252967</c:v>
                </c:pt>
                <c:pt idx="6">
                  <c:v>0.56594453562252967</c:v>
                </c:pt>
                <c:pt idx="7">
                  <c:v>0.56594453562252967</c:v>
                </c:pt>
                <c:pt idx="8">
                  <c:v>0.56594453562252967</c:v>
                </c:pt>
                <c:pt idx="9">
                  <c:v>0.56594453562252967</c:v>
                </c:pt>
                <c:pt idx="10">
                  <c:v>0.56594453562252967</c:v>
                </c:pt>
                <c:pt idx="11">
                  <c:v>0.56594453562252967</c:v>
                </c:pt>
                <c:pt idx="12">
                  <c:v>0.56594453562252967</c:v>
                </c:pt>
                <c:pt idx="13">
                  <c:v>0.56594453562252967</c:v>
                </c:pt>
                <c:pt idx="14">
                  <c:v>0.56594453562252967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551680"/>
        <c:axId val="344659008"/>
      </c:lineChart>
      <c:catAx>
        <c:axId val="332551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4659008"/>
        <c:crosses val="autoZero"/>
        <c:auto val="1"/>
        <c:lblAlgn val="ctr"/>
        <c:lblOffset val="100"/>
        <c:noMultiLvlLbl val="0"/>
      </c:catAx>
      <c:valAx>
        <c:axId val="3446590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32551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'19'!$L$6:$L$20</c:f>
              <c:numCache>
                <c:formatCode>_(* #,##0_);_(* \(#,##0\);_(* "-"_);_(@_)</c:formatCode>
                <c:ptCount val="15"/>
                <c:pt idx="0">
                  <c:v>3911</c:v>
                </c:pt>
                <c:pt idx="2">
                  <c:v>10368</c:v>
                </c:pt>
                <c:pt idx="3">
                  <c:v>5382</c:v>
                </c:pt>
                <c:pt idx="5">
                  <c:v>10258</c:v>
                </c:pt>
                <c:pt idx="6">
                  <c:v>3611</c:v>
                </c:pt>
                <c:pt idx="7">
                  <c:v>3346</c:v>
                </c:pt>
                <c:pt idx="10">
                  <c:v>10598</c:v>
                </c:pt>
                <c:pt idx="11">
                  <c:v>11222</c:v>
                </c:pt>
                <c:pt idx="12">
                  <c:v>9172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'19'!$D$6:$D$20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'19'!$J$6:$J$20</c:f>
              <c:numCache>
                <c:formatCode>_(* #,##0_);_(* \(#,##0\);_(* "-"_);_(@_)</c:formatCode>
                <c:ptCount val="15"/>
                <c:pt idx="0">
                  <c:v>4520</c:v>
                </c:pt>
                <c:pt idx="1">
                  <c:v>15560</c:v>
                </c:pt>
                <c:pt idx="2">
                  <c:v>10370</c:v>
                </c:pt>
                <c:pt idx="3">
                  <c:v>5390</c:v>
                </c:pt>
                <c:pt idx="4">
                  <c:v>800</c:v>
                </c:pt>
                <c:pt idx="5">
                  <c:v>10260</c:v>
                </c:pt>
                <c:pt idx="6">
                  <c:v>3620</c:v>
                </c:pt>
                <c:pt idx="7">
                  <c:v>3350</c:v>
                </c:pt>
                <c:pt idx="8">
                  <c:v>206</c:v>
                </c:pt>
                <c:pt idx="9">
                  <c:v>23320</c:v>
                </c:pt>
                <c:pt idx="10">
                  <c:v>10600</c:v>
                </c:pt>
                <c:pt idx="11">
                  <c:v>11230</c:v>
                </c:pt>
                <c:pt idx="12">
                  <c:v>9180</c:v>
                </c:pt>
                <c:pt idx="13">
                  <c:v>2970</c:v>
                </c:pt>
                <c:pt idx="14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552192"/>
        <c:axId val="344661312"/>
      </c:lineChart>
      <c:catAx>
        <c:axId val="3325521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4661312"/>
        <c:crosses val="autoZero"/>
        <c:auto val="1"/>
        <c:lblAlgn val="ctr"/>
        <c:lblOffset val="100"/>
        <c:noMultiLvlLbl val="0"/>
      </c:catAx>
      <c:valAx>
        <c:axId val="3446613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32552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'19'!$AD$6:$AD$20</c:f>
              <c:strCache>
                <c:ptCount val="1"/>
                <c:pt idx="0">
                  <c:v>83% 0% 100% 100% 0% 100% 83% 83% 0% 0% 100% 100% 100%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'19'!$D$6:$D$20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'19'!$AD$6:$AD$20</c:f>
              <c:numCache>
                <c:formatCode>0%</c:formatCode>
                <c:ptCount val="15"/>
                <c:pt idx="0">
                  <c:v>0.82921275811209438</c:v>
                </c:pt>
                <c:pt idx="1">
                  <c:v>0</c:v>
                </c:pt>
                <c:pt idx="2">
                  <c:v>0.99980713596914172</c:v>
                </c:pt>
                <c:pt idx="3">
                  <c:v>0.99851576994434132</c:v>
                </c:pt>
                <c:pt idx="4">
                  <c:v>0</c:v>
                </c:pt>
                <c:pt idx="5">
                  <c:v>0.99980506822612081</c:v>
                </c:pt>
                <c:pt idx="6">
                  <c:v>0.83126151012891347</c:v>
                </c:pt>
                <c:pt idx="7">
                  <c:v>0.83233830845771151</c:v>
                </c:pt>
                <c:pt idx="8">
                  <c:v>0</c:v>
                </c:pt>
                <c:pt idx="9">
                  <c:v>0</c:v>
                </c:pt>
                <c:pt idx="10">
                  <c:v>0.99981132075471701</c:v>
                </c:pt>
                <c:pt idx="11">
                  <c:v>0.99928762243989311</c:v>
                </c:pt>
                <c:pt idx="12">
                  <c:v>0.99912854030501086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'19'!$D$6:$D$20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'19'!$AE$6:$AE$20</c:f>
              <c:numCache>
                <c:formatCode>0%</c:formatCode>
                <c:ptCount val="15"/>
                <c:pt idx="0">
                  <c:v>0.56594453562252967</c:v>
                </c:pt>
                <c:pt idx="1">
                  <c:v>0.56594453562252967</c:v>
                </c:pt>
                <c:pt idx="2">
                  <c:v>0.56594453562252967</c:v>
                </c:pt>
                <c:pt idx="3">
                  <c:v>0.56594453562252967</c:v>
                </c:pt>
                <c:pt idx="4">
                  <c:v>0.56594453562252967</c:v>
                </c:pt>
                <c:pt idx="5">
                  <c:v>0.56594453562252967</c:v>
                </c:pt>
                <c:pt idx="6">
                  <c:v>0.56594453562252967</c:v>
                </c:pt>
                <c:pt idx="7">
                  <c:v>0.56594453562252967</c:v>
                </c:pt>
                <c:pt idx="8">
                  <c:v>0.56594453562252967</c:v>
                </c:pt>
                <c:pt idx="9">
                  <c:v>0.56594453562252967</c:v>
                </c:pt>
                <c:pt idx="10">
                  <c:v>0.56594453562252967</c:v>
                </c:pt>
                <c:pt idx="11">
                  <c:v>0.56594453562252967</c:v>
                </c:pt>
                <c:pt idx="12">
                  <c:v>0.56594453562252967</c:v>
                </c:pt>
                <c:pt idx="13">
                  <c:v>0.56594453562252967</c:v>
                </c:pt>
                <c:pt idx="14">
                  <c:v>0.56594453562252967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553216"/>
        <c:axId val="344769664"/>
      </c:lineChart>
      <c:catAx>
        <c:axId val="33255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4769664"/>
        <c:crosses val="autoZero"/>
        <c:auto val="1"/>
        <c:lblAlgn val="ctr"/>
        <c:lblOffset val="100"/>
        <c:noMultiLvlLbl val="0"/>
      </c:catAx>
      <c:valAx>
        <c:axId val="3447696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32553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2206592"/>
        <c:axId val="34477196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206592"/>
        <c:axId val="344771968"/>
      </c:lineChart>
      <c:catAx>
        <c:axId val="332206592"/>
        <c:scaling>
          <c:orientation val="minMax"/>
        </c:scaling>
        <c:delete val="0"/>
        <c:axPos val="b"/>
        <c:majorTickMark val="out"/>
        <c:minorTickMark val="none"/>
        <c:tickLblPos val="nextTo"/>
        <c:crossAx val="344771968"/>
        <c:crosses val="autoZero"/>
        <c:auto val="1"/>
        <c:lblAlgn val="ctr"/>
        <c:lblOffset val="100"/>
        <c:noMultiLvlLbl val="0"/>
      </c:catAx>
      <c:valAx>
        <c:axId val="3447719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3220659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'20'!$D$6:$D$22</c:f>
              <c:strCache>
                <c:ptCount val="16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SEPARATOR</c:v>
                </c:pt>
                <c:pt idx="6">
                  <c:v>SLIDER</c:v>
                </c:pt>
                <c:pt idx="7">
                  <c:v>TOP/BOTTOM</c:v>
                </c:pt>
                <c:pt idx="8">
                  <c:v>STOPPER</c:v>
                </c:pt>
                <c:pt idx="9">
                  <c:v>LEAD GUIDE</c:v>
                </c:pt>
                <c:pt idx="10">
                  <c:v>BASE</c:v>
                </c:pt>
                <c:pt idx="11">
                  <c:v>LED 6V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  <c:pt idx="15">
                  <c:v>SPACER A,B,C</c:v>
                </c:pt>
              </c:strCache>
            </c:strRef>
          </c:cat>
          <c:val>
            <c:numRef>
              <c:f>'20'!$L$6:$L$22</c:f>
              <c:numCache>
                <c:formatCode>_(* #,##0_);_(* \(#,##0\);_(* "-"_);_(@_)</c:formatCode>
                <c:ptCount val="17"/>
                <c:pt idx="0">
                  <c:v>4873</c:v>
                </c:pt>
                <c:pt idx="2">
                  <c:v>11452</c:v>
                </c:pt>
                <c:pt idx="3">
                  <c:v>1865</c:v>
                </c:pt>
                <c:pt idx="4">
                  <c:v>0</c:v>
                </c:pt>
                <c:pt idx="6">
                  <c:v>8998</c:v>
                </c:pt>
                <c:pt idx="7">
                  <c:v>1223</c:v>
                </c:pt>
                <c:pt idx="8">
                  <c:v>3335</c:v>
                </c:pt>
                <c:pt idx="9">
                  <c:v>5843</c:v>
                </c:pt>
                <c:pt idx="12">
                  <c:v>11958</c:v>
                </c:pt>
                <c:pt idx="13">
                  <c:v>12044</c:v>
                </c:pt>
                <c:pt idx="14">
                  <c:v>10126</c:v>
                </c:pt>
                <c:pt idx="15">
                  <c:v>3630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'20'!$D$6:$D$22</c:f>
              <c:strCache>
                <c:ptCount val="16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SEPARATOR</c:v>
                </c:pt>
                <c:pt idx="6">
                  <c:v>SLIDER</c:v>
                </c:pt>
                <c:pt idx="7">
                  <c:v>TOP/BOTTOM</c:v>
                </c:pt>
                <c:pt idx="8">
                  <c:v>STOPPER</c:v>
                </c:pt>
                <c:pt idx="9">
                  <c:v>LEAD GUIDE</c:v>
                </c:pt>
                <c:pt idx="10">
                  <c:v>BASE</c:v>
                </c:pt>
                <c:pt idx="11">
                  <c:v>LED 6V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  <c:pt idx="15">
                  <c:v>SPACER A,B,C</c:v>
                </c:pt>
              </c:strCache>
            </c:strRef>
          </c:cat>
          <c:val>
            <c:numRef>
              <c:f>'20'!$J$6:$J$22</c:f>
              <c:numCache>
                <c:formatCode>_(* #,##0_);_(* \(#,##0\);_(* "-"_);_(@_)</c:formatCode>
                <c:ptCount val="17"/>
                <c:pt idx="0">
                  <c:v>4880</c:v>
                </c:pt>
                <c:pt idx="1">
                  <c:v>15560</c:v>
                </c:pt>
                <c:pt idx="2">
                  <c:v>11460</c:v>
                </c:pt>
                <c:pt idx="3">
                  <c:v>1870</c:v>
                </c:pt>
                <c:pt idx="4">
                  <c:v>1870</c:v>
                </c:pt>
                <c:pt idx="5">
                  <c:v>800</c:v>
                </c:pt>
                <c:pt idx="6">
                  <c:v>9000</c:v>
                </c:pt>
                <c:pt idx="7">
                  <c:v>1230</c:v>
                </c:pt>
                <c:pt idx="8">
                  <c:v>3340</c:v>
                </c:pt>
                <c:pt idx="9">
                  <c:v>5850</c:v>
                </c:pt>
                <c:pt idx="10">
                  <c:v>206</c:v>
                </c:pt>
                <c:pt idx="11">
                  <c:v>23320</c:v>
                </c:pt>
                <c:pt idx="12">
                  <c:v>11960</c:v>
                </c:pt>
                <c:pt idx="13">
                  <c:v>12050</c:v>
                </c:pt>
                <c:pt idx="14">
                  <c:v>10130</c:v>
                </c:pt>
                <c:pt idx="15">
                  <c:v>3630</c:v>
                </c:pt>
                <c:pt idx="16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889536"/>
        <c:axId val="344774848"/>
      </c:lineChart>
      <c:catAx>
        <c:axId val="3338895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4774848"/>
        <c:crosses val="autoZero"/>
        <c:auto val="1"/>
        <c:lblAlgn val="ctr"/>
        <c:lblOffset val="100"/>
        <c:noMultiLvlLbl val="0"/>
      </c:catAx>
      <c:valAx>
        <c:axId val="3447748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33889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'20'!$AD$6:$AD$22</c:f>
              <c:strCache>
                <c:ptCount val="1"/>
                <c:pt idx="0">
                  <c:v>100% 0% 100% 25% 0% 0% 92% 21% 75% 100% 0% 0% 100% 100% 100% 58%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'20'!$D$6:$D$22</c:f>
              <c:strCache>
                <c:ptCount val="16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SEPARATOR</c:v>
                </c:pt>
                <c:pt idx="6">
                  <c:v>SLIDER</c:v>
                </c:pt>
                <c:pt idx="7">
                  <c:v>TOP/BOTTOM</c:v>
                </c:pt>
                <c:pt idx="8">
                  <c:v>STOPPER</c:v>
                </c:pt>
                <c:pt idx="9">
                  <c:v>LEAD GUIDE</c:v>
                </c:pt>
                <c:pt idx="10">
                  <c:v>BASE</c:v>
                </c:pt>
                <c:pt idx="11">
                  <c:v>LED 6V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  <c:pt idx="15">
                  <c:v>SPACER A,B,C</c:v>
                </c:pt>
              </c:strCache>
            </c:strRef>
          </c:cat>
          <c:val>
            <c:numRef>
              <c:f>'20'!$AD$6:$AD$22</c:f>
              <c:numCache>
                <c:formatCode>0%</c:formatCode>
                <c:ptCount val="17"/>
                <c:pt idx="0">
                  <c:v>0.99856557377049182</c:v>
                </c:pt>
                <c:pt idx="1">
                  <c:v>0</c:v>
                </c:pt>
                <c:pt idx="2">
                  <c:v>0.99930191972076787</c:v>
                </c:pt>
                <c:pt idx="3">
                  <c:v>0.24933155080213903</c:v>
                </c:pt>
                <c:pt idx="4">
                  <c:v>0</c:v>
                </c:pt>
                <c:pt idx="5">
                  <c:v>0</c:v>
                </c:pt>
                <c:pt idx="6">
                  <c:v>0.91646296296296292</c:v>
                </c:pt>
                <c:pt idx="7">
                  <c:v>0.20714769647696477</c:v>
                </c:pt>
                <c:pt idx="8">
                  <c:v>0.74887724550898205</c:v>
                </c:pt>
                <c:pt idx="9">
                  <c:v>0.99880341880341883</c:v>
                </c:pt>
                <c:pt idx="10">
                  <c:v>0</c:v>
                </c:pt>
                <c:pt idx="11">
                  <c:v>0</c:v>
                </c:pt>
                <c:pt idx="12">
                  <c:v>0.99983277591973241</c:v>
                </c:pt>
                <c:pt idx="13">
                  <c:v>0.9995020746887967</c:v>
                </c:pt>
                <c:pt idx="14">
                  <c:v>0.99960513326752221</c:v>
                </c:pt>
                <c:pt idx="15">
                  <c:v>0.58333333333333337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'20'!$D$6:$D$22</c:f>
              <c:strCache>
                <c:ptCount val="16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SEPARATOR</c:v>
                </c:pt>
                <c:pt idx="6">
                  <c:v>SLIDER</c:v>
                </c:pt>
                <c:pt idx="7">
                  <c:v>TOP/BOTTOM</c:v>
                </c:pt>
                <c:pt idx="8">
                  <c:v>STOPPER</c:v>
                </c:pt>
                <c:pt idx="9">
                  <c:v>LEAD GUIDE</c:v>
                </c:pt>
                <c:pt idx="10">
                  <c:v>BASE</c:v>
                </c:pt>
                <c:pt idx="11">
                  <c:v>LED 6V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  <c:pt idx="15">
                  <c:v>SPACER A,B,C</c:v>
                </c:pt>
              </c:strCache>
            </c:strRef>
          </c:cat>
          <c:val>
            <c:numRef>
              <c:f>'20'!$AE$6:$AE$22</c:f>
              <c:numCache>
                <c:formatCode>0%</c:formatCode>
                <c:ptCount val="17"/>
                <c:pt idx="0">
                  <c:v>0.5800509123503409</c:v>
                </c:pt>
                <c:pt idx="1">
                  <c:v>0.5800509123503409</c:v>
                </c:pt>
                <c:pt idx="2">
                  <c:v>0.5800509123503409</c:v>
                </c:pt>
                <c:pt idx="3">
                  <c:v>0.5800509123503409</c:v>
                </c:pt>
                <c:pt idx="4">
                  <c:v>0.5800509123503409</c:v>
                </c:pt>
                <c:pt idx="5">
                  <c:v>0.5800509123503409</c:v>
                </c:pt>
                <c:pt idx="6">
                  <c:v>0.5800509123503409</c:v>
                </c:pt>
                <c:pt idx="7">
                  <c:v>0.5800509123503409</c:v>
                </c:pt>
                <c:pt idx="8">
                  <c:v>0.5800509123503409</c:v>
                </c:pt>
                <c:pt idx="9">
                  <c:v>0.5800509123503409</c:v>
                </c:pt>
                <c:pt idx="10">
                  <c:v>0.5800509123503409</c:v>
                </c:pt>
                <c:pt idx="11">
                  <c:v>0.5800509123503409</c:v>
                </c:pt>
                <c:pt idx="12">
                  <c:v>0.5800509123503409</c:v>
                </c:pt>
                <c:pt idx="13">
                  <c:v>0.5800509123503409</c:v>
                </c:pt>
                <c:pt idx="14">
                  <c:v>0.5800509123503409</c:v>
                </c:pt>
                <c:pt idx="15">
                  <c:v>0.5800509123503409</c:v>
                </c:pt>
                <c:pt idx="16">
                  <c:v>0.5800509123503409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891072"/>
        <c:axId val="343785472"/>
      </c:lineChart>
      <c:catAx>
        <c:axId val="33389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3785472"/>
        <c:crosses val="autoZero"/>
        <c:auto val="1"/>
        <c:lblAlgn val="ctr"/>
        <c:lblOffset val="100"/>
        <c:noMultiLvlLbl val="0"/>
      </c:catAx>
      <c:valAx>
        <c:axId val="343785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33891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'20'!$D$6:$D$22</c:f>
              <c:strCache>
                <c:ptCount val="16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SEPARATOR</c:v>
                </c:pt>
                <c:pt idx="6">
                  <c:v>SLIDER</c:v>
                </c:pt>
                <c:pt idx="7">
                  <c:v>TOP/BOTTOM</c:v>
                </c:pt>
                <c:pt idx="8">
                  <c:v>STOPPER</c:v>
                </c:pt>
                <c:pt idx="9">
                  <c:v>LEAD GUIDE</c:v>
                </c:pt>
                <c:pt idx="10">
                  <c:v>BASE</c:v>
                </c:pt>
                <c:pt idx="11">
                  <c:v>LED 6V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  <c:pt idx="15">
                  <c:v>SPACER A,B,C</c:v>
                </c:pt>
              </c:strCache>
            </c:strRef>
          </c:cat>
          <c:val>
            <c:numRef>
              <c:f>'20'!$L$6:$L$22</c:f>
              <c:numCache>
                <c:formatCode>_(* #,##0_);_(* \(#,##0\);_(* "-"_);_(@_)</c:formatCode>
                <c:ptCount val="17"/>
                <c:pt idx="0">
                  <c:v>4873</c:v>
                </c:pt>
                <c:pt idx="2">
                  <c:v>11452</c:v>
                </c:pt>
                <c:pt idx="3">
                  <c:v>1865</c:v>
                </c:pt>
                <c:pt idx="4">
                  <c:v>0</c:v>
                </c:pt>
                <c:pt idx="6">
                  <c:v>8998</c:v>
                </c:pt>
                <c:pt idx="7">
                  <c:v>1223</c:v>
                </c:pt>
                <c:pt idx="8">
                  <c:v>3335</c:v>
                </c:pt>
                <c:pt idx="9">
                  <c:v>5843</c:v>
                </c:pt>
                <c:pt idx="12">
                  <c:v>11958</c:v>
                </c:pt>
                <c:pt idx="13">
                  <c:v>12044</c:v>
                </c:pt>
                <c:pt idx="14">
                  <c:v>10126</c:v>
                </c:pt>
                <c:pt idx="15">
                  <c:v>3630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'20'!$D$6:$D$22</c:f>
              <c:strCache>
                <c:ptCount val="16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SEPARATOR</c:v>
                </c:pt>
                <c:pt idx="6">
                  <c:v>SLIDER</c:v>
                </c:pt>
                <c:pt idx="7">
                  <c:v>TOP/BOTTOM</c:v>
                </c:pt>
                <c:pt idx="8">
                  <c:v>STOPPER</c:v>
                </c:pt>
                <c:pt idx="9">
                  <c:v>LEAD GUIDE</c:v>
                </c:pt>
                <c:pt idx="10">
                  <c:v>BASE</c:v>
                </c:pt>
                <c:pt idx="11">
                  <c:v>LED 6V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  <c:pt idx="15">
                  <c:v>SPACER A,B,C</c:v>
                </c:pt>
              </c:strCache>
            </c:strRef>
          </c:cat>
          <c:val>
            <c:numRef>
              <c:f>'20'!$J$6:$J$22</c:f>
              <c:numCache>
                <c:formatCode>_(* #,##0_);_(* \(#,##0\);_(* "-"_);_(@_)</c:formatCode>
                <c:ptCount val="17"/>
                <c:pt idx="0">
                  <c:v>4880</c:v>
                </c:pt>
                <c:pt idx="1">
                  <c:v>15560</c:v>
                </c:pt>
                <c:pt idx="2">
                  <c:v>11460</c:v>
                </c:pt>
                <c:pt idx="3">
                  <c:v>1870</c:v>
                </c:pt>
                <c:pt idx="4">
                  <c:v>1870</c:v>
                </c:pt>
                <c:pt idx="5">
                  <c:v>800</c:v>
                </c:pt>
                <c:pt idx="6">
                  <c:v>9000</c:v>
                </c:pt>
                <c:pt idx="7">
                  <c:v>1230</c:v>
                </c:pt>
                <c:pt idx="8">
                  <c:v>3340</c:v>
                </c:pt>
                <c:pt idx="9">
                  <c:v>5850</c:v>
                </c:pt>
                <c:pt idx="10">
                  <c:v>206</c:v>
                </c:pt>
                <c:pt idx="11">
                  <c:v>23320</c:v>
                </c:pt>
                <c:pt idx="12">
                  <c:v>11960</c:v>
                </c:pt>
                <c:pt idx="13">
                  <c:v>12050</c:v>
                </c:pt>
                <c:pt idx="14">
                  <c:v>10130</c:v>
                </c:pt>
                <c:pt idx="15">
                  <c:v>3630</c:v>
                </c:pt>
                <c:pt idx="16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891584"/>
        <c:axId val="343787776"/>
      </c:lineChart>
      <c:catAx>
        <c:axId val="33389158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3787776"/>
        <c:crosses val="autoZero"/>
        <c:auto val="1"/>
        <c:lblAlgn val="ctr"/>
        <c:lblOffset val="100"/>
        <c:noMultiLvlLbl val="0"/>
      </c:catAx>
      <c:valAx>
        <c:axId val="3437877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33891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'20'!$AD$6:$AD$22</c:f>
              <c:strCache>
                <c:ptCount val="1"/>
                <c:pt idx="0">
                  <c:v>100% 0% 100% 25% 0% 0% 92% 21% 75% 100% 0% 0% 100% 100% 100% 58%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'20'!$D$6:$D$22</c:f>
              <c:strCache>
                <c:ptCount val="16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SEPARATOR</c:v>
                </c:pt>
                <c:pt idx="6">
                  <c:v>SLIDER</c:v>
                </c:pt>
                <c:pt idx="7">
                  <c:v>TOP/BOTTOM</c:v>
                </c:pt>
                <c:pt idx="8">
                  <c:v>STOPPER</c:v>
                </c:pt>
                <c:pt idx="9">
                  <c:v>LEAD GUIDE</c:v>
                </c:pt>
                <c:pt idx="10">
                  <c:v>BASE</c:v>
                </c:pt>
                <c:pt idx="11">
                  <c:v>LED 6V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  <c:pt idx="15">
                  <c:v>SPACER A,B,C</c:v>
                </c:pt>
              </c:strCache>
            </c:strRef>
          </c:cat>
          <c:val>
            <c:numRef>
              <c:f>'20'!$AD$6:$AD$22</c:f>
              <c:numCache>
                <c:formatCode>0%</c:formatCode>
                <c:ptCount val="17"/>
                <c:pt idx="0">
                  <c:v>0.99856557377049182</c:v>
                </c:pt>
                <c:pt idx="1">
                  <c:v>0</c:v>
                </c:pt>
                <c:pt idx="2">
                  <c:v>0.99930191972076787</c:v>
                </c:pt>
                <c:pt idx="3">
                  <c:v>0.24933155080213903</c:v>
                </c:pt>
                <c:pt idx="4">
                  <c:v>0</c:v>
                </c:pt>
                <c:pt idx="5">
                  <c:v>0</c:v>
                </c:pt>
                <c:pt idx="6">
                  <c:v>0.91646296296296292</c:v>
                </c:pt>
                <c:pt idx="7">
                  <c:v>0.20714769647696477</c:v>
                </c:pt>
                <c:pt idx="8">
                  <c:v>0.74887724550898205</c:v>
                </c:pt>
                <c:pt idx="9">
                  <c:v>0.99880341880341883</c:v>
                </c:pt>
                <c:pt idx="10">
                  <c:v>0</c:v>
                </c:pt>
                <c:pt idx="11">
                  <c:v>0</c:v>
                </c:pt>
                <c:pt idx="12">
                  <c:v>0.99983277591973241</c:v>
                </c:pt>
                <c:pt idx="13">
                  <c:v>0.9995020746887967</c:v>
                </c:pt>
                <c:pt idx="14">
                  <c:v>0.99960513326752221</c:v>
                </c:pt>
                <c:pt idx="15">
                  <c:v>0.58333333333333337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'20'!$D$6:$D$22</c:f>
              <c:strCache>
                <c:ptCount val="16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SEPARATOR</c:v>
                </c:pt>
                <c:pt idx="6">
                  <c:v>SLIDER</c:v>
                </c:pt>
                <c:pt idx="7">
                  <c:v>TOP/BOTTOM</c:v>
                </c:pt>
                <c:pt idx="8">
                  <c:v>STOPPER</c:v>
                </c:pt>
                <c:pt idx="9">
                  <c:v>LEAD GUIDE</c:v>
                </c:pt>
                <c:pt idx="10">
                  <c:v>BASE</c:v>
                </c:pt>
                <c:pt idx="11">
                  <c:v>LED 6V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  <c:pt idx="15">
                  <c:v>SPACER A,B,C</c:v>
                </c:pt>
              </c:strCache>
            </c:strRef>
          </c:cat>
          <c:val>
            <c:numRef>
              <c:f>'20'!$AE$6:$AE$22</c:f>
              <c:numCache>
                <c:formatCode>0%</c:formatCode>
                <c:ptCount val="17"/>
                <c:pt idx="0">
                  <c:v>0.5800509123503409</c:v>
                </c:pt>
                <c:pt idx="1">
                  <c:v>0.5800509123503409</c:v>
                </c:pt>
                <c:pt idx="2">
                  <c:v>0.5800509123503409</c:v>
                </c:pt>
                <c:pt idx="3">
                  <c:v>0.5800509123503409</c:v>
                </c:pt>
                <c:pt idx="4">
                  <c:v>0.5800509123503409</c:v>
                </c:pt>
                <c:pt idx="5">
                  <c:v>0.5800509123503409</c:v>
                </c:pt>
                <c:pt idx="6">
                  <c:v>0.5800509123503409</c:v>
                </c:pt>
                <c:pt idx="7">
                  <c:v>0.5800509123503409</c:v>
                </c:pt>
                <c:pt idx="8">
                  <c:v>0.5800509123503409</c:v>
                </c:pt>
                <c:pt idx="9">
                  <c:v>0.5800509123503409</c:v>
                </c:pt>
                <c:pt idx="10">
                  <c:v>0.5800509123503409</c:v>
                </c:pt>
                <c:pt idx="11">
                  <c:v>0.5800509123503409</c:v>
                </c:pt>
                <c:pt idx="12">
                  <c:v>0.5800509123503409</c:v>
                </c:pt>
                <c:pt idx="13">
                  <c:v>0.5800509123503409</c:v>
                </c:pt>
                <c:pt idx="14">
                  <c:v>0.5800509123503409</c:v>
                </c:pt>
                <c:pt idx="15">
                  <c:v>0.5800509123503409</c:v>
                </c:pt>
                <c:pt idx="16">
                  <c:v>0.5800509123503409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892608"/>
        <c:axId val="608605248"/>
      </c:lineChart>
      <c:catAx>
        <c:axId val="33389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08605248"/>
        <c:crosses val="autoZero"/>
        <c:auto val="1"/>
        <c:lblAlgn val="ctr"/>
        <c:lblOffset val="100"/>
        <c:noMultiLvlLbl val="0"/>
      </c:catAx>
      <c:valAx>
        <c:axId val="6086052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33892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3342720"/>
        <c:axId val="34379065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342720"/>
        <c:axId val="343790656"/>
      </c:lineChart>
      <c:catAx>
        <c:axId val="333342720"/>
        <c:scaling>
          <c:orientation val="minMax"/>
        </c:scaling>
        <c:delete val="0"/>
        <c:axPos val="b"/>
        <c:majorTickMark val="out"/>
        <c:minorTickMark val="none"/>
        <c:tickLblPos val="nextTo"/>
        <c:crossAx val="343790656"/>
        <c:crosses val="autoZero"/>
        <c:auto val="1"/>
        <c:lblAlgn val="ctr"/>
        <c:lblOffset val="100"/>
        <c:noMultiLvlLbl val="0"/>
      </c:catAx>
      <c:valAx>
        <c:axId val="3437906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3334272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LEAD GUIDE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'21'!$L$6:$L$20</c:f>
              <c:numCache>
                <c:formatCode>_(* #,##0_);_(* \(#,##0\);_(* "-"_);_(@_)</c:formatCode>
                <c:ptCount val="15"/>
                <c:pt idx="0">
                  <c:v>4612</c:v>
                </c:pt>
                <c:pt idx="2">
                  <c:v>11990</c:v>
                </c:pt>
                <c:pt idx="5">
                  <c:v>10932</c:v>
                </c:pt>
                <c:pt idx="6">
                  <c:v>5357</c:v>
                </c:pt>
                <c:pt idx="7">
                  <c:v>5264</c:v>
                </c:pt>
                <c:pt idx="8">
                  <c:v>318</c:v>
                </c:pt>
                <c:pt idx="10">
                  <c:v>11682</c:v>
                </c:pt>
                <c:pt idx="11">
                  <c:v>11938</c:v>
                </c:pt>
                <c:pt idx="12">
                  <c:v>10168</c:v>
                </c:pt>
                <c:pt idx="13">
                  <c:v>7299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'21'!$D$6:$D$20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LEAD GUIDE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'21'!$J$6:$J$20</c:f>
              <c:numCache>
                <c:formatCode>_(* #,##0_);_(* \(#,##0\);_(* "-"_);_(@_)</c:formatCode>
                <c:ptCount val="15"/>
                <c:pt idx="0">
                  <c:v>4620</c:v>
                </c:pt>
                <c:pt idx="1">
                  <c:v>15560</c:v>
                </c:pt>
                <c:pt idx="2">
                  <c:v>11990</c:v>
                </c:pt>
                <c:pt idx="3">
                  <c:v>1870</c:v>
                </c:pt>
                <c:pt idx="4">
                  <c:v>800</c:v>
                </c:pt>
                <c:pt idx="5">
                  <c:v>10940</c:v>
                </c:pt>
                <c:pt idx="6">
                  <c:v>5360</c:v>
                </c:pt>
                <c:pt idx="7">
                  <c:v>5270</c:v>
                </c:pt>
                <c:pt idx="8">
                  <c:v>318</c:v>
                </c:pt>
                <c:pt idx="9">
                  <c:v>23320</c:v>
                </c:pt>
                <c:pt idx="10">
                  <c:v>11690</c:v>
                </c:pt>
                <c:pt idx="11">
                  <c:v>11940</c:v>
                </c:pt>
                <c:pt idx="12">
                  <c:v>10170</c:v>
                </c:pt>
                <c:pt idx="13">
                  <c:v>7300</c:v>
                </c:pt>
                <c:pt idx="14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689792"/>
        <c:axId val="343834624"/>
      </c:lineChart>
      <c:catAx>
        <c:axId val="3346897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3834624"/>
        <c:crosses val="autoZero"/>
        <c:auto val="1"/>
        <c:lblAlgn val="ctr"/>
        <c:lblOffset val="100"/>
        <c:noMultiLvlLbl val="0"/>
      </c:catAx>
      <c:valAx>
        <c:axId val="3438346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34689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'21'!$AD$6:$AD$20</c:f>
              <c:strCache>
                <c:ptCount val="1"/>
                <c:pt idx="0">
                  <c:v>100% 0% 100% 0% 0% 100% 100% 92% 21% 0% 100% 100%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'21'!$D$6:$D$20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LEAD GUIDE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'21'!$AD$6:$AD$20</c:f>
              <c:numCache>
                <c:formatCode>0%</c:formatCode>
                <c:ptCount val="15"/>
                <c:pt idx="0">
                  <c:v>0.9982683982683983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0.99926873857404019</c:v>
                </c:pt>
                <c:pt idx="6">
                  <c:v>0.99944029850746263</c:v>
                </c:pt>
                <c:pt idx="7">
                  <c:v>0.91562302340290957</c:v>
                </c:pt>
                <c:pt idx="8">
                  <c:v>0.20833333333333334</c:v>
                </c:pt>
                <c:pt idx="9">
                  <c:v>0</c:v>
                </c:pt>
                <c:pt idx="10">
                  <c:v>0.99931565440547476</c:v>
                </c:pt>
                <c:pt idx="11">
                  <c:v>0.99983249581239531</c:v>
                </c:pt>
                <c:pt idx="12">
                  <c:v>0.99980334316617503</c:v>
                </c:pt>
                <c:pt idx="13">
                  <c:v>0.99986301369863018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'21'!$D$6:$D$20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LEAD GUIDE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'21'!$AE$6:$AE$20</c:f>
              <c:numCache>
                <c:formatCode>0%</c:formatCode>
                <c:ptCount val="15"/>
                <c:pt idx="0">
                  <c:v>0.60798321994458793</c:v>
                </c:pt>
                <c:pt idx="1">
                  <c:v>0.60798321994458793</c:v>
                </c:pt>
                <c:pt idx="2">
                  <c:v>0.60798321994458793</c:v>
                </c:pt>
                <c:pt idx="3">
                  <c:v>0.60798321994458793</c:v>
                </c:pt>
                <c:pt idx="4">
                  <c:v>0.60798321994458793</c:v>
                </c:pt>
                <c:pt idx="5">
                  <c:v>0.60798321994458793</c:v>
                </c:pt>
                <c:pt idx="6">
                  <c:v>0.60798321994458793</c:v>
                </c:pt>
                <c:pt idx="7">
                  <c:v>0.60798321994458793</c:v>
                </c:pt>
                <c:pt idx="8">
                  <c:v>0.60798321994458793</c:v>
                </c:pt>
                <c:pt idx="9">
                  <c:v>0.60798321994458793</c:v>
                </c:pt>
                <c:pt idx="10">
                  <c:v>0.60798321994458793</c:v>
                </c:pt>
                <c:pt idx="11">
                  <c:v>0.60798321994458793</c:v>
                </c:pt>
                <c:pt idx="12">
                  <c:v>0.60798321994458793</c:v>
                </c:pt>
                <c:pt idx="13">
                  <c:v>0.60798321994458793</c:v>
                </c:pt>
                <c:pt idx="14">
                  <c:v>0.60798321994458793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690816"/>
        <c:axId val="343836352"/>
      </c:lineChart>
      <c:catAx>
        <c:axId val="334690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3836352"/>
        <c:crosses val="autoZero"/>
        <c:auto val="1"/>
        <c:lblAlgn val="ctr"/>
        <c:lblOffset val="100"/>
        <c:noMultiLvlLbl val="0"/>
      </c:catAx>
      <c:valAx>
        <c:axId val="3438363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34690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LEAD GUIDE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'21'!$L$6:$L$20</c:f>
              <c:numCache>
                <c:formatCode>_(* #,##0_);_(* \(#,##0\);_(* "-"_);_(@_)</c:formatCode>
                <c:ptCount val="15"/>
                <c:pt idx="0">
                  <c:v>4612</c:v>
                </c:pt>
                <c:pt idx="2">
                  <c:v>11990</c:v>
                </c:pt>
                <c:pt idx="5">
                  <c:v>10932</c:v>
                </c:pt>
                <c:pt idx="6">
                  <c:v>5357</c:v>
                </c:pt>
                <c:pt idx="7">
                  <c:v>5264</c:v>
                </c:pt>
                <c:pt idx="8">
                  <c:v>318</c:v>
                </c:pt>
                <c:pt idx="10">
                  <c:v>11682</c:v>
                </c:pt>
                <c:pt idx="11">
                  <c:v>11938</c:v>
                </c:pt>
                <c:pt idx="12">
                  <c:v>10168</c:v>
                </c:pt>
                <c:pt idx="13">
                  <c:v>7299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'21'!$D$6:$D$20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LEAD GUIDE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'21'!$J$6:$J$20</c:f>
              <c:numCache>
                <c:formatCode>_(* #,##0_);_(* \(#,##0\);_(* "-"_);_(@_)</c:formatCode>
                <c:ptCount val="15"/>
                <c:pt idx="0">
                  <c:v>4620</c:v>
                </c:pt>
                <c:pt idx="1">
                  <c:v>15560</c:v>
                </c:pt>
                <c:pt idx="2">
                  <c:v>11990</c:v>
                </c:pt>
                <c:pt idx="3">
                  <c:v>1870</c:v>
                </c:pt>
                <c:pt idx="4">
                  <c:v>800</c:v>
                </c:pt>
                <c:pt idx="5">
                  <c:v>10940</c:v>
                </c:pt>
                <c:pt idx="6">
                  <c:v>5360</c:v>
                </c:pt>
                <c:pt idx="7">
                  <c:v>5270</c:v>
                </c:pt>
                <c:pt idx="8">
                  <c:v>318</c:v>
                </c:pt>
                <c:pt idx="9">
                  <c:v>23320</c:v>
                </c:pt>
                <c:pt idx="10">
                  <c:v>11690</c:v>
                </c:pt>
                <c:pt idx="11">
                  <c:v>11940</c:v>
                </c:pt>
                <c:pt idx="12">
                  <c:v>10170</c:v>
                </c:pt>
                <c:pt idx="13">
                  <c:v>7300</c:v>
                </c:pt>
                <c:pt idx="14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691328"/>
        <c:axId val="343838656"/>
      </c:lineChart>
      <c:catAx>
        <c:axId val="3346913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3838656"/>
        <c:crosses val="autoZero"/>
        <c:auto val="1"/>
        <c:lblAlgn val="ctr"/>
        <c:lblOffset val="100"/>
        <c:noMultiLvlLbl val="0"/>
      </c:catAx>
      <c:valAx>
        <c:axId val="3438386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34691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'21'!$AD$6:$AD$20</c:f>
              <c:strCache>
                <c:ptCount val="1"/>
                <c:pt idx="0">
                  <c:v>100% 0% 100% 0% 0% 100% 100% 92% 21% 0% 100% 100%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'21'!$D$6:$D$20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LEAD GUIDE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'21'!$AD$6:$AD$20</c:f>
              <c:numCache>
                <c:formatCode>0%</c:formatCode>
                <c:ptCount val="15"/>
                <c:pt idx="0">
                  <c:v>0.9982683982683983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0.99926873857404019</c:v>
                </c:pt>
                <c:pt idx="6">
                  <c:v>0.99944029850746263</c:v>
                </c:pt>
                <c:pt idx="7">
                  <c:v>0.91562302340290957</c:v>
                </c:pt>
                <c:pt idx="8">
                  <c:v>0.20833333333333334</c:v>
                </c:pt>
                <c:pt idx="9">
                  <c:v>0</c:v>
                </c:pt>
                <c:pt idx="10">
                  <c:v>0.99931565440547476</c:v>
                </c:pt>
                <c:pt idx="11">
                  <c:v>0.99983249581239531</c:v>
                </c:pt>
                <c:pt idx="12">
                  <c:v>0.99980334316617503</c:v>
                </c:pt>
                <c:pt idx="13">
                  <c:v>0.99986301369863018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'21'!$D$6:$D$20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LEAD GUIDE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'21'!$AE$6:$AE$20</c:f>
              <c:numCache>
                <c:formatCode>0%</c:formatCode>
                <c:ptCount val="15"/>
                <c:pt idx="0">
                  <c:v>0.60798321994458793</c:v>
                </c:pt>
                <c:pt idx="1">
                  <c:v>0.60798321994458793</c:v>
                </c:pt>
                <c:pt idx="2">
                  <c:v>0.60798321994458793</c:v>
                </c:pt>
                <c:pt idx="3">
                  <c:v>0.60798321994458793</c:v>
                </c:pt>
                <c:pt idx="4">
                  <c:v>0.60798321994458793</c:v>
                </c:pt>
                <c:pt idx="5">
                  <c:v>0.60798321994458793</c:v>
                </c:pt>
                <c:pt idx="6">
                  <c:v>0.60798321994458793</c:v>
                </c:pt>
                <c:pt idx="7">
                  <c:v>0.60798321994458793</c:v>
                </c:pt>
                <c:pt idx="8">
                  <c:v>0.60798321994458793</c:v>
                </c:pt>
                <c:pt idx="9">
                  <c:v>0.60798321994458793</c:v>
                </c:pt>
                <c:pt idx="10">
                  <c:v>0.60798321994458793</c:v>
                </c:pt>
                <c:pt idx="11">
                  <c:v>0.60798321994458793</c:v>
                </c:pt>
                <c:pt idx="12">
                  <c:v>0.60798321994458793</c:v>
                </c:pt>
                <c:pt idx="13">
                  <c:v>0.60798321994458793</c:v>
                </c:pt>
                <c:pt idx="14">
                  <c:v>0.60798321994458793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5249408"/>
        <c:axId val="343840384"/>
      </c:lineChart>
      <c:catAx>
        <c:axId val="33524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3840384"/>
        <c:crosses val="autoZero"/>
        <c:auto val="1"/>
        <c:lblAlgn val="ctr"/>
        <c:lblOffset val="100"/>
        <c:noMultiLvlLbl val="0"/>
      </c:catAx>
      <c:valAx>
        <c:axId val="3438403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35249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5249920"/>
        <c:axId val="34484224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5249920"/>
        <c:axId val="344842240"/>
      </c:lineChart>
      <c:catAx>
        <c:axId val="335249920"/>
        <c:scaling>
          <c:orientation val="minMax"/>
        </c:scaling>
        <c:delete val="0"/>
        <c:axPos val="b"/>
        <c:majorTickMark val="out"/>
        <c:minorTickMark val="none"/>
        <c:tickLblPos val="nextTo"/>
        <c:crossAx val="344842240"/>
        <c:crosses val="autoZero"/>
        <c:auto val="1"/>
        <c:lblAlgn val="ctr"/>
        <c:lblOffset val="100"/>
        <c:noMultiLvlLbl val="0"/>
      </c:catAx>
      <c:valAx>
        <c:axId val="3448422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3524992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'22'!$L$6:$L$20</c:f>
              <c:numCache>
                <c:formatCode>_(* #,##0_);_(* \(#,##0\);_(* "-"_);_(@_)</c:formatCode>
                <c:ptCount val="15"/>
                <c:pt idx="2">
                  <c:v>12022</c:v>
                </c:pt>
                <c:pt idx="5">
                  <c:v>10642</c:v>
                </c:pt>
                <c:pt idx="6">
                  <c:v>2956</c:v>
                </c:pt>
                <c:pt idx="7">
                  <c:v>6148</c:v>
                </c:pt>
                <c:pt idx="10">
                  <c:v>11716</c:v>
                </c:pt>
                <c:pt idx="11">
                  <c:v>12036</c:v>
                </c:pt>
                <c:pt idx="12">
                  <c:v>6864</c:v>
                </c:pt>
                <c:pt idx="13">
                  <c:v>2728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'22'!$D$6:$D$20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'22'!$J$6:$J$20</c:f>
              <c:numCache>
                <c:formatCode>_(* #,##0_);_(* \(#,##0\);_(* "-"_);_(@_)</c:formatCode>
                <c:ptCount val="15"/>
                <c:pt idx="0">
                  <c:v>4620</c:v>
                </c:pt>
                <c:pt idx="1">
                  <c:v>15560</c:v>
                </c:pt>
                <c:pt idx="2">
                  <c:v>12030</c:v>
                </c:pt>
                <c:pt idx="3">
                  <c:v>1870</c:v>
                </c:pt>
                <c:pt idx="4">
                  <c:v>800</c:v>
                </c:pt>
                <c:pt idx="5">
                  <c:v>10650</c:v>
                </c:pt>
                <c:pt idx="6">
                  <c:v>2960</c:v>
                </c:pt>
                <c:pt idx="7">
                  <c:v>6150</c:v>
                </c:pt>
                <c:pt idx="8">
                  <c:v>318</c:v>
                </c:pt>
                <c:pt idx="9">
                  <c:v>23320</c:v>
                </c:pt>
                <c:pt idx="10">
                  <c:v>11720</c:v>
                </c:pt>
                <c:pt idx="11">
                  <c:v>12040</c:v>
                </c:pt>
                <c:pt idx="12">
                  <c:v>6870</c:v>
                </c:pt>
                <c:pt idx="13">
                  <c:v>2730</c:v>
                </c:pt>
                <c:pt idx="14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340480"/>
        <c:axId val="344845696"/>
      </c:lineChart>
      <c:catAx>
        <c:axId val="3363404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4845696"/>
        <c:crosses val="autoZero"/>
        <c:auto val="1"/>
        <c:lblAlgn val="ctr"/>
        <c:lblOffset val="100"/>
        <c:noMultiLvlLbl val="0"/>
      </c:catAx>
      <c:valAx>
        <c:axId val="34484569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36340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'22'!$AD$6:$AD$20</c:f>
              <c:strCache>
                <c:ptCount val="1"/>
                <c:pt idx="0">
                  <c:v>0% 0% 100% 0% 0% 100% 100% 100% 0% 0% 100% 100% 79% 58%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'22'!$D$6:$D$20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0.99933499584372398</c:v>
                </c:pt>
                <c:pt idx="3">
                  <c:v>0</c:v>
                </c:pt>
                <c:pt idx="4">
                  <c:v>0</c:v>
                </c:pt>
                <c:pt idx="5">
                  <c:v>0.99924882629107981</c:v>
                </c:pt>
                <c:pt idx="6">
                  <c:v>0.99864864864864866</c:v>
                </c:pt>
                <c:pt idx="7">
                  <c:v>0.99967479674796744</c:v>
                </c:pt>
                <c:pt idx="8">
                  <c:v>0</c:v>
                </c:pt>
                <c:pt idx="9">
                  <c:v>0</c:v>
                </c:pt>
                <c:pt idx="10">
                  <c:v>0.99965870307167237</c:v>
                </c:pt>
                <c:pt idx="11">
                  <c:v>0.99966777408637875</c:v>
                </c:pt>
                <c:pt idx="12">
                  <c:v>0.79097525473071328</c:v>
                </c:pt>
                <c:pt idx="13">
                  <c:v>0.58290598290598294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'22'!$D$6:$D$20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'22'!$AE$6:$AE$20</c:f>
              <c:numCache>
                <c:formatCode>0%</c:formatCode>
                <c:ptCount val="15"/>
                <c:pt idx="0">
                  <c:v>0.49134099882174448</c:v>
                </c:pt>
                <c:pt idx="1">
                  <c:v>0.49134099882174448</c:v>
                </c:pt>
                <c:pt idx="2">
                  <c:v>0.49134099882174448</c:v>
                </c:pt>
                <c:pt idx="3">
                  <c:v>0.49134099882174448</c:v>
                </c:pt>
                <c:pt idx="4">
                  <c:v>0.49134099882174448</c:v>
                </c:pt>
                <c:pt idx="5">
                  <c:v>0.49134099882174448</c:v>
                </c:pt>
                <c:pt idx="6">
                  <c:v>0.49134099882174448</c:v>
                </c:pt>
                <c:pt idx="7">
                  <c:v>0.49134099882174448</c:v>
                </c:pt>
                <c:pt idx="8">
                  <c:v>0.49134099882174448</c:v>
                </c:pt>
                <c:pt idx="9">
                  <c:v>0.49134099882174448</c:v>
                </c:pt>
                <c:pt idx="10">
                  <c:v>0.49134099882174448</c:v>
                </c:pt>
                <c:pt idx="11">
                  <c:v>0.49134099882174448</c:v>
                </c:pt>
                <c:pt idx="12">
                  <c:v>0.49134099882174448</c:v>
                </c:pt>
                <c:pt idx="13">
                  <c:v>0.49134099882174448</c:v>
                </c:pt>
                <c:pt idx="14">
                  <c:v>0.49134099882174448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341504"/>
        <c:axId val="344847424"/>
      </c:lineChart>
      <c:catAx>
        <c:axId val="33634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4847424"/>
        <c:crosses val="autoZero"/>
        <c:auto val="1"/>
        <c:lblAlgn val="ctr"/>
        <c:lblOffset val="100"/>
        <c:noMultiLvlLbl val="0"/>
      </c:catAx>
      <c:valAx>
        <c:axId val="3448474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36341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'22'!$L$6:$L$20</c:f>
              <c:numCache>
                <c:formatCode>_(* #,##0_);_(* \(#,##0\);_(* "-"_);_(@_)</c:formatCode>
                <c:ptCount val="15"/>
                <c:pt idx="2">
                  <c:v>12022</c:v>
                </c:pt>
                <c:pt idx="5">
                  <c:v>10642</c:v>
                </c:pt>
                <c:pt idx="6">
                  <c:v>2956</c:v>
                </c:pt>
                <c:pt idx="7">
                  <c:v>6148</c:v>
                </c:pt>
                <c:pt idx="10">
                  <c:v>11716</c:v>
                </c:pt>
                <c:pt idx="11">
                  <c:v>12036</c:v>
                </c:pt>
                <c:pt idx="12">
                  <c:v>6864</c:v>
                </c:pt>
                <c:pt idx="13">
                  <c:v>2728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'22'!$D$6:$D$20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'22'!$J$6:$J$20</c:f>
              <c:numCache>
                <c:formatCode>_(* #,##0_);_(* \(#,##0\);_(* "-"_);_(@_)</c:formatCode>
                <c:ptCount val="15"/>
                <c:pt idx="0">
                  <c:v>4620</c:v>
                </c:pt>
                <c:pt idx="1">
                  <c:v>15560</c:v>
                </c:pt>
                <c:pt idx="2">
                  <c:v>12030</c:v>
                </c:pt>
                <c:pt idx="3">
                  <c:v>1870</c:v>
                </c:pt>
                <c:pt idx="4">
                  <c:v>800</c:v>
                </c:pt>
                <c:pt idx="5">
                  <c:v>10650</c:v>
                </c:pt>
                <c:pt idx="6">
                  <c:v>2960</c:v>
                </c:pt>
                <c:pt idx="7">
                  <c:v>6150</c:v>
                </c:pt>
                <c:pt idx="8">
                  <c:v>318</c:v>
                </c:pt>
                <c:pt idx="9">
                  <c:v>23320</c:v>
                </c:pt>
                <c:pt idx="10">
                  <c:v>11720</c:v>
                </c:pt>
                <c:pt idx="11">
                  <c:v>12040</c:v>
                </c:pt>
                <c:pt idx="12">
                  <c:v>6870</c:v>
                </c:pt>
                <c:pt idx="13">
                  <c:v>2730</c:v>
                </c:pt>
                <c:pt idx="14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342528"/>
        <c:axId val="344849728"/>
      </c:lineChart>
      <c:catAx>
        <c:axId val="3363425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4849728"/>
        <c:crosses val="autoZero"/>
        <c:auto val="1"/>
        <c:lblAlgn val="ctr"/>
        <c:lblOffset val="100"/>
        <c:noMultiLvlLbl val="0"/>
      </c:catAx>
      <c:valAx>
        <c:axId val="34484972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36342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'22'!$AD$6:$AD$20</c:f>
              <c:strCache>
                <c:ptCount val="1"/>
                <c:pt idx="0">
                  <c:v>0% 0% 100% 0% 0% 100% 100% 100% 0% 0% 100% 100% 79% 58%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'22'!$D$6:$D$20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0.99933499584372398</c:v>
                </c:pt>
                <c:pt idx="3">
                  <c:v>0</c:v>
                </c:pt>
                <c:pt idx="4">
                  <c:v>0</c:v>
                </c:pt>
                <c:pt idx="5">
                  <c:v>0.99924882629107981</c:v>
                </c:pt>
                <c:pt idx="6">
                  <c:v>0.99864864864864866</c:v>
                </c:pt>
                <c:pt idx="7">
                  <c:v>0.99967479674796744</c:v>
                </c:pt>
                <c:pt idx="8">
                  <c:v>0</c:v>
                </c:pt>
                <c:pt idx="9">
                  <c:v>0</c:v>
                </c:pt>
                <c:pt idx="10">
                  <c:v>0.99965870307167237</c:v>
                </c:pt>
                <c:pt idx="11">
                  <c:v>0.99966777408637875</c:v>
                </c:pt>
                <c:pt idx="12">
                  <c:v>0.79097525473071328</c:v>
                </c:pt>
                <c:pt idx="13">
                  <c:v>0.58290598290598294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'22'!$D$6:$D$20</c:f>
              <c:strCache>
                <c:ptCount val="14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9">
                  <c:v>LED 6V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'22'!$AE$6:$AE$20</c:f>
              <c:numCache>
                <c:formatCode>0%</c:formatCode>
                <c:ptCount val="15"/>
                <c:pt idx="0">
                  <c:v>0.49134099882174448</c:v>
                </c:pt>
                <c:pt idx="1">
                  <c:v>0.49134099882174448</c:v>
                </c:pt>
                <c:pt idx="2">
                  <c:v>0.49134099882174448</c:v>
                </c:pt>
                <c:pt idx="3">
                  <c:v>0.49134099882174448</c:v>
                </c:pt>
                <c:pt idx="4">
                  <c:v>0.49134099882174448</c:v>
                </c:pt>
                <c:pt idx="5">
                  <c:v>0.49134099882174448</c:v>
                </c:pt>
                <c:pt idx="6">
                  <c:v>0.49134099882174448</c:v>
                </c:pt>
                <c:pt idx="7">
                  <c:v>0.49134099882174448</c:v>
                </c:pt>
                <c:pt idx="8">
                  <c:v>0.49134099882174448</c:v>
                </c:pt>
                <c:pt idx="9">
                  <c:v>0.49134099882174448</c:v>
                </c:pt>
                <c:pt idx="10">
                  <c:v>0.49134099882174448</c:v>
                </c:pt>
                <c:pt idx="11">
                  <c:v>0.49134099882174448</c:v>
                </c:pt>
                <c:pt idx="12">
                  <c:v>0.49134099882174448</c:v>
                </c:pt>
                <c:pt idx="13">
                  <c:v>0.49134099882174448</c:v>
                </c:pt>
                <c:pt idx="14">
                  <c:v>0.49134099882174448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740352"/>
        <c:axId val="345269376"/>
      </c:lineChart>
      <c:catAx>
        <c:axId val="33674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5269376"/>
        <c:crosses val="autoZero"/>
        <c:auto val="1"/>
        <c:lblAlgn val="ctr"/>
        <c:lblOffset val="100"/>
        <c:noMultiLvlLbl val="0"/>
      </c:catAx>
      <c:valAx>
        <c:axId val="3452693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36740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6740864"/>
        <c:axId val="34527168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740864"/>
        <c:axId val="345271680"/>
      </c:lineChart>
      <c:catAx>
        <c:axId val="336740864"/>
        <c:scaling>
          <c:orientation val="minMax"/>
        </c:scaling>
        <c:delete val="0"/>
        <c:axPos val="b"/>
        <c:majorTickMark val="out"/>
        <c:minorTickMark val="none"/>
        <c:tickLblPos val="nextTo"/>
        <c:crossAx val="345271680"/>
        <c:crosses val="autoZero"/>
        <c:auto val="1"/>
        <c:lblAlgn val="ctr"/>
        <c:lblOffset val="100"/>
        <c:noMultiLvlLbl val="0"/>
      </c:catAx>
      <c:valAx>
        <c:axId val="3452716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3674086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HOLDER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0">
                  <c:v>3818</c:v>
                </c:pt>
                <c:pt idx="2">
                  <c:v>11824</c:v>
                </c:pt>
                <c:pt idx="3">
                  <c:v>55696</c:v>
                </c:pt>
                <c:pt idx="4">
                  <c:v>24784</c:v>
                </c:pt>
                <c:pt idx="5">
                  <c:v>7414</c:v>
                </c:pt>
                <c:pt idx="6">
                  <c:v>1300</c:v>
                </c:pt>
                <c:pt idx="7">
                  <c:v>1526</c:v>
                </c:pt>
                <c:pt idx="8">
                  <c:v>192</c:v>
                </c:pt>
                <c:pt idx="10">
                  <c:v>159</c:v>
                </c:pt>
                <c:pt idx="11">
                  <c:v>5732</c:v>
                </c:pt>
                <c:pt idx="12">
                  <c:v>11466</c:v>
                </c:pt>
                <c:pt idx="13">
                  <c:v>10550</c:v>
                </c:pt>
                <c:pt idx="14">
                  <c:v>7313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HOLDER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4620</c:v>
                </c:pt>
                <c:pt idx="1">
                  <c:v>15560</c:v>
                </c:pt>
                <c:pt idx="2">
                  <c:v>11830</c:v>
                </c:pt>
                <c:pt idx="3">
                  <c:v>55700</c:v>
                </c:pt>
                <c:pt idx="4">
                  <c:v>24790</c:v>
                </c:pt>
                <c:pt idx="5">
                  <c:v>7420</c:v>
                </c:pt>
                <c:pt idx="6">
                  <c:v>1300</c:v>
                </c:pt>
                <c:pt idx="7">
                  <c:v>1530</c:v>
                </c:pt>
                <c:pt idx="8">
                  <c:v>192</c:v>
                </c:pt>
                <c:pt idx="9">
                  <c:v>318</c:v>
                </c:pt>
                <c:pt idx="10">
                  <c:v>159</c:v>
                </c:pt>
                <c:pt idx="11">
                  <c:v>5740</c:v>
                </c:pt>
                <c:pt idx="12">
                  <c:v>11470</c:v>
                </c:pt>
                <c:pt idx="13">
                  <c:v>10550</c:v>
                </c:pt>
                <c:pt idx="14">
                  <c:v>7320</c:v>
                </c:pt>
                <c:pt idx="15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391616"/>
        <c:axId val="345274560"/>
      </c:lineChart>
      <c:catAx>
        <c:axId val="3373916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5274560"/>
        <c:crosses val="autoZero"/>
        <c:auto val="1"/>
        <c:lblAlgn val="ctr"/>
        <c:lblOffset val="100"/>
        <c:noMultiLvlLbl val="0"/>
      </c:catAx>
      <c:valAx>
        <c:axId val="3452745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37391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"/>
                <c:pt idx="0">
                  <c:v>83% 0% 100% 67% 92% 79% 17% 33% 17% 0% 17% 46% 100%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'23'!$D$6:$D$21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HOLDER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0.82640692640692637</c:v>
                </c:pt>
                <c:pt idx="1">
                  <c:v>0</c:v>
                </c:pt>
                <c:pt idx="2">
                  <c:v>0.99949281487743025</c:v>
                </c:pt>
                <c:pt idx="3">
                  <c:v>0.66661879114302813</c:v>
                </c:pt>
                <c:pt idx="4">
                  <c:v>0.91644480301196718</c:v>
                </c:pt>
                <c:pt idx="5">
                  <c:v>0.79102650494159921</c:v>
                </c:pt>
                <c:pt idx="6">
                  <c:v>0.16666666666666666</c:v>
                </c:pt>
                <c:pt idx="7">
                  <c:v>0.33246187363834423</c:v>
                </c:pt>
                <c:pt idx="8">
                  <c:v>0.16666666666666666</c:v>
                </c:pt>
                <c:pt idx="9">
                  <c:v>0</c:v>
                </c:pt>
                <c:pt idx="10">
                  <c:v>0.16666666666666666</c:v>
                </c:pt>
                <c:pt idx="11">
                  <c:v>0.45769454123112657</c:v>
                </c:pt>
                <c:pt idx="12">
                  <c:v>0.99965126416739325</c:v>
                </c:pt>
                <c:pt idx="13">
                  <c:v>1</c:v>
                </c:pt>
                <c:pt idx="14">
                  <c:v>0.99904371584699458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'23'!$D$6:$D$21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HOLDER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0.56592274901765405</c:v>
                </c:pt>
                <c:pt idx="1">
                  <c:v>0.56592274901765405</c:v>
                </c:pt>
                <c:pt idx="2">
                  <c:v>0.56592274901765405</c:v>
                </c:pt>
                <c:pt idx="3">
                  <c:v>0.56592274901765405</c:v>
                </c:pt>
                <c:pt idx="4">
                  <c:v>0.56592274901765405</c:v>
                </c:pt>
                <c:pt idx="5">
                  <c:v>0.56592274901765405</c:v>
                </c:pt>
                <c:pt idx="6">
                  <c:v>0.56592274901765405</c:v>
                </c:pt>
                <c:pt idx="7">
                  <c:v>0.56592274901765405</c:v>
                </c:pt>
                <c:pt idx="8">
                  <c:v>0.56592274901765405</c:v>
                </c:pt>
                <c:pt idx="9">
                  <c:v>0.56592274901765405</c:v>
                </c:pt>
                <c:pt idx="10">
                  <c:v>0.56592274901765405</c:v>
                </c:pt>
                <c:pt idx="11">
                  <c:v>0.56592274901765405</c:v>
                </c:pt>
                <c:pt idx="12">
                  <c:v>0.56592274901765405</c:v>
                </c:pt>
                <c:pt idx="13">
                  <c:v>0.56592274901765405</c:v>
                </c:pt>
                <c:pt idx="14">
                  <c:v>0.56592274901765405</c:v>
                </c:pt>
                <c:pt idx="15">
                  <c:v>0.56592274901765405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393152"/>
        <c:axId val="344506368"/>
      </c:lineChart>
      <c:catAx>
        <c:axId val="337393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4506368"/>
        <c:crosses val="autoZero"/>
        <c:auto val="1"/>
        <c:lblAlgn val="ctr"/>
        <c:lblOffset val="100"/>
        <c:noMultiLvlLbl val="0"/>
      </c:catAx>
      <c:valAx>
        <c:axId val="3445063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37393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HOLDER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0">
                  <c:v>3818</c:v>
                </c:pt>
                <c:pt idx="2">
                  <c:v>11824</c:v>
                </c:pt>
                <c:pt idx="3">
                  <c:v>55696</c:v>
                </c:pt>
                <c:pt idx="4">
                  <c:v>24784</c:v>
                </c:pt>
                <c:pt idx="5">
                  <c:v>7414</c:v>
                </c:pt>
                <c:pt idx="6">
                  <c:v>1300</c:v>
                </c:pt>
                <c:pt idx="7">
                  <c:v>1526</c:v>
                </c:pt>
                <c:pt idx="8">
                  <c:v>192</c:v>
                </c:pt>
                <c:pt idx="10">
                  <c:v>159</c:v>
                </c:pt>
                <c:pt idx="11">
                  <c:v>5732</c:v>
                </c:pt>
                <c:pt idx="12">
                  <c:v>11466</c:v>
                </c:pt>
                <c:pt idx="13">
                  <c:v>10550</c:v>
                </c:pt>
                <c:pt idx="14">
                  <c:v>7313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HOLDER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4620</c:v>
                </c:pt>
                <c:pt idx="1">
                  <c:v>15560</c:v>
                </c:pt>
                <c:pt idx="2">
                  <c:v>11830</c:v>
                </c:pt>
                <c:pt idx="3">
                  <c:v>55700</c:v>
                </c:pt>
                <c:pt idx="4">
                  <c:v>24790</c:v>
                </c:pt>
                <c:pt idx="5">
                  <c:v>7420</c:v>
                </c:pt>
                <c:pt idx="6">
                  <c:v>1300</c:v>
                </c:pt>
                <c:pt idx="7">
                  <c:v>1530</c:v>
                </c:pt>
                <c:pt idx="8">
                  <c:v>192</c:v>
                </c:pt>
                <c:pt idx="9">
                  <c:v>318</c:v>
                </c:pt>
                <c:pt idx="10">
                  <c:v>159</c:v>
                </c:pt>
                <c:pt idx="11">
                  <c:v>5740</c:v>
                </c:pt>
                <c:pt idx="12">
                  <c:v>11470</c:v>
                </c:pt>
                <c:pt idx="13">
                  <c:v>10550</c:v>
                </c:pt>
                <c:pt idx="14">
                  <c:v>7320</c:v>
                </c:pt>
                <c:pt idx="15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393664"/>
        <c:axId val="344508672"/>
      </c:lineChart>
      <c:catAx>
        <c:axId val="33739366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4508672"/>
        <c:crosses val="autoZero"/>
        <c:auto val="1"/>
        <c:lblAlgn val="ctr"/>
        <c:lblOffset val="100"/>
        <c:noMultiLvlLbl val="0"/>
      </c:catAx>
      <c:valAx>
        <c:axId val="3445086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373936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"/>
                <c:pt idx="0">
                  <c:v>83% 0% 100% 67% 92% 79% 17% 33% 17% 0% 17% 46% 100%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'23'!$D$6:$D$21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HOLDER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0.82640692640692637</c:v>
                </c:pt>
                <c:pt idx="1">
                  <c:v>0</c:v>
                </c:pt>
                <c:pt idx="2">
                  <c:v>0.99949281487743025</c:v>
                </c:pt>
                <c:pt idx="3">
                  <c:v>0.66661879114302813</c:v>
                </c:pt>
                <c:pt idx="4">
                  <c:v>0.91644480301196718</c:v>
                </c:pt>
                <c:pt idx="5">
                  <c:v>0.79102650494159921</c:v>
                </c:pt>
                <c:pt idx="6">
                  <c:v>0.16666666666666666</c:v>
                </c:pt>
                <c:pt idx="7">
                  <c:v>0.33246187363834423</c:v>
                </c:pt>
                <c:pt idx="8">
                  <c:v>0.16666666666666666</c:v>
                </c:pt>
                <c:pt idx="9">
                  <c:v>0</c:v>
                </c:pt>
                <c:pt idx="10">
                  <c:v>0.16666666666666666</c:v>
                </c:pt>
                <c:pt idx="11">
                  <c:v>0.45769454123112657</c:v>
                </c:pt>
                <c:pt idx="12">
                  <c:v>0.99965126416739325</c:v>
                </c:pt>
                <c:pt idx="13">
                  <c:v>1</c:v>
                </c:pt>
                <c:pt idx="14">
                  <c:v>0.99904371584699458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'23'!$D$6:$D$21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SEPARATOR</c:v>
                </c:pt>
                <c:pt idx="5">
                  <c:v>SLIDER</c:v>
                </c:pt>
                <c:pt idx="6">
                  <c:v>BASE</c:v>
                </c:pt>
                <c:pt idx="7">
                  <c:v>HOLDER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0.56592274901765405</c:v>
                </c:pt>
                <c:pt idx="1">
                  <c:v>0.56592274901765405</c:v>
                </c:pt>
                <c:pt idx="2">
                  <c:v>0.56592274901765405</c:v>
                </c:pt>
                <c:pt idx="3">
                  <c:v>0.56592274901765405</c:v>
                </c:pt>
                <c:pt idx="4">
                  <c:v>0.56592274901765405</c:v>
                </c:pt>
                <c:pt idx="5">
                  <c:v>0.56592274901765405</c:v>
                </c:pt>
                <c:pt idx="6">
                  <c:v>0.56592274901765405</c:v>
                </c:pt>
                <c:pt idx="7">
                  <c:v>0.56592274901765405</c:v>
                </c:pt>
                <c:pt idx="8">
                  <c:v>0.56592274901765405</c:v>
                </c:pt>
                <c:pt idx="9">
                  <c:v>0.56592274901765405</c:v>
                </c:pt>
                <c:pt idx="10">
                  <c:v>0.56592274901765405</c:v>
                </c:pt>
                <c:pt idx="11">
                  <c:v>0.56592274901765405</c:v>
                </c:pt>
                <c:pt idx="12">
                  <c:v>0.56592274901765405</c:v>
                </c:pt>
                <c:pt idx="13">
                  <c:v>0.56592274901765405</c:v>
                </c:pt>
                <c:pt idx="14">
                  <c:v>0.56592274901765405</c:v>
                </c:pt>
                <c:pt idx="15">
                  <c:v>0.56592274901765405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394688"/>
        <c:axId val="344510400"/>
      </c:lineChart>
      <c:catAx>
        <c:axId val="33739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4510400"/>
        <c:crosses val="autoZero"/>
        <c:auto val="1"/>
        <c:lblAlgn val="ctr"/>
        <c:lblOffset val="100"/>
        <c:noMultiLvlLbl val="0"/>
      </c:catAx>
      <c:valAx>
        <c:axId val="3445104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37394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6342016"/>
        <c:axId val="34451270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342016"/>
        <c:axId val="344512704"/>
      </c:lineChart>
      <c:catAx>
        <c:axId val="336342016"/>
        <c:scaling>
          <c:orientation val="minMax"/>
        </c:scaling>
        <c:delete val="0"/>
        <c:axPos val="b"/>
        <c:majorTickMark val="out"/>
        <c:minorTickMark val="none"/>
        <c:tickLblPos val="nextTo"/>
        <c:crossAx val="344512704"/>
        <c:crosses val="autoZero"/>
        <c:auto val="1"/>
        <c:lblAlgn val="ctr"/>
        <c:lblOffset val="100"/>
        <c:noMultiLvlLbl val="0"/>
      </c:catAx>
      <c:valAx>
        <c:axId val="34451270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363420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SEPARATOR</c:v>
                </c:pt>
                <c:pt idx="6">
                  <c:v>SLIDER</c:v>
                </c:pt>
                <c:pt idx="7">
                  <c:v>FLOAT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0">
                  <c:v>4941</c:v>
                </c:pt>
                <c:pt idx="2">
                  <c:v>10670</c:v>
                </c:pt>
                <c:pt idx="3">
                  <c:v>10672</c:v>
                </c:pt>
                <c:pt idx="4">
                  <c:v>5230</c:v>
                </c:pt>
                <c:pt idx="6">
                  <c:v>11454</c:v>
                </c:pt>
                <c:pt idx="7">
                  <c:v>3858</c:v>
                </c:pt>
                <c:pt idx="8">
                  <c:v>5020</c:v>
                </c:pt>
                <c:pt idx="13">
                  <c:v>10808</c:v>
                </c:pt>
                <c:pt idx="14">
                  <c:v>2343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SEPARATOR</c:v>
                </c:pt>
                <c:pt idx="6">
                  <c:v>SLIDER</c:v>
                </c:pt>
                <c:pt idx="7">
                  <c:v>FLOAT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4950</c:v>
                </c:pt>
                <c:pt idx="1">
                  <c:v>15560</c:v>
                </c:pt>
                <c:pt idx="2">
                  <c:v>10670</c:v>
                </c:pt>
                <c:pt idx="3">
                  <c:v>10672</c:v>
                </c:pt>
                <c:pt idx="4">
                  <c:v>5230</c:v>
                </c:pt>
                <c:pt idx="5">
                  <c:v>24790</c:v>
                </c:pt>
                <c:pt idx="6">
                  <c:v>11454</c:v>
                </c:pt>
                <c:pt idx="7">
                  <c:v>3860</c:v>
                </c:pt>
                <c:pt idx="8">
                  <c:v>5020</c:v>
                </c:pt>
                <c:pt idx="9">
                  <c:v>318</c:v>
                </c:pt>
                <c:pt idx="10">
                  <c:v>159</c:v>
                </c:pt>
                <c:pt idx="11">
                  <c:v>5740</c:v>
                </c:pt>
                <c:pt idx="12">
                  <c:v>11470</c:v>
                </c:pt>
                <c:pt idx="13">
                  <c:v>10810</c:v>
                </c:pt>
                <c:pt idx="14">
                  <c:v>7320</c:v>
                </c:pt>
                <c:pt idx="15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456320"/>
        <c:axId val="345588288"/>
      </c:lineChart>
      <c:catAx>
        <c:axId val="41445632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5588288"/>
        <c:crosses val="autoZero"/>
        <c:auto val="1"/>
        <c:lblAlgn val="ctr"/>
        <c:lblOffset val="100"/>
        <c:noMultiLvlLbl val="0"/>
      </c:catAx>
      <c:valAx>
        <c:axId val="3455882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14456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"/>
                <c:pt idx="0">
                  <c:v>100% 0% 100% 17% 83% 0% 100% 79% 100% 0% 0% 0% 0% 100% 13%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SEPARATOR</c:v>
                </c:pt>
                <c:pt idx="6">
                  <c:v>SLIDER</c:v>
                </c:pt>
                <c:pt idx="7">
                  <c:v>FLOAT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0.99818181818181817</c:v>
                </c:pt>
                <c:pt idx="1">
                  <c:v>0</c:v>
                </c:pt>
                <c:pt idx="2">
                  <c:v>1</c:v>
                </c:pt>
                <c:pt idx="3">
                  <c:v>0.16666666666666666</c:v>
                </c:pt>
                <c:pt idx="4">
                  <c:v>0.83333333333333337</c:v>
                </c:pt>
                <c:pt idx="5">
                  <c:v>0</c:v>
                </c:pt>
                <c:pt idx="6">
                  <c:v>1</c:v>
                </c:pt>
                <c:pt idx="7">
                  <c:v>0.79125647668393773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0.99981498612395925</c:v>
                </c:pt>
                <c:pt idx="14">
                  <c:v>0.13336748633879783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SEPARATOR</c:v>
                </c:pt>
                <c:pt idx="6">
                  <c:v>SLIDER</c:v>
                </c:pt>
                <c:pt idx="7">
                  <c:v>FLOAT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0.46150805115523413</c:v>
                </c:pt>
                <c:pt idx="1">
                  <c:v>0.46150805115523413</c:v>
                </c:pt>
                <c:pt idx="2">
                  <c:v>0.46150805115523413</c:v>
                </c:pt>
                <c:pt idx="3">
                  <c:v>0.46150805115523413</c:v>
                </c:pt>
                <c:pt idx="4">
                  <c:v>0.46150805115523413</c:v>
                </c:pt>
                <c:pt idx="5">
                  <c:v>0.46150805115523413</c:v>
                </c:pt>
                <c:pt idx="6">
                  <c:v>0.46150805115523413</c:v>
                </c:pt>
                <c:pt idx="7">
                  <c:v>0.46150805115523413</c:v>
                </c:pt>
                <c:pt idx="8">
                  <c:v>0.46150805115523413</c:v>
                </c:pt>
                <c:pt idx="9">
                  <c:v>0.46150805115523413</c:v>
                </c:pt>
                <c:pt idx="10">
                  <c:v>0.46150805115523413</c:v>
                </c:pt>
                <c:pt idx="11">
                  <c:v>0.46150805115523413</c:v>
                </c:pt>
                <c:pt idx="12">
                  <c:v>0.46150805115523413</c:v>
                </c:pt>
                <c:pt idx="13">
                  <c:v>0.46150805115523413</c:v>
                </c:pt>
                <c:pt idx="14">
                  <c:v>0.46150805115523413</c:v>
                </c:pt>
                <c:pt idx="15">
                  <c:v>0.46150805115523413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499328"/>
        <c:axId val="345590016"/>
      </c:lineChart>
      <c:catAx>
        <c:axId val="414499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5590016"/>
        <c:crosses val="autoZero"/>
        <c:auto val="1"/>
        <c:lblAlgn val="ctr"/>
        <c:lblOffset val="100"/>
        <c:noMultiLvlLbl val="0"/>
      </c:catAx>
      <c:valAx>
        <c:axId val="3455900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14499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SEPARATOR</c:v>
                </c:pt>
                <c:pt idx="6">
                  <c:v>SLIDER</c:v>
                </c:pt>
                <c:pt idx="7">
                  <c:v>FLOAT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0">
                  <c:v>4941</c:v>
                </c:pt>
                <c:pt idx="2">
                  <c:v>10670</c:v>
                </c:pt>
                <c:pt idx="3">
                  <c:v>10672</c:v>
                </c:pt>
                <c:pt idx="4">
                  <c:v>5230</c:v>
                </c:pt>
                <c:pt idx="6">
                  <c:v>11454</c:v>
                </c:pt>
                <c:pt idx="7">
                  <c:v>3858</c:v>
                </c:pt>
                <c:pt idx="8">
                  <c:v>5020</c:v>
                </c:pt>
                <c:pt idx="13">
                  <c:v>10808</c:v>
                </c:pt>
                <c:pt idx="14">
                  <c:v>2343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SEPARATOR</c:v>
                </c:pt>
                <c:pt idx="6">
                  <c:v>SLIDER</c:v>
                </c:pt>
                <c:pt idx="7">
                  <c:v>FLOAT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4950</c:v>
                </c:pt>
                <c:pt idx="1">
                  <c:v>15560</c:v>
                </c:pt>
                <c:pt idx="2">
                  <c:v>10670</c:v>
                </c:pt>
                <c:pt idx="3">
                  <c:v>10672</c:v>
                </c:pt>
                <c:pt idx="4">
                  <c:v>5230</c:v>
                </c:pt>
                <c:pt idx="5">
                  <c:v>24790</c:v>
                </c:pt>
                <c:pt idx="6">
                  <c:v>11454</c:v>
                </c:pt>
                <c:pt idx="7">
                  <c:v>3860</c:v>
                </c:pt>
                <c:pt idx="8">
                  <c:v>5020</c:v>
                </c:pt>
                <c:pt idx="9">
                  <c:v>318</c:v>
                </c:pt>
                <c:pt idx="10">
                  <c:v>159</c:v>
                </c:pt>
                <c:pt idx="11">
                  <c:v>5740</c:v>
                </c:pt>
                <c:pt idx="12">
                  <c:v>11470</c:v>
                </c:pt>
                <c:pt idx="13">
                  <c:v>10810</c:v>
                </c:pt>
                <c:pt idx="14">
                  <c:v>7320</c:v>
                </c:pt>
                <c:pt idx="15">
                  <c:v>5640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499840"/>
        <c:axId val="345592320"/>
      </c:lineChart>
      <c:catAx>
        <c:axId val="4144998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5592320"/>
        <c:crosses val="autoZero"/>
        <c:auto val="1"/>
        <c:lblAlgn val="ctr"/>
        <c:lblOffset val="100"/>
        <c:noMultiLvlLbl val="0"/>
      </c:catAx>
      <c:valAx>
        <c:axId val="3455923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14499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"/>
                <c:pt idx="0">
                  <c:v>100% 0% 100% 17% 83% 0% 100% 79% 100% 0% 0% 0% 0% 100% 13%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SEPARATOR</c:v>
                </c:pt>
                <c:pt idx="6">
                  <c:v>SLIDER</c:v>
                </c:pt>
                <c:pt idx="7">
                  <c:v>FLOAT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0.99818181818181817</c:v>
                </c:pt>
                <c:pt idx="1">
                  <c:v>0</c:v>
                </c:pt>
                <c:pt idx="2">
                  <c:v>1</c:v>
                </c:pt>
                <c:pt idx="3">
                  <c:v>0.16666666666666666</c:v>
                </c:pt>
                <c:pt idx="4">
                  <c:v>0.83333333333333337</c:v>
                </c:pt>
                <c:pt idx="5">
                  <c:v>0</c:v>
                </c:pt>
                <c:pt idx="6">
                  <c:v>1</c:v>
                </c:pt>
                <c:pt idx="7">
                  <c:v>0.79125647668393773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0.99981498612395925</c:v>
                </c:pt>
                <c:pt idx="14">
                  <c:v>0.13336748633879783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'24'!$D$6:$D$21</c:f>
              <c:strCache>
                <c:ptCount val="15"/>
                <c:pt idx="0">
                  <c:v>COVER</c:v>
                </c:pt>
                <c:pt idx="1">
                  <c:v>203T</c:v>
                </c:pt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SEPARATOR</c:v>
                </c:pt>
                <c:pt idx="6">
                  <c:v>SLIDER</c:v>
                </c:pt>
                <c:pt idx="7">
                  <c:v>FLOAT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0.46150805115523413</c:v>
                </c:pt>
                <c:pt idx="1">
                  <c:v>0.46150805115523413</c:v>
                </c:pt>
                <c:pt idx="2">
                  <c:v>0.46150805115523413</c:v>
                </c:pt>
                <c:pt idx="3">
                  <c:v>0.46150805115523413</c:v>
                </c:pt>
                <c:pt idx="4">
                  <c:v>0.46150805115523413</c:v>
                </c:pt>
                <c:pt idx="5">
                  <c:v>0.46150805115523413</c:v>
                </c:pt>
                <c:pt idx="6">
                  <c:v>0.46150805115523413</c:v>
                </c:pt>
                <c:pt idx="7">
                  <c:v>0.46150805115523413</c:v>
                </c:pt>
                <c:pt idx="8">
                  <c:v>0.46150805115523413</c:v>
                </c:pt>
                <c:pt idx="9">
                  <c:v>0.46150805115523413</c:v>
                </c:pt>
                <c:pt idx="10">
                  <c:v>0.46150805115523413</c:v>
                </c:pt>
                <c:pt idx="11">
                  <c:v>0.46150805115523413</c:v>
                </c:pt>
                <c:pt idx="12">
                  <c:v>0.46150805115523413</c:v>
                </c:pt>
                <c:pt idx="13">
                  <c:v>0.46150805115523413</c:v>
                </c:pt>
                <c:pt idx="14">
                  <c:v>0.46150805115523413</c:v>
                </c:pt>
                <c:pt idx="15">
                  <c:v>0.46150805115523413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00864"/>
        <c:axId val="345594048"/>
      </c:lineChart>
      <c:catAx>
        <c:axId val="41450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5594048"/>
        <c:crosses val="autoZero"/>
        <c:auto val="1"/>
        <c:lblAlgn val="ctr"/>
        <c:lblOffset val="100"/>
        <c:noMultiLvlLbl val="0"/>
      </c:catAx>
      <c:valAx>
        <c:axId val="3455940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14500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4502400"/>
        <c:axId val="34569478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02400"/>
        <c:axId val="345694784"/>
      </c:lineChart>
      <c:catAx>
        <c:axId val="414502400"/>
        <c:scaling>
          <c:orientation val="minMax"/>
        </c:scaling>
        <c:delete val="0"/>
        <c:axPos val="b"/>
        <c:majorTickMark val="out"/>
        <c:minorTickMark val="none"/>
        <c:tickLblPos val="nextTo"/>
        <c:crossAx val="345694784"/>
        <c:crosses val="autoZero"/>
        <c:auto val="1"/>
        <c:lblAlgn val="ctr"/>
        <c:lblOffset val="100"/>
        <c:noMultiLvlLbl val="0"/>
      </c:catAx>
      <c:valAx>
        <c:axId val="3456947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1450240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'26'!$D$6:$D$20</c:f>
              <c:strCache>
                <c:ptCount val="14"/>
                <c:pt idx="0">
                  <c:v>COVER</c:v>
                </c:pt>
                <c:pt idx="1">
                  <c:v>HOLDER</c:v>
                </c:pt>
                <c:pt idx="2">
                  <c:v>CASE</c:v>
                </c:pt>
                <c:pt idx="3">
                  <c:v>STOPPER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'26'!$L$6:$L$20</c:f>
              <c:numCache>
                <c:formatCode>_(* #,##0_);_(* \(#,##0\);_(* "-"_);_(@_)</c:formatCode>
                <c:ptCount val="15"/>
                <c:pt idx="0">
                  <c:v>3602</c:v>
                </c:pt>
                <c:pt idx="1">
                  <c:v>0</c:v>
                </c:pt>
                <c:pt idx="2">
                  <c:v>8570</c:v>
                </c:pt>
                <c:pt idx="3">
                  <c:v>5091</c:v>
                </c:pt>
                <c:pt idx="4">
                  <c:v>20920</c:v>
                </c:pt>
                <c:pt idx="5">
                  <c:v>7078</c:v>
                </c:pt>
                <c:pt idx="6">
                  <c:v>5000</c:v>
                </c:pt>
                <c:pt idx="7">
                  <c:v>4975</c:v>
                </c:pt>
                <c:pt idx="10">
                  <c:v>4589</c:v>
                </c:pt>
                <c:pt idx="11">
                  <c:v>6968</c:v>
                </c:pt>
                <c:pt idx="12">
                  <c:v>9654</c:v>
                </c:pt>
                <c:pt idx="13">
                  <c:v>2949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'26'!$D$6:$D$20</c:f>
              <c:strCache>
                <c:ptCount val="14"/>
                <c:pt idx="0">
                  <c:v>COVER</c:v>
                </c:pt>
                <c:pt idx="1">
                  <c:v>HOLDER</c:v>
                </c:pt>
                <c:pt idx="2">
                  <c:v>CASE</c:v>
                </c:pt>
                <c:pt idx="3">
                  <c:v>STOPPER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'26'!$J$6:$J$20</c:f>
              <c:numCache>
                <c:formatCode>_(* #,##0_);_(* \(#,##0\);_(* "-"_);_(@_)</c:formatCode>
                <c:ptCount val="15"/>
                <c:pt idx="0">
                  <c:v>3610</c:v>
                </c:pt>
                <c:pt idx="1">
                  <c:v>15560</c:v>
                </c:pt>
                <c:pt idx="2">
                  <c:v>8570</c:v>
                </c:pt>
                <c:pt idx="3">
                  <c:v>5100</c:v>
                </c:pt>
                <c:pt idx="4">
                  <c:v>20920</c:v>
                </c:pt>
                <c:pt idx="5">
                  <c:v>7080</c:v>
                </c:pt>
                <c:pt idx="6">
                  <c:v>5000</c:v>
                </c:pt>
                <c:pt idx="7">
                  <c:v>4980</c:v>
                </c:pt>
                <c:pt idx="8">
                  <c:v>318</c:v>
                </c:pt>
                <c:pt idx="9">
                  <c:v>159</c:v>
                </c:pt>
                <c:pt idx="10">
                  <c:v>4590</c:v>
                </c:pt>
                <c:pt idx="11">
                  <c:v>6970</c:v>
                </c:pt>
                <c:pt idx="12">
                  <c:v>9660</c:v>
                </c:pt>
                <c:pt idx="13">
                  <c:v>3000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863296"/>
        <c:axId val="345697664"/>
      </c:lineChart>
      <c:catAx>
        <c:axId val="4318632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5697664"/>
        <c:crosses val="autoZero"/>
        <c:auto val="1"/>
        <c:lblAlgn val="ctr"/>
        <c:lblOffset val="100"/>
        <c:noMultiLvlLbl val="0"/>
      </c:catAx>
      <c:valAx>
        <c:axId val="3456976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31863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'26'!$AD$6:$AD$20</c:f>
              <c:strCache>
                <c:ptCount val="1"/>
                <c:pt idx="0">
                  <c:v>100% 0% 92% 100% 88% 87% 100% 100% 0% 0% 83% 87% 100% 45%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'26'!$D$6:$D$20</c:f>
              <c:strCache>
                <c:ptCount val="14"/>
                <c:pt idx="0">
                  <c:v>COVER</c:v>
                </c:pt>
                <c:pt idx="1">
                  <c:v>HOLDER</c:v>
                </c:pt>
                <c:pt idx="2">
                  <c:v>CASE</c:v>
                </c:pt>
                <c:pt idx="3">
                  <c:v>STOPPER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'26'!$AD$6:$AD$20</c:f>
              <c:numCache>
                <c:formatCode>0%</c:formatCode>
                <c:ptCount val="15"/>
                <c:pt idx="0">
                  <c:v>0.99778393351800554</c:v>
                </c:pt>
                <c:pt idx="1">
                  <c:v>0</c:v>
                </c:pt>
                <c:pt idx="2">
                  <c:v>0.91666666666666663</c:v>
                </c:pt>
                <c:pt idx="3">
                  <c:v>0.99823529411764711</c:v>
                </c:pt>
                <c:pt idx="4">
                  <c:v>0.875</c:v>
                </c:pt>
                <c:pt idx="5">
                  <c:v>0.87475282485875705</c:v>
                </c:pt>
                <c:pt idx="6">
                  <c:v>1</c:v>
                </c:pt>
                <c:pt idx="7">
                  <c:v>0.99899598393574296</c:v>
                </c:pt>
                <c:pt idx="8">
                  <c:v>0</c:v>
                </c:pt>
                <c:pt idx="9">
                  <c:v>0</c:v>
                </c:pt>
                <c:pt idx="10">
                  <c:v>0.83315177923021055</c:v>
                </c:pt>
                <c:pt idx="11">
                  <c:v>0.87474892395982784</c:v>
                </c:pt>
                <c:pt idx="12">
                  <c:v>0.99937888198757763</c:v>
                </c:pt>
                <c:pt idx="13">
                  <c:v>0.45054166666666662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'26'!$D$6:$D$20</c:f>
              <c:strCache>
                <c:ptCount val="14"/>
                <c:pt idx="0">
                  <c:v>COVER</c:v>
                </c:pt>
                <c:pt idx="1">
                  <c:v>HOLDER</c:v>
                </c:pt>
                <c:pt idx="2">
                  <c:v>CASE</c:v>
                </c:pt>
                <c:pt idx="3">
                  <c:v>STOPPER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'26'!$AE$6:$AE$20</c:f>
              <c:numCache>
                <c:formatCode>0%</c:formatCode>
                <c:ptCount val="15"/>
                <c:pt idx="0">
                  <c:v>0.6546170636627402</c:v>
                </c:pt>
                <c:pt idx="1">
                  <c:v>0.6546170636627402</c:v>
                </c:pt>
                <c:pt idx="2">
                  <c:v>0.6546170636627402</c:v>
                </c:pt>
                <c:pt idx="3">
                  <c:v>0.6546170636627402</c:v>
                </c:pt>
                <c:pt idx="4">
                  <c:v>0.6546170636627402</c:v>
                </c:pt>
                <c:pt idx="5">
                  <c:v>0.6546170636627402</c:v>
                </c:pt>
                <c:pt idx="6">
                  <c:v>0.6546170636627402</c:v>
                </c:pt>
                <c:pt idx="7">
                  <c:v>0.6546170636627402</c:v>
                </c:pt>
                <c:pt idx="8">
                  <c:v>0.6546170636627402</c:v>
                </c:pt>
                <c:pt idx="9">
                  <c:v>0.6546170636627402</c:v>
                </c:pt>
                <c:pt idx="10">
                  <c:v>0.6546170636627402</c:v>
                </c:pt>
                <c:pt idx="11">
                  <c:v>0.6546170636627402</c:v>
                </c:pt>
                <c:pt idx="12">
                  <c:v>0.6546170636627402</c:v>
                </c:pt>
                <c:pt idx="13">
                  <c:v>0.6546170636627402</c:v>
                </c:pt>
                <c:pt idx="14">
                  <c:v>0.6546170636627402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864320"/>
        <c:axId val="345699392"/>
      </c:lineChart>
      <c:catAx>
        <c:axId val="43186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5699392"/>
        <c:crosses val="autoZero"/>
        <c:auto val="1"/>
        <c:lblAlgn val="ctr"/>
        <c:lblOffset val="100"/>
        <c:noMultiLvlLbl val="0"/>
      </c:catAx>
      <c:valAx>
        <c:axId val="3456993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31864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'26'!$D$6:$D$20</c:f>
              <c:strCache>
                <c:ptCount val="14"/>
                <c:pt idx="0">
                  <c:v>COVER</c:v>
                </c:pt>
                <c:pt idx="1">
                  <c:v>HOLDER</c:v>
                </c:pt>
                <c:pt idx="2">
                  <c:v>CASE</c:v>
                </c:pt>
                <c:pt idx="3">
                  <c:v>STOPPER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'26'!$L$6:$L$20</c:f>
              <c:numCache>
                <c:formatCode>_(* #,##0_);_(* \(#,##0\);_(* "-"_);_(@_)</c:formatCode>
                <c:ptCount val="15"/>
                <c:pt idx="0">
                  <c:v>3602</c:v>
                </c:pt>
                <c:pt idx="1">
                  <c:v>0</c:v>
                </c:pt>
                <c:pt idx="2">
                  <c:v>8570</c:v>
                </c:pt>
                <c:pt idx="3">
                  <c:v>5091</c:v>
                </c:pt>
                <c:pt idx="4">
                  <c:v>20920</c:v>
                </c:pt>
                <c:pt idx="5">
                  <c:v>7078</c:v>
                </c:pt>
                <c:pt idx="6">
                  <c:v>5000</c:v>
                </c:pt>
                <c:pt idx="7">
                  <c:v>4975</c:v>
                </c:pt>
                <c:pt idx="10">
                  <c:v>4589</c:v>
                </c:pt>
                <c:pt idx="11">
                  <c:v>6968</c:v>
                </c:pt>
                <c:pt idx="12">
                  <c:v>9654</c:v>
                </c:pt>
                <c:pt idx="13">
                  <c:v>2949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'26'!$D$6:$D$20</c:f>
              <c:strCache>
                <c:ptCount val="14"/>
                <c:pt idx="0">
                  <c:v>COVER</c:v>
                </c:pt>
                <c:pt idx="1">
                  <c:v>HOLDER</c:v>
                </c:pt>
                <c:pt idx="2">
                  <c:v>CASE</c:v>
                </c:pt>
                <c:pt idx="3">
                  <c:v>STOPPER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'26'!$J$6:$J$20</c:f>
              <c:numCache>
                <c:formatCode>_(* #,##0_);_(* \(#,##0\);_(* "-"_);_(@_)</c:formatCode>
                <c:ptCount val="15"/>
                <c:pt idx="0">
                  <c:v>3610</c:v>
                </c:pt>
                <c:pt idx="1">
                  <c:v>15560</c:v>
                </c:pt>
                <c:pt idx="2">
                  <c:v>8570</c:v>
                </c:pt>
                <c:pt idx="3">
                  <c:v>5100</c:v>
                </c:pt>
                <c:pt idx="4">
                  <c:v>20920</c:v>
                </c:pt>
                <c:pt idx="5">
                  <c:v>7080</c:v>
                </c:pt>
                <c:pt idx="6">
                  <c:v>5000</c:v>
                </c:pt>
                <c:pt idx="7">
                  <c:v>4980</c:v>
                </c:pt>
                <c:pt idx="8">
                  <c:v>318</c:v>
                </c:pt>
                <c:pt idx="9">
                  <c:v>159</c:v>
                </c:pt>
                <c:pt idx="10">
                  <c:v>4590</c:v>
                </c:pt>
                <c:pt idx="11">
                  <c:v>6970</c:v>
                </c:pt>
                <c:pt idx="12">
                  <c:v>9660</c:v>
                </c:pt>
                <c:pt idx="13">
                  <c:v>3000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865344"/>
        <c:axId val="345701696"/>
      </c:lineChart>
      <c:catAx>
        <c:axId val="4318653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5701696"/>
        <c:crosses val="autoZero"/>
        <c:auto val="1"/>
        <c:lblAlgn val="ctr"/>
        <c:lblOffset val="100"/>
        <c:noMultiLvlLbl val="0"/>
      </c:catAx>
      <c:valAx>
        <c:axId val="34570169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31865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'26'!$AD$6:$AD$20</c:f>
              <c:strCache>
                <c:ptCount val="1"/>
                <c:pt idx="0">
                  <c:v>100% 0% 92% 100% 88% 87% 100% 100% 0% 0% 83% 87% 100% 45%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'26'!$D$6:$D$20</c:f>
              <c:strCache>
                <c:ptCount val="14"/>
                <c:pt idx="0">
                  <c:v>COVER</c:v>
                </c:pt>
                <c:pt idx="1">
                  <c:v>HOLDER</c:v>
                </c:pt>
                <c:pt idx="2">
                  <c:v>CASE</c:v>
                </c:pt>
                <c:pt idx="3">
                  <c:v>STOPPER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'26'!$AD$6:$AD$20</c:f>
              <c:numCache>
                <c:formatCode>0%</c:formatCode>
                <c:ptCount val="15"/>
                <c:pt idx="0">
                  <c:v>0.99778393351800554</c:v>
                </c:pt>
                <c:pt idx="1">
                  <c:v>0</c:v>
                </c:pt>
                <c:pt idx="2">
                  <c:v>0.91666666666666663</c:v>
                </c:pt>
                <c:pt idx="3">
                  <c:v>0.99823529411764711</c:v>
                </c:pt>
                <c:pt idx="4">
                  <c:v>0.875</c:v>
                </c:pt>
                <c:pt idx="5">
                  <c:v>0.87475282485875705</c:v>
                </c:pt>
                <c:pt idx="6">
                  <c:v>1</c:v>
                </c:pt>
                <c:pt idx="7">
                  <c:v>0.99899598393574296</c:v>
                </c:pt>
                <c:pt idx="8">
                  <c:v>0</c:v>
                </c:pt>
                <c:pt idx="9">
                  <c:v>0</c:v>
                </c:pt>
                <c:pt idx="10">
                  <c:v>0.83315177923021055</c:v>
                </c:pt>
                <c:pt idx="11">
                  <c:v>0.87474892395982784</c:v>
                </c:pt>
                <c:pt idx="12">
                  <c:v>0.99937888198757763</c:v>
                </c:pt>
                <c:pt idx="13">
                  <c:v>0.45054166666666662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'26'!$D$6:$D$20</c:f>
              <c:strCache>
                <c:ptCount val="14"/>
                <c:pt idx="0">
                  <c:v>COVER</c:v>
                </c:pt>
                <c:pt idx="1">
                  <c:v>HOLDER</c:v>
                </c:pt>
                <c:pt idx="2">
                  <c:v>CASE</c:v>
                </c:pt>
                <c:pt idx="3">
                  <c:v>STOPPER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'26'!$AE$6:$AE$20</c:f>
              <c:numCache>
                <c:formatCode>0%</c:formatCode>
                <c:ptCount val="15"/>
                <c:pt idx="0">
                  <c:v>0.6546170636627402</c:v>
                </c:pt>
                <c:pt idx="1">
                  <c:v>0.6546170636627402</c:v>
                </c:pt>
                <c:pt idx="2">
                  <c:v>0.6546170636627402</c:v>
                </c:pt>
                <c:pt idx="3">
                  <c:v>0.6546170636627402</c:v>
                </c:pt>
                <c:pt idx="4">
                  <c:v>0.6546170636627402</c:v>
                </c:pt>
                <c:pt idx="5">
                  <c:v>0.6546170636627402</c:v>
                </c:pt>
                <c:pt idx="6">
                  <c:v>0.6546170636627402</c:v>
                </c:pt>
                <c:pt idx="7">
                  <c:v>0.6546170636627402</c:v>
                </c:pt>
                <c:pt idx="8">
                  <c:v>0.6546170636627402</c:v>
                </c:pt>
                <c:pt idx="9">
                  <c:v>0.6546170636627402</c:v>
                </c:pt>
                <c:pt idx="10">
                  <c:v>0.6546170636627402</c:v>
                </c:pt>
                <c:pt idx="11">
                  <c:v>0.6546170636627402</c:v>
                </c:pt>
                <c:pt idx="12">
                  <c:v>0.6546170636627402</c:v>
                </c:pt>
                <c:pt idx="13">
                  <c:v>0.6546170636627402</c:v>
                </c:pt>
                <c:pt idx="14">
                  <c:v>0.6546170636627402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087040"/>
        <c:axId val="345793664"/>
      </c:lineChart>
      <c:catAx>
        <c:axId val="432087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5793664"/>
        <c:crosses val="autoZero"/>
        <c:auto val="1"/>
        <c:lblAlgn val="ctr"/>
        <c:lblOffset val="100"/>
        <c:noMultiLvlLbl val="0"/>
      </c:catAx>
      <c:valAx>
        <c:axId val="3457936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32087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2087552"/>
        <c:axId val="34579596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087552"/>
        <c:axId val="345795968"/>
      </c:lineChart>
      <c:catAx>
        <c:axId val="432087552"/>
        <c:scaling>
          <c:orientation val="minMax"/>
        </c:scaling>
        <c:delete val="0"/>
        <c:axPos val="b"/>
        <c:majorTickMark val="out"/>
        <c:minorTickMark val="none"/>
        <c:tickLblPos val="nextTo"/>
        <c:crossAx val="345795968"/>
        <c:crosses val="autoZero"/>
        <c:auto val="1"/>
        <c:lblAlgn val="ctr"/>
        <c:lblOffset val="100"/>
        <c:noMultiLvlLbl val="0"/>
      </c:catAx>
      <c:valAx>
        <c:axId val="3457959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3208755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STOPPER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0">
                  <c:v>4512</c:v>
                </c:pt>
                <c:pt idx="1">
                  <c:v>3799</c:v>
                </c:pt>
                <c:pt idx="3">
                  <c:v>5851</c:v>
                </c:pt>
                <c:pt idx="4">
                  <c:v>19906</c:v>
                </c:pt>
                <c:pt idx="5">
                  <c:v>4349</c:v>
                </c:pt>
                <c:pt idx="6">
                  <c:v>5466</c:v>
                </c:pt>
                <c:pt idx="7">
                  <c:v>5310</c:v>
                </c:pt>
                <c:pt idx="10">
                  <c:v>3471</c:v>
                </c:pt>
                <c:pt idx="11">
                  <c:v>4624</c:v>
                </c:pt>
                <c:pt idx="12">
                  <c:v>1320</c:v>
                </c:pt>
                <c:pt idx="13">
                  <c:v>3236</c:v>
                </c:pt>
                <c:pt idx="14">
                  <c:v>7245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STOPPER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4520</c:v>
                </c:pt>
                <c:pt idx="1">
                  <c:v>3800</c:v>
                </c:pt>
                <c:pt idx="2">
                  <c:v>8570</c:v>
                </c:pt>
                <c:pt idx="3">
                  <c:v>5851</c:v>
                </c:pt>
                <c:pt idx="4">
                  <c:v>19910</c:v>
                </c:pt>
                <c:pt idx="5">
                  <c:v>4350</c:v>
                </c:pt>
                <c:pt idx="6">
                  <c:v>5470</c:v>
                </c:pt>
                <c:pt idx="7">
                  <c:v>5310</c:v>
                </c:pt>
                <c:pt idx="8">
                  <c:v>318</c:v>
                </c:pt>
                <c:pt idx="9">
                  <c:v>159</c:v>
                </c:pt>
                <c:pt idx="10">
                  <c:v>3480</c:v>
                </c:pt>
                <c:pt idx="11">
                  <c:v>4630</c:v>
                </c:pt>
                <c:pt idx="12">
                  <c:v>1320</c:v>
                </c:pt>
                <c:pt idx="13">
                  <c:v>3240</c:v>
                </c:pt>
                <c:pt idx="14">
                  <c:v>7250</c:v>
                </c:pt>
                <c:pt idx="15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395776"/>
        <c:axId val="345798848"/>
      </c:lineChart>
      <c:catAx>
        <c:axId val="4323957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5798848"/>
        <c:crosses val="autoZero"/>
        <c:auto val="1"/>
        <c:lblAlgn val="ctr"/>
        <c:lblOffset val="100"/>
        <c:noMultiLvlLbl val="0"/>
      </c:catAx>
      <c:valAx>
        <c:axId val="3457988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32395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"/>
                <c:pt idx="0">
                  <c:v>25% 79% 0% 100% 100% 87% 100% 100% 0% 0% 62% 50% 29% 62%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'27'!$D$6:$D$21</c:f>
              <c:strCache>
                <c:ptCount val="15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STOPPER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0.24955752212389382</c:v>
                </c:pt>
                <c:pt idx="1">
                  <c:v>0.79145833333333326</c:v>
                </c:pt>
                <c:pt idx="2">
                  <c:v>0</c:v>
                </c:pt>
                <c:pt idx="3">
                  <c:v>1</c:v>
                </c:pt>
                <c:pt idx="4">
                  <c:v>0.99979909593169258</c:v>
                </c:pt>
                <c:pt idx="5">
                  <c:v>0.87479885057471263</c:v>
                </c:pt>
                <c:pt idx="6">
                  <c:v>0.99926873857404019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0.62338362068965514</c:v>
                </c:pt>
                <c:pt idx="11">
                  <c:v>0.49935205183585313</c:v>
                </c:pt>
                <c:pt idx="12">
                  <c:v>0.29166666666666669</c:v>
                </c:pt>
                <c:pt idx="13">
                  <c:v>0.62422839506172845</c:v>
                </c:pt>
                <c:pt idx="14">
                  <c:v>0.99931034482758618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'27'!$D$6:$D$21</c:f>
              <c:strCache>
                <c:ptCount val="15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STOPPER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0.59685490797461083</c:v>
                </c:pt>
                <c:pt idx="1">
                  <c:v>0.59685490797461083</c:v>
                </c:pt>
                <c:pt idx="2">
                  <c:v>0.59685490797461083</c:v>
                </c:pt>
                <c:pt idx="3">
                  <c:v>0.59685490797461083</c:v>
                </c:pt>
                <c:pt idx="4">
                  <c:v>0.59685490797461083</c:v>
                </c:pt>
                <c:pt idx="5">
                  <c:v>0.59685490797461083</c:v>
                </c:pt>
                <c:pt idx="6">
                  <c:v>0.59685490797461083</c:v>
                </c:pt>
                <c:pt idx="7">
                  <c:v>0.59685490797461083</c:v>
                </c:pt>
                <c:pt idx="8">
                  <c:v>0.59685490797461083</c:v>
                </c:pt>
                <c:pt idx="9">
                  <c:v>0.59685490797461083</c:v>
                </c:pt>
                <c:pt idx="10">
                  <c:v>0.59685490797461083</c:v>
                </c:pt>
                <c:pt idx="11">
                  <c:v>0.59685490797461083</c:v>
                </c:pt>
                <c:pt idx="12">
                  <c:v>0.59685490797461083</c:v>
                </c:pt>
                <c:pt idx="13">
                  <c:v>0.59685490797461083</c:v>
                </c:pt>
                <c:pt idx="14">
                  <c:v>0.59685490797461083</c:v>
                </c:pt>
                <c:pt idx="15">
                  <c:v>0.59685490797461083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396800"/>
        <c:axId val="343638016"/>
      </c:lineChart>
      <c:catAx>
        <c:axId val="43239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3638016"/>
        <c:crosses val="autoZero"/>
        <c:auto val="1"/>
        <c:lblAlgn val="ctr"/>
        <c:lblOffset val="100"/>
        <c:noMultiLvlLbl val="0"/>
      </c:catAx>
      <c:valAx>
        <c:axId val="3436380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32396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STOPPER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0">
                  <c:v>4512</c:v>
                </c:pt>
                <c:pt idx="1">
                  <c:v>3799</c:v>
                </c:pt>
                <c:pt idx="3">
                  <c:v>5851</c:v>
                </c:pt>
                <c:pt idx="4">
                  <c:v>19906</c:v>
                </c:pt>
                <c:pt idx="5">
                  <c:v>4349</c:v>
                </c:pt>
                <c:pt idx="6">
                  <c:v>5466</c:v>
                </c:pt>
                <c:pt idx="7">
                  <c:v>5310</c:v>
                </c:pt>
                <c:pt idx="10">
                  <c:v>3471</c:v>
                </c:pt>
                <c:pt idx="11">
                  <c:v>4624</c:v>
                </c:pt>
                <c:pt idx="12">
                  <c:v>1320</c:v>
                </c:pt>
                <c:pt idx="13">
                  <c:v>3236</c:v>
                </c:pt>
                <c:pt idx="14">
                  <c:v>7245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STOPPER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4520</c:v>
                </c:pt>
                <c:pt idx="1">
                  <c:v>3800</c:v>
                </c:pt>
                <c:pt idx="2">
                  <c:v>8570</c:v>
                </c:pt>
                <c:pt idx="3">
                  <c:v>5851</c:v>
                </c:pt>
                <c:pt idx="4">
                  <c:v>19910</c:v>
                </c:pt>
                <c:pt idx="5">
                  <c:v>4350</c:v>
                </c:pt>
                <c:pt idx="6">
                  <c:v>5470</c:v>
                </c:pt>
                <c:pt idx="7">
                  <c:v>5310</c:v>
                </c:pt>
                <c:pt idx="8">
                  <c:v>318</c:v>
                </c:pt>
                <c:pt idx="9">
                  <c:v>159</c:v>
                </c:pt>
                <c:pt idx="10">
                  <c:v>3480</c:v>
                </c:pt>
                <c:pt idx="11">
                  <c:v>4630</c:v>
                </c:pt>
                <c:pt idx="12">
                  <c:v>1320</c:v>
                </c:pt>
                <c:pt idx="13">
                  <c:v>3240</c:v>
                </c:pt>
                <c:pt idx="14">
                  <c:v>7250</c:v>
                </c:pt>
                <c:pt idx="15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397824"/>
        <c:axId val="343640320"/>
      </c:lineChart>
      <c:catAx>
        <c:axId val="43239782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3640320"/>
        <c:crosses val="autoZero"/>
        <c:auto val="1"/>
        <c:lblAlgn val="ctr"/>
        <c:lblOffset val="100"/>
        <c:noMultiLvlLbl val="0"/>
      </c:catAx>
      <c:valAx>
        <c:axId val="3436403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32397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"/>
                <c:pt idx="0">
                  <c:v>25% 79% 0% 100% 100% 87% 100% 100% 0% 0% 62% 50% 29% 62%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'27'!$D$6:$D$21</c:f>
              <c:strCache>
                <c:ptCount val="15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STOPPER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0.24955752212389382</c:v>
                </c:pt>
                <c:pt idx="1">
                  <c:v>0.79145833333333326</c:v>
                </c:pt>
                <c:pt idx="2">
                  <c:v>0</c:v>
                </c:pt>
                <c:pt idx="3">
                  <c:v>1</c:v>
                </c:pt>
                <c:pt idx="4">
                  <c:v>0.99979909593169258</c:v>
                </c:pt>
                <c:pt idx="5">
                  <c:v>0.87479885057471263</c:v>
                </c:pt>
                <c:pt idx="6">
                  <c:v>0.99926873857404019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0.62338362068965514</c:v>
                </c:pt>
                <c:pt idx="11">
                  <c:v>0.49935205183585313</c:v>
                </c:pt>
                <c:pt idx="12">
                  <c:v>0.29166666666666669</c:v>
                </c:pt>
                <c:pt idx="13">
                  <c:v>0.62422839506172845</c:v>
                </c:pt>
                <c:pt idx="14">
                  <c:v>0.99931034482758618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'27'!$D$6:$D$21</c:f>
              <c:strCache>
                <c:ptCount val="15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STOPPER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BASE</c:v>
                </c:pt>
                <c:pt idx="14">
                  <c:v>SPACER A,B,C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0.59685490797461083</c:v>
                </c:pt>
                <c:pt idx="1">
                  <c:v>0.59685490797461083</c:v>
                </c:pt>
                <c:pt idx="2">
                  <c:v>0.59685490797461083</c:v>
                </c:pt>
                <c:pt idx="3">
                  <c:v>0.59685490797461083</c:v>
                </c:pt>
                <c:pt idx="4">
                  <c:v>0.59685490797461083</c:v>
                </c:pt>
                <c:pt idx="5">
                  <c:v>0.59685490797461083</c:v>
                </c:pt>
                <c:pt idx="6">
                  <c:v>0.59685490797461083</c:v>
                </c:pt>
                <c:pt idx="7">
                  <c:v>0.59685490797461083</c:v>
                </c:pt>
                <c:pt idx="8">
                  <c:v>0.59685490797461083</c:v>
                </c:pt>
                <c:pt idx="9">
                  <c:v>0.59685490797461083</c:v>
                </c:pt>
                <c:pt idx="10">
                  <c:v>0.59685490797461083</c:v>
                </c:pt>
                <c:pt idx="11">
                  <c:v>0.59685490797461083</c:v>
                </c:pt>
                <c:pt idx="12">
                  <c:v>0.59685490797461083</c:v>
                </c:pt>
                <c:pt idx="13">
                  <c:v>0.59685490797461083</c:v>
                </c:pt>
                <c:pt idx="14">
                  <c:v>0.59685490797461083</c:v>
                </c:pt>
                <c:pt idx="15">
                  <c:v>0.59685490797461083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529408"/>
        <c:axId val="343642048"/>
      </c:lineChart>
      <c:catAx>
        <c:axId val="43252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3642048"/>
        <c:crosses val="autoZero"/>
        <c:auto val="1"/>
        <c:lblAlgn val="ctr"/>
        <c:lblOffset val="100"/>
        <c:noMultiLvlLbl val="0"/>
      </c:catAx>
      <c:valAx>
        <c:axId val="3436420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32529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2529920"/>
        <c:axId val="3436443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529920"/>
        <c:axId val="343644352"/>
      </c:lineChart>
      <c:catAx>
        <c:axId val="432529920"/>
        <c:scaling>
          <c:orientation val="minMax"/>
        </c:scaling>
        <c:delete val="0"/>
        <c:axPos val="b"/>
        <c:majorTickMark val="out"/>
        <c:minorTickMark val="none"/>
        <c:tickLblPos val="nextTo"/>
        <c:crossAx val="343644352"/>
        <c:crosses val="autoZero"/>
        <c:auto val="1"/>
        <c:lblAlgn val="ctr"/>
        <c:lblOffset val="100"/>
        <c:noMultiLvlLbl val="0"/>
      </c:catAx>
      <c:valAx>
        <c:axId val="3436443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3252992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BASE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2261</c:v>
                </c:pt>
                <c:pt idx="3">
                  <c:v>1363</c:v>
                </c:pt>
                <c:pt idx="4">
                  <c:v>984</c:v>
                </c:pt>
                <c:pt idx="5">
                  <c:v>4352</c:v>
                </c:pt>
                <c:pt idx="6">
                  <c:v>5494</c:v>
                </c:pt>
                <c:pt idx="7">
                  <c:v>4477</c:v>
                </c:pt>
                <c:pt idx="10">
                  <c:v>1435</c:v>
                </c:pt>
                <c:pt idx="12">
                  <c:v>5609</c:v>
                </c:pt>
                <c:pt idx="13">
                  <c:v>6653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BASE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4520</c:v>
                </c:pt>
                <c:pt idx="1">
                  <c:v>2270</c:v>
                </c:pt>
                <c:pt idx="2">
                  <c:v>8570</c:v>
                </c:pt>
                <c:pt idx="3">
                  <c:v>1363</c:v>
                </c:pt>
                <c:pt idx="4">
                  <c:v>1000</c:v>
                </c:pt>
                <c:pt idx="5">
                  <c:v>4360</c:v>
                </c:pt>
                <c:pt idx="6">
                  <c:v>5500</c:v>
                </c:pt>
                <c:pt idx="7">
                  <c:v>4480</c:v>
                </c:pt>
                <c:pt idx="8">
                  <c:v>318</c:v>
                </c:pt>
                <c:pt idx="9">
                  <c:v>159</c:v>
                </c:pt>
                <c:pt idx="10">
                  <c:v>1440</c:v>
                </c:pt>
                <c:pt idx="11">
                  <c:v>4630</c:v>
                </c:pt>
                <c:pt idx="12">
                  <c:v>5610</c:v>
                </c:pt>
                <c:pt idx="13">
                  <c:v>6660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143296"/>
        <c:axId val="345384064"/>
      </c:lineChart>
      <c:catAx>
        <c:axId val="4331432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5384064"/>
        <c:crosses val="autoZero"/>
        <c:auto val="1"/>
        <c:lblAlgn val="ctr"/>
        <c:lblOffset val="100"/>
        <c:noMultiLvlLbl val="0"/>
      </c:catAx>
      <c:valAx>
        <c:axId val="3453840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33143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"/>
                <c:pt idx="0">
                  <c:v>0% 50% 0% 42% 25% 91% 100% 100% 0% 0% 42% 0% 100% 87%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'28'!$D$6:$D$20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BASE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0.49801762114537446</c:v>
                </c:pt>
                <c:pt idx="2">
                  <c:v>0</c:v>
                </c:pt>
                <c:pt idx="3">
                  <c:v>0.41666666666666669</c:v>
                </c:pt>
                <c:pt idx="4">
                  <c:v>0.246</c:v>
                </c:pt>
                <c:pt idx="5">
                  <c:v>0.91498470948012234</c:v>
                </c:pt>
                <c:pt idx="6">
                  <c:v>0.99890909090909086</c:v>
                </c:pt>
                <c:pt idx="7">
                  <c:v>0.99933035714285712</c:v>
                </c:pt>
                <c:pt idx="8">
                  <c:v>0</c:v>
                </c:pt>
                <c:pt idx="9">
                  <c:v>0</c:v>
                </c:pt>
                <c:pt idx="10">
                  <c:v>0.41521990740740744</c:v>
                </c:pt>
                <c:pt idx="11">
                  <c:v>0</c:v>
                </c:pt>
                <c:pt idx="12">
                  <c:v>0.99982174688057046</c:v>
                </c:pt>
                <c:pt idx="13">
                  <c:v>0.87408033033033028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'28'!$D$6:$D$20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BASE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0.42420202866416129</c:v>
                </c:pt>
                <c:pt idx="1">
                  <c:v>0.42420202866416129</c:v>
                </c:pt>
                <c:pt idx="2">
                  <c:v>0.42420202866416129</c:v>
                </c:pt>
                <c:pt idx="3">
                  <c:v>0.42420202866416129</c:v>
                </c:pt>
                <c:pt idx="4">
                  <c:v>0.42420202866416129</c:v>
                </c:pt>
                <c:pt idx="5">
                  <c:v>0.42420202866416129</c:v>
                </c:pt>
                <c:pt idx="6">
                  <c:v>0.42420202866416129</c:v>
                </c:pt>
                <c:pt idx="7">
                  <c:v>0.42420202866416129</c:v>
                </c:pt>
                <c:pt idx="8">
                  <c:v>0.42420202866416129</c:v>
                </c:pt>
                <c:pt idx="9">
                  <c:v>0.42420202866416129</c:v>
                </c:pt>
                <c:pt idx="10">
                  <c:v>0.42420202866416129</c:v>
                </c:pt>
                <c:pt idx="11">
                  <c:v>0.42420202866416129</c:v>
                </c:pt>
                <c:pt idx="12">
                  <c:v>0.42420202866416129</c:v>
                </c:pt>
                <c:pt idx="13">
                  <c:v>0.42420202866416129</c:v>
                </c:pt>
                <c:pt idx="14">
                  <c:v>0.42420202866416129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632768"/>
        <c:axId val="345385792"/>
      </c:lineChart>
      <c:catAx>
        <c:axId val="433632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5385792"/>
        <c:crosses val="autoZero"/>
        <c:auto val="1"/>
        <c:lblAlgn val="ctr"/>
        <c:lblOffset val="100"/>
        <c:noMultiLvlLbl val="0"/>
      </c:catAx>
      <c:valAx>
        <c:axId val="3453857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33632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BASE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2261</c:v>
                </c:pt>
                <c:pt idx="3">
                  <c:v>1363</c:v>
                </c:pt>
                <c:pt idx="4">
                  <c:v>984</c:v>
                </c:pt>
                <c:pt idx="5">
                  <c:v>4352</c:v>
                </c:pt>
                <c:pt idx="6">
                  <c:v>5494</c:v>
                </c:pt>
                <c:pt idx="7">
                  <c:v>4477</c:v>
                </c:pt>
                <c:pt idx="10">
                  <c:v>1435</c:v>
                </c:pt>
                <c:pt idx="12">
                  <c:v>5609</c:v>
                </c:pt>
                <c:pt idx="13">
                  <c:v>6653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BASE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4520</c:v>
                </c:pt>
                <c:pt idx="1">
                  <c:v>2270</c:v>
                </c:pt>
                <c:pt idx="2">
                  <c:v>8570</c:v>
                </c:pt>
                <c:pt idx="3">
                  <c:v>1363</c:v>
                </c:pt>
                <c:pt idx="4">
                  <c:v>1000</c:v>
                </c:pt>
                <c:pt idx="5">
                  <c:v>4360</c:v>
                </c:pt>
                <c:pt idx="6">
                  <c:v>5500</c:v>
                </c:pt>
                <c:pt idx="7">
                  <c:v>4480</c:v>
                </c:pt>
                <c:pt idx="8">
                  <c:v>318</c:v>
                </c:pt>
                <c:pt idx="9">
                  <c:v>159</c:v>
                </c:pt>
                <c:pt idx="10">
                  <c:v>1440</c:v>
                </c:pt>
                <c:pt idx="11">
                  <c:v>4630</c:v>
                </c:pt>
                <c:pt idx="12">
                  <c:v>5610</c:v>
                </c:pt>
                <c:pt idx="13">
                  <c:v>6660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633280"/>
        <c:axId val="345388096"/>
      </c:lineChart>
      <c:catAx>
        <c:axId val="4336332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5388096"/>
        <c:crosses val="autoZero"/>
        <c:auto val="1"/>
        <c:lblAlgn val="ctr"/>
        <c:lblOffset val="100"/>
        <c:noMultiLvlLbl val="0"/>
      </c:catAx>
      <c:valAx>
        <c:axId val="34538809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33633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"/>
                <c:pt idx="0">
                  <c:v>0% 50% 0% 42% 25% 91% 100% 100% 0% 0% 42% 0% 100% 87%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'28'!$D$6:$D$20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BASE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0.49801762114537446</c:v>
                </c:pt>
                <c:pt idx="2">
                  <c:v>0</c:v>
                </c:pt>
                <c:pt idx="3">
                  <c:v>0.41666666666666669</c:v>
                </c:pt>
                <c:pt idx="4">
                  <c:v>0.246</c:v>
                </c:pt>
                <c:pt idx="5">
                  <c:v>0.91498470948012234</c:v>
                </c:pt>
                <c:pt idx="6">
                  <c:v>0.99890909090909086</c:v>
                </c:pt>
                <c:pt idx="7">
                  <c:v>0.99933035714285712</c:v>
                </c:pt>
                <c:pt idx="8">
                  <c:v>0</c:v>
                </c:pt>
                <c:pt idx="9">
                  <c:v>0</c:v>
                </c:pt>
                <c:pt idx="10">
                  <c:v>0.41521990740740744</c:v>
                </c:pt>
                <c:pt idx="11">
                  <c:v>0</c:v>
                </c:pt>
                <c:pt idx="12">
                  <c:v>0.99982174688057046</c:v>
                </c:pt>
                <c:pt idx="13">
                  <c:v>0.87408033033033028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'28'!$D$6:$D$20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BASE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0.42420202866416129</c:v>
                </c:pt>
                <c:pt idx="1">
                  <c:v>0.42420202866416129</c:v>
                </c:pt>
                <c:pt idx="2">
                  <c:v>0.42420202866416129</c:v>
                </c:pt>
                <c:pt idx="3">
                  <c:v>0.42420202866416129</c:v>
                </c:pt>
                <c:pt idx="4">
                  <c:v>0.42420202866416129</c:v>
                </c:pt>
                <c:pt idx="5">
                  <c:v>0.42420202866416129</c:v>
                </c:pt>
                <c:pt idx="6">
                  <c:v>0.42420202866416129</c:v>
                </c:pt>
                <c:pt idx="7">
                  <c:v>0.42420202866416129</c:v>
                </c:pt>
                <c:pt idx="8">
                  <c:v>0.42420202866416129</c:v>
                </c:pt>
                <c:pt idx="9">
                  <c:v>0.42420202866416129</c:v>
                </c:pt>
                <c:pt idx="10">
                  <c:v>0.42420202866416129</c:v>
                </c:pt>
                <c:pt idx="11">
                  <c:v>0.42420202866416129</c:v>
                </c:pt>
                <c:pt idx="12">
                  <c:v>0.42420202866416129</c:v>
                </c:pt>
                <c:pt idx="13">
                  <c:v>0.42420202866416129</c:v>
                </c:pt>
                <c:pt idx="14">
                  <c:v>0.42420202866416129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634304"/>
        <c:axId val="345389824"/>
      </c:lineChart>
      <c:catAx>
        <c:axId val="43363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5389824"/>
        <c:crosses val="autoZero"/>
        <c:auto val="1"/>
        <c:lblAlgn val="ctr"/>
        <c:lblOffset val="100"/>
        <c:noMultiLvlLbl val="0"/>
      </c:catAx>
      <c:valAx>
        <c:axId val="3453898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33634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0.39145259010974381</c:v>
                </c:pt>
                <c:pt idx="1">
                  <c:v>0.46165237403145226</c:v>
                </c:pt>
                <c:pt idx="4">
                  <c:v>0.40471045648470161</c:v>
                </c:pt>
                <c:pt idx="5">
                  <c:v>0.47194770434853694</c:v>
                </c:pt>
                <c:pt idx="6">
                  <c:v>0.57745831102279999</c:v>
                </c:pt>
                <c:pt idx="7">
                  <c:v>0.59124148782448682</c:v>
                </c:pt>
                <c:pt idx="8">
                  <c:v>0.45809745173082406</c:v>
                </c:pt>
                <c:pt idx="9">
                  <c:v>0.36084049192454426</c:v>
                </c:pt>
                <c:pt idx="11">
                  <c:v>0.41605407422134311</c:v>
                </c:pt>
                <c:pt idx="12">
                  <c:v>0.5440273179617795</c:v>
                </c:pt>
                <c:pt idx="13">
                  <c:v>0.58309079001821407</c:v>
                </c:pt>
                <c:pt idx="18">
                  <c:v>0.56594453562252967</c:v>
                </c:pt>
                <c:pt idx="19">
                  <c:v>0.5800509123503409</c:v>
                </c:pt>
                <c:pt idx="20">
                  <c:v>0.60798321994458793</c:v>
                </c:pt>
                <c:pt idx="21">
                  <c:v>0.49134099882174448</c:v>
                </c:pt>
                <c:pt idx="22">
                  <c:v>0.56592274901765405</c:v>
                </c:pt>
                <c:pt idx="23">
                  <c:v>0.46150805115523413</c:v>
                </c:pt>
                <c:pt idx="25">
                  <c:v>0.6546170636627402</c:v>
                </c:pt>
                <c:pt idx="26">
                  <c:v>0.59685490797461083</c:v>
                </c:pt>
                <c:pt idx="27">
                  <c:v>0.42420202866416129</c:v>
                </c:pt>
                <c:pt idx="31">
                  <c:v>0.36460705417471539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6334336"/>
        <c:axId val="3459083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334336"/>
        <c:axId val="345908352"/>
      </c:lineChart>
      <c:catAx>
        <c:axId val="336334336"/>
        <c:scaling>
          <c:orientation val="minMax"/>
        </c:scaling>
        <c:delete val="0"/>
        <c:axPos val="b"/>
        <c:majorTickMark val="out"/>
        <c:minorTickMark val="none"/>
        <c:tickLblPos val="nextTo"/>
        <c:crossAx val="345908352"/>
        <c:crosses val="autoZero"/>
        <c:auto val="1"/>
        <c:lblAlgn val="ctr"/>
        <c:lblOffset val="100"/>
        <c:noMultiLvlLbl val="0"/>
      </c:catAx>
      <c:valAx>
        <c:axId val="3459083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3633433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J12" sqref="AJ12"/>
    </sheetView>
  </sheetViews>
  <sheetFormatPr defaultRowHeight="13.5"/>
  <cols>
    <col min="1" max="1" width="7.5" style="75" bestFit="1" customWidth="1"/>
    <col min="2" max="17" width="5.5" style="75" bestFit="1" customWidth="1"/>
    <col min="18" max="18" width="6" style="75" customWidth="1"/>
    <col min="19" max="33" width="5.5" style="75" bestFit="1" customWidth="1"/>
    <col min="34" max="16384" width="9" style="75"/>
  </cols>
  <sheetData>
    <row r="1" spans="1:33" ht="33.75" customHeight="1" thickBot="1">
      <c r="A1" s="354" t="s">
        <v>184</v>
      </c>
      <c r="B1" s="354"/>
      <c r="C1" s="354"/>
      <c r="D1" s="354"/>
      <c r="E1" s="354"/>
      <c r="F1" s="354"/>
      <c r="G1" s="354"/>
      <c r="H1" s="354"/>
    </row>
    <row r="2" spans="1:33" ht="21.75" customHeight="1" thickBot="1">
      <c r="A2" s="96" t="s">
        <v>59</v>
      </c>
      <c r="B2" s="98" t="s">
        <v>74</v>
      </c>
      <c r="C2" s="99" t="s">
        <v>75</v>
      </c>
      <c r="D2" s="99" t="s">
        <v>76</v>
      </c>
      <c r="E2" s="99" t="s">
        <v>77</v>
      </c>
      <c r="F2" s="99" t="s">
        <v>78</v>
      </c>
      <c r="G2" s="99" t="s">
        <v>79</v>
      </c>
      <c r="H2" s="99" t="s">
        <v>80</v>
      </c>
      <c r="I2" s="99" t="s">
        <v>81</v>
      </c>
      <c r="J2" s="99" t="s">
        <v>82</v>
      </c>
      <c r="K2" s="99" t="s">
        <v>83</v>
      </c>
      <c r="L2" s="99" t="s">
        <v>84</v>
      </c>
      <c r="M2" s="99" t="s">
        <v>85</v>
      </c>
      <c r="N2" s="99" t="s">
        <v>86</v>
      </c>
      <c r="O2" s="99" t="s">
        <v>87</v>
      </c>
      <c r="P2" s="99" t="s">
        <v>88</v>
      </c>
      <c r="Q2" s="99" t="s">
        <v>89</v>
      </c>
      <c r="R2" s="99" t="s">
        <v>90</v>
      </c>
      <c r="S2" s="99" t="s">
        <v>91</v>
      </c>
      <c r="T2" s="99" t="s">
        <v>92</v>
      </c>
      <c r="U2" s="99" t="s">
        <v>93</v>
      </c>
      <c r="V2" s="99" t="s">
        <v>94</v>
      </c>
      <c r="W2" s="99" t="s">
        <v>95</v>
      </c>
      <c r="X2" s="99" t="s">
        <v>96</v>
      </c>
      <c r="Y2" s="99" t="s">
        <v>97</v>
      </c>
      <c r="Z2" s="99" t="s">
        <v>98</v>
      </c>
      <c r="AA2" s="99" t="s">
        <v>99</v>
      </c>
      <c r="AB2" s="99" t="s">
        <v>100</v>
      </c>
      <c r="AC2" s="99" t="s">
        <v>101</v>
      </c>
      <c r="AD2" s="99" t="s">
        <v>102</v>
      </c>
      <c r="AE2" s="99" t="s">
        <v>103</v>
      </c>
      <c r="AF2" s="100" t="s">
        <v>104</v>
      </c>
      <c r="AG2" s="96" t="s">
        <v>106</v>
      </c>
    </row>
    <row r="3" spans="1:33" ht="21.75" customHeight="1">
      <c r="A3" s="116" t="s">
        <v>60</v>
      </c>
      <c r="B3" s="111">
        <f>'01'!AD6</f>
        <v>0</v>
      </c>
      <c r="C3" s="111">
        <f>'02'!AD6</f>
        <v>0</v>
      </c>
      <c r="D3" s="104"/>
      <c r="E3" s="104"/>
      <c r="F3" s="104">
        <f>'05'!AD6</f>
        <v>0</v>
      </c>
      <c r="G3" s="104">
        <f>'06'!AD6</f>
        <v>0</v>
      </c>
      <c r="H3" s="104">
        <f>'07'!AD6</f>
        <v>0</v>
      </c>
      <c r="I3" s="104">
        <f>'08'!AD6</f>
        <v>0.9578658536585366</v>
      </c>
      <c r="J3" s="104">
        <f>'09'!AD6</f>
        <v>1</v>
      </c>
      <c r="K3" s="104">
        <f>'10'!AD6</f>
        <v>1</v>
      </c>
      <c r="L3" s="104"/>
      <c r="M3" s="104">
        <f>'12'!AD6</f>
        <v>0.99835294117647055</v>
      </c>
      <c r="N3" s="122">
        <f>'13'!AD6</f>
        <v>0.99893162393162394</v>
      </c>
      <c r="O3" s="104">
        <f>'14'!AD6</f>
        <v>1</v>
      </c>
      <c r="P3" s="104"/>
      <c r="Q3" s="104"/>
      <c r="R3" s="104"/>
      <c r="S3" s="104"/>
      <c r="T3" s="104">
        <f>'19'!AD6</f>
        <v>0.82921275811209438</v>
      </c>
      <c r="U3" s="104">
        <f>'20'!AD6</f>
        <v>0.99856557377049182</v>
      </c>
      <c r="V3" s="104">
        <f>'21'!AD6</f>
        <v>0.9982683982683983</v>
      </c>
      <c r="W3" s="122">
        <f>'22'!AD6</f>
        <v>0</v>
      </c>
      <c r="X3" s="104">
        <f>'23'!AD6</f>
        <v>0.82640692640692637</v>
      </c>
      <c r="Y3" s="104">
        <f>'24'!AD6</f>
        <v>0.99818181818181817</v>
      </c>
      <c r="Z3" s="104"/>
      <c r="AA3" s="104">
        <f>'26'!AD6</f>
        <v>0.99778393351800554</v>
      </c>
      <c r="AB3" s="104">
        <f>'27'!AD6</f>
        <v>0.24955752212389382</v>
      </c>
      <c r="AC3" s="104">
        <f>'28'!AD6</f>
        <v>0</v>
      </c>
      <c r="AD3" s="104"/>
      <c r="AE3" s="104"/>
      <c r="AF3" s="105"/>
      <c r="AG3" s="107">
        <f>SUM(B3:AF3)/28</f>
        <v>0.42332597675529504</v>
      </c>
    </row>
    <row r="4" spans="1:33" ht="21.75" customHeight="1">
      <c r="A4" s="117" t="s">
        <v>61</v>
      </c>
      <c r="B4" s="112">
        <f>'01'!AD7</f>
        <v>0.91646067415730326</v>
      </c>
      <c r="C4" s="112">
        <f>'02'!AD7</f>
        <v>0.9998091603053435</v>
      </c>
      <c r="D4" s="81"/>
      <c r="E4" s="81"/>
      <c r="F4" s="81">
        <f>'05'!AD7</f>
        <v>1</v>
      </c>
      <c r="G4" s="81">
        <f>'06'!AD7</f>
        <v>0.99939603106125974</v>
      </c>
      <c r="H4" s="81">
        <f>'07'!AD7</f>
        <v>0.99958592132505175</v>
      </c>
      <c r="I4" s="81">
        <f>'08'!AD7</f>
        <v>0.99987146529562987</v>
      </c>
      <c r="J4" s="81">
        <f>'09'!AD7</f>
        <v>0</v>
      </c>
      <c r="K4" s="81">
        <f>'10'!AD7</f>
        <v>0</v>
      </c>
      <c r="L4" s="81"/>
      <c r="M4" s="81">
        <f>'12'!AD7</f>
        <v>0</v>
      </c>
      <c r="N4" s="81">
        <f>'13'!AD7</f>
        <v>0</v>
      </c>
      <c r="O4" s="81">
        <f>'14'!AD7</f>
        <v>0</v>
      </c>
      <c r="P4" s="81"/>
      <c r="Q4" s="81"/>
      <c r="R4" s="81"/>
      <c r="S4" s="81"/>
      <c r="T4" s="81">
        <f>'19'!AD7</f>
        <v>0</v>
      </c>
      <c r="U4" s="81">
        <f>'20'!AD7</f>
        <v>0</v>
      </c>
      <c r="V4" s="81">
        <f>'21'!AD7</f>
        <v>0</v>
      </c>
      <c r="W4" s="81">
        <f>'22'!AD7</f>
        <v>0</v>
      </c>
      <c r="X4" s="81">
        <f>'23'!AD7</f>
        <v>0</v>
      </c>
      <c r="Y4" s="81">
        <f>'24'!AD7</f>
        <v>0</v>
      </c>
      <c r="Z4" s="81"/>
      <c r="AA4" s="81">
        <f>'26'!AD7</f>
        <v>0</v>
      </c>
      <c r="AB4" s="81">
        <f>'27'!AD7</f>
        <v>0.79145833333333326</v>
      </c>
      <c r="AC4" s="81">
        <f>'28'!AD7</f>
        <v>0.49801762114537446</v>
      </c>
      <c r="AD4" s="81"/>
      <c r="AE4" s="81"/>
      <c r="AF4" s="82"/>
      <c r="AG4" s="83">
        <f t="shared" ref="AG4:AG18" si="0">SUM(B4:AF4)/28</f>
        <v>0.25730711452226057</v>
      </c>
    </row>
    <row r="5" spans="1:33" ht="21.75" customHeight="1">
      <c r="A5" s="118" t="s">
        <v>62</v>
      </c>
      <c r="B5" s="113">
        <f>'01'!AD8</f>
        <v>1</v>
      </c>
      <c r="C5" s="113">
        <f>'02'!AD8</f>
        <v>0.99863013698630132</v>
      </c>
      <c r="D5" s="84"/>
      <c r="E5" s="84"/>
      <c r="F5" s="84">
        <f>'05'!AD8</f>
        <v>0.24901315789473685</v>
      </c>
      <c r="G5" s="84">
        <f>'06'!AD8</f>
        <v>0.99938144329896905</v>
      </c>
      <c r="H5" s="84">
        <f>'07'!AD8</f>
        <v>0.99981378026070766</v>
      </c>
      <c r="I5" s="84">
        <f>'08'!AD8</f>
        <v>0.99923224568138191</v>
      </c>
      <c r="J5" s="84">
        <f>'09'!AD8</f>
        <v>0.58261612021857923</v>
      </c>
      <c r="K5" s="84">
        <f>'10'!AD8</f>
        <v>0</v>
      </c>
      <c r="L5" s="84"/>
      <c r="M5" s="84">
        <f>'12'!AD8</f>
        <v>0.87496662216288379</v>
      </c>
      <c r="N5" s="84">
        <f>'13'!AD8+'13'!AD9</f>
        <v>0.95787888717169301</v>
      </c>
      <c r="O5" s="84">
        <f>'14'!AD8</f>
        <v>0.99953775038520798</v>
      </c>
      <c r="P5" s="84"/>
      <c r="Q5" s="84"/>
      <c r="R5" s="84"/>
      <c r="S5" s="84"/>
      <c r="T5" s="84">
        <f>'19'!AD8</f>
        <v>0.99980713596914172</v>
      </c>
      <c r="U5" s="84">
        <f>'20'!AD8</f>
        <v>0.99930191972076787</v>
      </c>
      <c r="V5" s="84">
        <f>'21'!AD8</f>
        <v>1</v>
      </c>
      <c r="W5" s="123">
        <f>'22'!AD8</f>
        <v>0.99933499584372398</v>
      </c>
      <c r="X5" s="84">
        <f>'23'!AD8</f>
        <v>0.99949281487743025</v>
      </c>
      <c r="Y5" s="84">
        <f>'24'!AD8</f>
        <v>1</v>
      </c>
      <c r="Z5" s="84"/>
      <c r="AA5" s="84">
        <f>'26'!AD8</f>
        <v>0.91666666666666663</v>
      </c>
      <c r="AB5" s="84">
        <f>'27'!AD8</f>
        <v>0</v>
      </c>
      <c r="AC5" s="84">
        <f>'28'!AD8</f>
        <v>0</v>
      </c>
      <c r="AD5" s="84"/>
      <c r="AE5" s="84"/>
      <c r="AF5" s="85"/>
      <c r="AG5" s="86">
        <f t="shared" si="0"/>
        <v>0.55627405989779244</v>
      </c>
    </row>
    <row r="6" spans="1:33" ht="21.75" customHeight="1">
      <c r="A6" s="119" t="s">
        <v>63</v>
      </c>
      <c r="B6" s="114">
        <f>'01'!AD9</f>
        <v>0.45667098445595855</v>
      </c>
      <c r="C6" s="114">
        <f>'02'!AD9</f>
        <v>0</v>
      </c>
      <c r="D6" s="87"/>
      <c r="E6" s="87"/>
      <c r="F6" s="87">
        <f>'05'!AD9</f>
        <v>0.24972067039106144</v>
      </c>
      <c r="G6" s="87">
        <f>'06'!AD9</f>
        <v>0.95720055161544537</v>
      </c>
      <c r="H6" s="87">
        <f>'07'!AD9</f>
        <v>0.99900990099009901</v>
      </c>
      <c r="I6" s="87">
        <f>'08'!AD9</f>
        <v>0.79166666666666663</v>
      </c>
      <c r="J6" s="87">
        <f>'09'!AD9+'09'!AD10</f>
        <v>0.95656094527363178</v>
      </c>
      <c r="K6" s="87">
        <f>'10'!AD9</f>
        <v>0.95798100490196081</v>
      </c>
      <c r="L6" s="87"/>
      <c r="M6" s="87">
        <f>'12'!AD9</f>
        <v>0.99865125240847785</v>
      </c>
      <c r="N6" s="87">
        <f>'13'!AD10</f>
        <v>0.83258426966292143</v>
      </c>
      <c r="O6" s="87">
        <f>'14'!AD9</f>
        <v>0.87360557768924296</v>
      </c>
      <c r="P6" s="87"/>
      <c r="Q6" s="87"/>
      <c r="R6" s="87"/>
      <c r="S6" s="87"/>
      <c r="T6" s="87">
        <f>'19'!AD9</f>
        <v>0.99851576994434132</v>
      </c>
      <c r="U6" s="87">
        <f>'20'!AD9+'20'!AD10</f>
        <v>0.24933155080213903</v>
      </c>
      <c r="V6" s="87">
        <f>'21'!AD9</f>
        <v>0</v>
      </c>
      <c r="W6" s="87">
        <f>'22'!AD9</f>
        <v>0</v>
      </c>
      <c r="X6" s="87">
        <f>'23'!AD9</f>
        <v>0.66661879114302813</v>
      </c>
      <c r="Y6" s="87">
        <f>'24'!AD9+'24'!AD10</f>
        <v>1</v>
      </c>
      <c r="Z6" s="87"/>
      <c r="AA6" s="87">
        <f>'26'!AD9</f>
        <v>0.99823529411764711</v>
      </c>
      <c r="AB6" s="87">
        <f>'27'!AD9</f>
        <v>1</v>
      </c>
      <c r="AC6" s="87">
        <f>'28'!AD9</f>
        <v>0.41666666666666669</v>
      </c>
      <c r="AD6" s="87"/>
      <c r="AE6" s="87"/>
      <c r="AF6" s="88"/>
      <c r="AG6" s="89">
        <f t="shared" si="0"/>
        <v>0.47867928202604598</v>
      </c>
    </row>
    <row r="7" spans="1:33" ht="21.75" customHeight="1">
      <c r="A7" s="119" t="s">
        <v>64</v>
      </c>
      <c r="B7" s="114">
        <f>'01'!AD10</f>
        <v>0</v>
      </c>
      <c r="C7" s="114">
        <f>'02'!AD10</f>
        <v>0</v>
      </c>
      <c r="D7" s="87"/>
      <c r="E7" s="87"/>
      <c r="F7" s="87">
        <f>'05'!AD10</f>
        <v>0</v>
      </c>
      <c r="G7" s="87">
        <f>'06'!AD10</f>
        <v>0</v>
      </c>
      <c r="H7" s="87">
        <f>'07'!AD10</f>
        <v>0.70833333333333337</v>
      </c>
      <c r="I7" s="87">
        <f>'08'!AD10</f>
        <v>0</v>
      </c>
      <c r="J7" s="87">
        <f>'09'!AD11</f>
        <v>0.66648550724637678</v>
      </c>
      <c r="K7" s="87">
        <f>'10'!AD10</f>
        <v>0</v>
      </c>
      <c r="L7" s="87"/>
      <c r="M7" s="87">
        <f>'12'!AD10</f>
        <v>0</v>
      </c>
      <c r="N7" s="87">
        <f>'13'!AD11</f>
        <v>0.58258064516129038</v>
      </c>
      <c r="O7" s="87">
        <f>'14'!AD10</f>
        <v>0.20833333333333334</v>
      </c>
      <c r="P7" s="87"/>
      <c r="Q7" s="87"/>
      <c r="R7" s="87"/>
      <c r="S7" s="87"/>
      <c r="T7" s="87">
        <f>'19'!AD10</f>
        <v>0</v>
      </c>
      <c r="U7" s="87">
        <f>'20'!AD11</f>
        <v>0</v>
      </c>
      <c r="V7" s="87">
        <f>'21'!AD10</f>
        <v>0</v>
      </c>
      <c r="W7" s="87">
        <f>'22'!AD10</f>
        <v>0</v>
      </c>
      <c r="X7" s="87">
        <f>'23'!AD10</f>
        <v>0.91644480301196718</v>
      </c>
      <c r="Y7" s="87">
        <f>'24'!AD11</f>
        <v>0</v>
      </c>
      <c r="Z7" s="87"/>
      <c r="AA7" s="87">
        <f>'26'!AD10</f>
        <v>0.875</v>
      </c>
      <c r="AB7" s="87">
        <f>'27'!AD10</f>
        <v>0.99979909593169258</v>
      </c>
      <c r="AC7" s="87">
        <f>'28'!AD10</f>
        <v>0.246</v>
      </c>
      <c r="AD7" s="87"/>
      <c r="AE7" s="87"/>
      <c r="AF7" s="88"/>
      <c r="AG7" s="89">
        <f t="shared" si="0"/>
        <v>0.18582059707207119</v>
      </c>
    </row>
    <row r="8" spans="1:33" ht="21.75" customHeight="1">
      <c r="A8" s="119" t="s">
        <v>65</v>
      </c>
      <c r="B8" s="114">
        <f>'01'!AD11</f>
        <v>0.16599999999999998</v>
      </c>
      <c r="C8" s="114">
        <f>'02'!AD11</f>
        <v>0</v>
      </c>
      <c r="D8" s="87"/>
      <c r="E8" s="87"/>
      <c r="F8" s="87">
        <f>'05'!AD11</f>
        <v>0</v>
      </c>
      <c r="G8" s="87">
        <f>'06'!AD11</f>
        <v>0.25</v>
      </c>
      <c r="H8" s="87">
        <f>'07'!AD11</f>
        <v>0</v>
      </c>
      <c r="I8" s="87">
        <f>'08'!AD11</f>
        <v>0</v>
      </c>
      <c r="J8" s="87">
        <f>'09'!AD12</f>
        <v>0</v>
      </c>
      <c r="K8" s="87">
        <f>'10'!AD11</f>
        <v>0</v>
      </c>
      <c r="L8" s="87"/>
      <c r="M8" s="87">
        <f>'12'!AD11</f>
        <v>0</v>
      </c>
      <c r="N8" s="87">
        <f>'13'!AD12</f>
        <v>0.41598731884057971</v>
      </c>
      <c r="O8" s="87">
        <f>'14'!AD11</f>
        <v>0.83333333333333337</v>
      </c>
      <c r="P8" s="87"/>
      <c r="Q8" s="87"/>
      <c r="R8" s="87"/>
      <c r="S8" s="87"/>
      <c r="T8" s="87">
        <f>'19'!AD11</f>
        <v>0.99980506822612081</v>
      </c>
      <c r="U8" s="87">
        <f>'20'!AD12</f>
        <v>0.91646296296296292</v>
      </c>
      <c r="V8" s="87">
        <f>'21'!AD11</f>
        <v>0.99926873857404019</v>
      </c>
      <c r="W8" s="87">
        <f>'22'!AD11</f>
        <v>0.99924882629107981</v>
      </c>
      <c r="X8" s="87">
        <f>'23'!AD11</f>
        <v>0.79102650494159921</v>
      </c>
      <c r="Y8" s="87">
        <f>'24'!AD12</f>
        <v>1</v>
      </c>
      <c r="Z8" s="87"/>
      <c r="AA8" s="87">
        <f>'26'!AD11</f>
        <v>0.87475282485875705</v>
      </c>
      <c r="AB8" s="87">
        <f>'27'!AD11</f>
        <v>0.87479885057471263</v>
      </c>
      <c r="AC8" s="87">
        <f>'28'!AD11</f>
        <v>0.91498470948012234</v>
      </c>
      <c r="AD8" s="87"/>
      <c r="AE8" s="87"/>
      <c r="AF8" s="88"/>
      <c r="AG8" s="89">
        <f t="shared" si="0"/>
        <v>0.35841675493154673</v>
      </c>
    </row>
    <row r="9" spans="1:33" ht="21.75" customHeight="1">
      <c r="A9" s="119" t="s">
        <v>66</v>
      </c>
      <c r="B9" s="114">
        <f>'01'!AD12</f>
        <v>0.29166666666666669</v>
      </c>
      <c r="C9" s="114">
        <f>'02'!AD12</f>
        <v>0</v>
      </c>
      <c r="D9" s="87"/>
      <c r="E9" s="87"/>
      <c r="F9" s="87">
        <f>'05'!AD12</f>
        <v>0.66302083333333328</v>
      </c>
      <c r="G9" s="87">
        <f>'06'!AD12</f>
        <v>0</v>
      </c>
      <c r="H9" s="87">
        <f>'07'!AD12</f>
        <v>0.54051906779661019</v>
      </c>
      <c r="I9" s="87">
        <f>'08'!AD12</f>
        <v>0.70697637292464877</v>
      </c>
      <c r="J9" s="87">
        <f>'09'!AD13</f>
        <v>0</v>
      </c>
      <c r="K9" s="87">
        <f>'10'!AD12</f>
        <v>0.87332268370607025</v>
      </c>
      <c r="L9" s="87"/>
      <c r="M9" s="87">
        <f>'12'!AD12</f>
        <v>0.70622937293729371</v>
      </c>
      <c r="N9" s="87">
        <f>'13'!AD13</f>
        <v>0.41554054054054057</v>
      </c>
      <c r="O9" s="87">
        <f>'14'!AD12</f>
        <v>0.66563706563706559</v>
      </c>
      <c r="P9" s="87"/>
      <c r="Q9" s="87"/>
      <c r="R9" s="87"/>
      <c r="S9" s="87"/>
      <c r="T9" s="87">
        <f>'19'!AD12</f>
        <v>0.83126151012891347</v>
      </c>
      <c r="U9" s="87">
        <f>'20'!AD13+'20'!AD14</f>
        <v>0.95602494198594679</v>
      </c>
      <c r="V9" s="87">
        <f>'21'!AD12</f>
        <v>0.99944029850746263</v>
      </c>
      <c r="W9" s="87">
        <f>'22'!AD12</f>
        <v>0.99864864864864866</v>
      </c>
      <c r="X9" s="87">
        <f>'23'!AD12+'23'!AD13</f>
        <v>0.49912854030501086</v>
      </c>
      <c r="Y9" s="87">
        <f>'24'!AD13</f>
        <v>0.79125647668393773</v>
      </c>
      <c r="Z9" s="87"/>
      <c r="AA9" s="87">
        <f>'26'!AD12</f>
        <v>1</v>
      </c>
      <c r="AB9" s="87">
        <f>'27'!AD12</f>
        <v>0.99926873857404019</v>
      </c>
      <c r="AC9" s="87">
        <f>'28'!AD12</f>
        <v>0.99890909090909086</v>
      </c>
      <c r="AD9" s="87"/>
      <c r="AE9" s="87"/>
      <c r="AF9" s="88"/>
      <c r="AG9" s="89">
        <f t="shared" si="0"/>
        <v>0.46203038747447428</v>
      </c>
    </row>
    <row r="10" spans="1:33" ht="21.75" customHeight="1">
      <c r="A10" s="119" t="s">
        <v>67</v>
      </c>
      <c r="B10" s="114">
        <f>'01'!AD13</f>
        <v>0</v>
      </c>
      <c r="C10" s="114">
        <f>'02'!AD13</f>
        <v>0.20833333333333334</v>
      </c>
      <c r="D10" s="87"/>
      <c r="E10" s="87"/>
      <c r="F10" s="87">
        <f>'05'!AD13</f>
        <v>0</v>
      </c>
      <c r="G10" s="87">
        <f>'06'!AD13</f>
        <v>0</v>
      </c>
      <c r="H10" s="87">
        <f>'07'!AD13</f>
        <v>0.70740740740740748</v>
      </c>
      <c r="I10" s="87">
        <f>'08'!AD13</f>
        <v>1</v>
      </c>
      <c r="J10" s="87">
        <f>'09'!AD14</f>
        <v>0.70833333333333337</v>
      </c>
      <c r="K10" s="87">
        <f>'10'!AD13</f>
        <v>0.99833333333333329</v>
      </c>
      <c r="L10" s="87"/>
      <c r="M10" s="87">
        <f>'12'!AD13</f>
        <v>0.8312169312169313</v>
      </c>
      <c r="N10" s="87">
        <f>'13'!AD14</f>
        <v>0.49957983193277311</v>
      </c>
      <c r="O10" s="87">
        <f>'14'!AD13+'14'!AD14</f>
        <v>0.91621966794380594</v>
      </c>
      <c r="P10" s="87"/>
      <c r="Q10" s="87"/>
      <c r="R10" s="87"/>
      <c r="S10" s="87"/>
      <c r="T10" s="87">
        <f>'19'!AD13</f>
        <v>0.83233830845771151</v>
      </c>
      <c r="U10" s="87">
        <f>'20'!AD15</f>
        <v>0.99880341880341883</v>
      </c>
      <c r="V10" s="87">
        <f>'21'!AD13</f>
        <v>0.91562302340290957</v>
      </c>
      <c r="W10" s="87">
        <f>'22'!AD13</f>
        <v>0.99967479674796744</v>
      </c>
      <c r="X10" s="87">
        <f>'23'!AD14</f>
        <v>0.16666666666666666</v>
      </c>
      <c r="Y10" s="87">
        <f>'24'!AD14</f>
        <v>1</v>
      </c>
      <c r="Z10" s="87"/>
      <c r="AA10" s="87">
        <f>'26'!AD13</f>
        <v>0.99899598393574296</v>
      </c>
      <c r="AB10" s="87">
        <f>'27'!AD13</f>
        <v>1</v>
      </c>
      <c r="AC10" s="87">
        <f>'28'!AD13</f>
        <v>0.99933035714285712</v>
      </c>
      <c r="AD10" s="87"/>
      <c r="AE10" s="87"/>
      <c r="AF10" s="88"/>
      <c r="AG10" s="89">
        <f t="shared" si="0"/>
        <v>0.49217344263064966</v>
      </c>
    </row>
    <row r="11" spans="1:33" ht="21.75" customHeight="1">
      <c r="A11" s="118" t="s">
        <v>68</v>
      </c>
      <c r="B11" s="113">
        <f>'01'!AD14</f>
        <v>0</v>
      </c>
      <c r="C11" s="113">
        <f>'02'!AD14</f>
        <v>0</v>
      </c>
      <c r="D11" s="84"/>
      <c r="E11" s="84"/>
      <c r="F11" s="84">
        <f>'05'!AD14</f>
        <v>0</v>
      </c>
      <c r="G11" s="84">
        <f>'06'!AD14</f>
        <v>0.20833333333333334</v>
      </c>
      <c r="H11" s="84">
        <f>'07'!AD14</f>
        <v>0.20833333333333334</v>
      </c>
      <c r="I11" s="84">
        <f>'08'!AD14</f>
        <v>0</v>
      </c>
      <c r="J11" s="84">
        <f>'09'!AD15</f>
        <v>0</v>
      </c>
      <c r="K11" s="84">
        <f>'10'!AD14</f>
        <v>0</v>
      </c>
      <c r="L11" s="84"/>
      <c r="M11" s="84">
        <f>'12'!AD14</f>
        <v>0</v>
      </c>
      <c r="N11" s="84">
        <f>'13'!AD15</f>
        <v>0</v>
      </c>
      <c r="O11" s="84">
        <f>'14'!AD15</f>
        <v>0</v>
      </c>
      <c r="P11" s="84"/>
      <c r="Q11" s="84"/>
      <c r="R11" s="84"/>
      <c r="S11" s="84"/>
      <c r="T11" s="84">
        <f>'19'!AD14</f>
        <v>0</v>
      </c>
      <c r="U11" s="84">
        <f>'20'!AD16</f>
        <v>0</v>
      </c>
      <c r="V11" s="84">
        <f>'21'!AD14</f>
        <v>0.20833333333333334</v>
      </c>
      <c r="W11" s="84">
        <f>'22'!AD14</f>
        <v>0</v>
      </c>
      <c r="X11" s="84">
        <f>'23'!AD15</f>
        <v>0</v>
      </c>
      <c r="Y11" s="84">
        <f>'24'!AD15</f>
        <v>0</v>
      </c>
      <c r="Z11" s="84"/>
      <c r="AA11" s="84">
        <f>'26'!AD14</f>
        <v>0</v>
      </c>
      <c r="AB11" s="84">
        <f>'27'!AD14</f>
        <v>0</v>
      </c>
      <c r="AC11" s="84">
        <f>'28'!AD14</f>
        <v>0</v>
      </c>
      <c r="AD11" s="84"/>
      <c r="AE11" s="84"/>
      <c r="AF11" s="85"/>
      <c r="AG11" s="86">
        <f t="shared" si="0"/>
        <v>2.2321428571428572E-2</v>
      </c>
    </row>
    <row r="12" spans="1:33" ht="21.75" customHeight="1">
      <c r="A12" s="118" t="s">
        <v>69</v>
      </c>
      <c r="B12" s="113">
        <f>'01'!AD15</f>
        <v>0.99982409850483733</v>
      </c>
      <c r="C12" s="113">
        <f>'02'!AD15</f>
        <v>0.99982905982905979</v>
      </c>
      <c r="D12" s="84"/>
      <c r="E12" s="84"/>
      <c r="F12" s="84">
        <f>'05'!AD15</f>
        <v>0.99981429897864438</v>
      </c>
      <c r="G12" s="84">
        <f>'06'!AD15</f>
        <v>0.9996569468267581</v>
      </c>
      <c r="H12" s="84">
        <f>'07'!AD15</f>
        <v>0</v>
      </c>
      <c r="I12" s="84">
        <f>'08'!AD15</f>
        <v>0</v>
      </c>
      <c r="J12" s="84">
        <f>'09'!AD16</f>
        <v>0</v>
      </c>
      <c r="K12" s="84">
        <f>'10'!AD15</f>
        <v>0</v>
      </c>
      <c r="L12" s="84"/>
      <c r="M12" s="84">
        <f>'12'!AD15</f>
        <v>0</v>
      </c>
      <c r="N12" s="84">
        <f>'13'!AD16</f>
        <v>0</v>
      </c>
      <c r="O12" s="84">
        <f>'14'!AD16</f>
        <v>0</v>
      </c>
      <c r="P12" s="84"/>
      <c r="Q12" s="84"/>
      <c r="R12" s="84"/>
      <c r="S12" s="84"/>
      <c r="T12" s="84">
        <f>'19'!AD15</f>
        <v>0</v>
      </c>
      <c r="U12" s="84">
        <f>'20'!AD17</f>
        <v>0</v>
      </c>
      <c r="V12" s="84">
        <f>'21'!AD15</f>
        <v>0</v>
      </c>
      <c r="W12" s="84">
        <f>'22'!AD15</f>
        <v>0</v>
      </c>
      <c r="X12" s="84">
        <f>'23'!AD16</f>
        <v>0.16666666666666666</v>
      </c>
      <c r="Y12" s="84">
        <f>'24'!AD16</f>
        <v>0</v>
      </c>
      <c r="Z12" s="84"/>
      <c r="AA12" s="84">
        <f>'26'!AD15</f>
        <v>0</v>
      </c>
      <c r="AB12" s="84">
        <f>'27'!AD15</f>
        <v>0</v>
      </c>
      <c r="AC12" s="84">
        <f>'28'!AD15</f>
        <v>0</v>
      </c>
      <c r="AD12" s="84"/>
      <c r="AE12" s="84"/>
      <c r="AF12" s="85"/>
      <c r="AG12" s="86">
        <f t="shared" si="0"/>
        <v>0.14877825252878449</v>
      </c>
    </row>
    <row r="13" spans="1:33" ht="21.75" customHeight="1">
      <c r="A13" s="118" t="s">
        <v>70</v>
      </c>
      <c r="B13" s="113">
        <f>'01'!AD16</f>
        <v>0</v>
      </c>
      <c r="C13" s="113">
        <f>'02'!AD16</f>
        <v>0.70833333333333337</v>
      </c>
      <c r="D13" s="84"/>
      <c r="E13" s="84"/>
      <c r="F13" s="84">
        <f>'05'!AD16</f>
        <v>0.99292035398230083</v>
      </c>
      <c r="G13" s="84">
        <f>'06'!AD16</f>
        <v>0.79140100671140934</v>
      </c>
      <c r="H13" s="84">
        <f>'07'!AD16</f>
        <v>0.91666666666666663</v>
      </c>
      <c r="I13" s="84">
        <f>'08'!AD16</f>
        <v>0.83172302737520132</v>
      </c>
      <c r="J13" s="84">
        <f>'09'!AD17</f>
        <v>0</v>
      </c>
      <c r="K13" s="84">
        <f>'10'!AD16</f>
        <v>0</v>
      </c>
      <c r="L13" s="84"/>
      <c r="M13" s="84">
        <f>'12'!AD16</f>
        <v>0.74922010398613514</v>
      </c>
      <c r="N13" s="84">
        <f>'13'!AD17</f>
        <v>0.99930615784908938</v>
      </c>
      <c r="O13" s="84">
        <f>'14'!AD17</f>
        <v>1</v>
      </c>
      <c r="P13" s="84"/>
      <c r="Q13" s="84"/>
      <c r="R13" s="84"/>
      <c r="S13" s="84"/>
      <c r="T13" s="84">
        <f>'19'!AD16</f>
        <v>0.99981132075471701</v>
      </c>
      <c r="U13" s="84">
        <f>'20'!AD18</f>
        <v>0.99983277591973241</v>
      </c>
      <c r="V13" s="84">
        <f>'21'!AD16</f>
        <v>0.99931565440547476</v>
      </c>
      <c r="W13" s="84">
        <f>'22'!AD16</f>
        <v>0.99965870307167237</v>
      </c>
      <c r="X13" s="84">
        <f>'23'!AD17</f>
        <v>0.45769454123112657</v>
      </c>
      <c r="Y13" s="84">
        <f>'24'!AD17</f>
        <v>0</v>
      </c>
      <c r="Z13" s="84"/>
      <c r="AA13" s="84">
        <f>'26'!AD16</f>
        <v>0.83315177923021055</v>
      </c>
      <c r="AB13" s="84">
        <f>'27'!AD16</f>
        <v>0.62338362068965514</v>
      </c>
      <c r="AC13" s="84">
        <f>'28'!AD16</f>
        <v>0.41521990740740744</v>
      </c>
      <c r="AD13" s="84"/>
      <c r="AE13" s="84"/>
      <c r="AF13" s="85"/>
      <c r="AG13" s="86">
        <f t="shared" si="0"/>
        <v>0.47562996259336171</v>
      </c>
    </row>
    <row r="14" spans="1:33" ht="21.75" customHeight="1">
      <c r="A14" s="118" t="s">
        <v>71</v>
      </c>
      <c r="B14" s="113">
        <f>'01'!AD17</f>
        <v>0</v>
      </c>
      <c r="C14" s="113">
        <f>'02'!AD17</f>
        <v>0.16590909090909089</v>
      </c>
      <c r="D14" s="84"/>
      <c r="E14" s="84"/>
      <c r="F14" s="84">
        <f>'05'!AD17</f>
        <v>0</v>
      </c>
      <c r="G14" s="84">
        <f>'06'!AD17</f>
        <v>0</v>
      </c>
      <c r="H14" s="84">
        <f>'07'!AD17</f>
        <v>0</v>
      </c>
      <c r="I14" s="84">
        <f>'08'!AD17</f>
        <v>0.25</v>
      </c>
      <c r="J14" s="84">
        <f>'09'!AD18</f>
        <v>0</v>
      </c>
      <c r="K14" s="84">
        <f>'10'!AD17</f>
        <v>0</v>
      </c>
      <c r="L14" s="84"/>
      <c r="M14" s="84">
        <f>'12'!AD17</f>
        <v>0</v>
      </c>
      <c r="N14" s="84">
        <f>'13'!AD18</f>
        <v>0.9998171846435101</v>
      </c>
      <c r="O14" s="84">
        <f>'14'!AD18</f>
        <v>0.99969512195121957</v>
      </c>
      <c r="P14" s="84"/>
      <c r="Q14" s="84"/>
      <c r="R14" s="84"/>
      <c r="S14" s="84"/>
      <c r="T14" s="84">
        <f>'19'!AD17</f>
        <v>0.99928762243989311</v>
      </c>
      <c r="U14" s="84">
        <f>'20'!AD19</f>
        <v>0.9995020746887967</v>
      </c>
      <c r="V14" s="84">
        <f>'21'!AD17</f>
        <v>0.99983249581239531</v>
      </c>
      <c r="W14" s="84">
        <f>'22'!AD17</f>
        <v>0.99966777408637875</v>
      </c>
      <c r="X14" s="84">
        <f>'23'!AD18</f>
        <v>0.99965126416739325</v>
      </c>
      <c r="Y14" s="84">
        <f>'24'!AD18</f>
        <v>0</v>
      </c>
      <c r="Z14" s="84"/>
      <c r="AA14" s="84">
        <f>'26'!AD17</f>
        <v>0.87474892395982784</v>
      </c>
      <c r="AB14" s="84">
        <f>'27'!AD17</f>
        <v>0.49935205183585313</v>
      </c>
      <c r="AC14" s="84">
        <f>'28'!AD17</f>
        <v>0</v>
      </c>
      <c r="AD14" s="84"/>
      <c r="AE14" s="84"/>
      <c r="AF14" s="85"/>
      <c r="AG14" s="86">
        <f t="shared" si="0"/>
        <v>0.3138379858747985</v>
      </c>
    </row>
    <row r="15" spans="1:33" ht="21.75" customHeight="1">
      <c r="A15" s="119" t="s">
        <v>72</v>
      </c>
      <c r="B15" s="114">
        <f>'01'!AD18</f>
        <v>0.16666666666666666</v>
      </c>
      <c r="C15" s="114">
        <f>'02'!AD18</f>
        <v>0.70790918163672656</v>
      </c>
      <c r="D15" s="87"/>
      <c r="E15" s="87"/>
      <c r="F15" s="87">
        <f>'05'!AD18</f>
        <v>0.29122474747474753</v>
      </c>
      <c r="G15" s="87">
        <f>'06'!AD18</f>
        <v>0</v>
      </c>
      <c r="H15" s="87">
        <f>'07'!AD18+'07'!AD19</f>
        <v>0.79166666666666674</v>
      </c>
      <c r="I15" s="87">
        <f>'08'!AD18</f>
        <v>0.49892473118279568</v>
      </c>
      <c r="J15" s="87">
        <f>'09'!AD19+'09'!AD20</f>
        <v>0.95760517799352751</v>
      </c>
      <c r="K15" s="87">
        <f>'10'!AD18</f>
        <v>0.9996370235934664</v>
      </c>
      <c r="L15" s="87"/>
      <c r="M15" s="87">
        <f>'12'!AD18</f>
        <v>0.66565656565656561</v>
      </c>
      <c r="N15" s="87">
        <f>'13'!AD19</f>
        <v>0.54166666666666663</v>
      </c>
      <c r="O15" s="87">
        <f>'14'!AD19</f>
        <v>0.75</v>
      </c>
      <c r="P15" s="87"/>
      <c r="Q15" s="87"/>
      <c r="R15" s="87"/>
      <c r="S15" s="87"/>
      <c r="T15" s="87">
        <f>'19'!AD18</f>
        <v>0.99912854030501086</v>
      </c>
      <c r="U15" s="87">
        <f>'20'!AD20</f>
        <v>0.99960513326752221</v>
      </c>
      <c r="V15" s="87">
        <f>'21'!AD18</f>
        <v>0.99980334316617503</v>
      </c>
      <c r="W15" s="87">
        <f>'22'!AD18</f>
        <v>0.79097525473071328</v>
      </c>
      <c r="X15" s="87">
        <f>'23'!AD19</f>
        <v>1</v>
      </c>
      <c r="Y15" s="87">
        <f>'24'!AD19</f>
        <v>0.99981498612395925</v>
      </c>
      <c r="Z15" s="87"/>
      <c r="AA15" s="87">
        <f>'26'!AD18</f>
        <v>0.99937888198757763</v>
      </c>
      <c r="AB15" s="87">
        <f>'27'!AD18+'27'!AD19</f>
        <v>0.91589506172839519</v>
      </c>
      <c r="AC15" s="87">
        <f>'28'!AD18</f>
        <v>0.99982174688057046</v>
      </c>
      <c r="AD15" s="87"/>
      <c r="AE15" s="87"/>
      <c r="AF15" s="88"/>
      <c r="AG15" s="89">
        <f t="shared" si="0"/>
        <v>0.53840644199027687</v>
      </c>
    </row>
    <row r="16" spans="1:33" ht="21.75" customHeight="1">
      <c r="A16" s="119" t="s">
        <v>73</v>
      </c>
      <c r="B16" s="114">
        <f>'01'!AD19</f>
        <v>0.87460227272727264</v>
      </c>
      <c r="C16" s="114">
        <f>'02'!AD19</f>
        <v>1.1362248995983935</v>
      </c>
      <c r="D16" s="87"/>
      <c r="E16" s="87"/>
      <c r="F16" s="87">
        <f>'05'!AD19</f>
        <v>0.79166666666666663</v>
      </c>
      <c r="G16" s="87">
        <f>'06'!AD19</f>
        <v>0.87403238546603479</v>
      </c>
      <c r="H16" s="87">
        <f>'07'!AD20</f>
        <v>0.79062727935813271</v>
      </c>
      <c r="I16" s="87">
        <f>'08'!AD19</f>
        <v>0.83240568954854677</v>
      </c>
      <c r="J16" s="87">
        <f>'09'!AD21</f>
        <v>1</v>
      </c>
      <c r="K16" s="87">
        <f>'10'!AD19</f>
        <v>0.375</v>
      </c>
      <c r="L16" s="87"/>
      <c r="M16" s="87">
        <f>'12'!AD19</f>
        <v>0.4165173237753883</v>
      </c>
      <c r="N16" s="87">
        <f>'13'!AD20</f>
        <v>0.91653664302600468</v>
      </c>
      <c r="O16" s="87">
        <f>'14'!AD20</f>
        <v>0.5</v>
      </c>
      <c r="P16" s="87"/>
      <c r="Q16" s="87"/>
      <c r="R16" s="87"/>
      <c r="S16" s="87"/>
      <c r="T16" s="87">
        <f>'19'!AD19</f>
        <v>0</v>
      </c>
      <c r="U16" s="87">
        <f>'20'!AD21</f>
        <v>0.58333333333333337</v>
      </c>
      <c r="V16" s="87">
        <f>'21'!AD19</f>
        <v>0.99986301369863018</v>
      </c>
      <c r="W16" s="87">
        <f>'22'!AD19</f>
        <v>0.58290598290598294</v>
      </c>
      <c r="X16" s="87">
        <f>'23'!AD20</f>
        <v>0.99904371584699458</v>
      </c>
      <c r="Y16" s="87">
        <f>'24'!AD20</f>
        <v>0.13336748633879783</v>
      </c>
      <c r="Z16" s="87"/>
      <c r="AA16" s="87">
        <f>'26'!AD19</f>
        <v>0.45054166666666662</v>
      </c>
      <c r="AB16" s="87">
        <f>'27'!AD20</f>
        <v>0.99931034482758618</v>
      </c>
      <c r="AC16" s="87">
        <f>'28'!AD19</f>
        <v>0.87408033033033028</v>
      </c>
      <c r="AD16" s="87"/>
      <c r="AE16" s="87"/>
      <c r="AF16" s="88"/>
      <c r="AG16" s="89">
        <f t="shared" si="0"/>
        <v>0.50464496550409865</v>
      </c>
    </row>
    <row r="17" spans="1:33" ht="21.75" customHeight="1" thickBot="1">
      <c r="A17" s="120" t="s">
        <v>111</v>
      </c>
      <c r="B17" s="115">
        <f>'01'!AD20</f>
        <v>0.99989748846745263</v>
      </c>
      <c r="C17" s="115">
        <f>'02'!AD20</f>
        <v>0.99980741454020217</v>
      </c>
      <c r="D17" s="90"/>
      <c r="E17" s="90"/>
      <c r="F17" s="90">
        <f>'05'!AD20</f>
        <v>0.83327611854903316</v>
      </c>
      <c r="G17" s="90">
        <f>'06'!AD20</f>
        <v>0.99981386691484408</v>
      </c>
      <c r="H17" s="90">
        <f>'07'!AD21</f>
        <v>0.9999113082039911</v>
      </c>
      <c r="I17" s="90">
        <f>'08'!AD20</f>
        <v>0.99995626503389456</v>
      </c>
      <c r="J17" s="90">
        <f>'09'!AD22</f>
        <v>0.99986069189691196</v>
      </c>
      <c r="K17" s="90">
        <f>'10'!AD20</f>
        <v>0.20833333333333334</v>
      </c>
      <c r="L17" s="90"/>
      <c r="M17" s="90">
        <f>'12'!AD20</f>
        <v>0</v>
      </c>
      <c r="N17" s="90">
        <f>'13'!AD21</f>
        <v>0</v>
      </c>
      <c r="O17" s="90">
        <f>'14'!AD21</f>
        <v>0</v>
      </c>
      <c r="P17" s="90"/>
      <c r="Q17" s="90"/>
      <c r="R17" s="90"/>
      <c r="S17" s="90"/>
      <c r="T17" s="90">
        <f>'19'!AD20</f>
        <v>0</v>
      </c>
      <c r="U17" s="90">
        <f>'20'!AD22</f>
        <v>0</v>
      </c>
      <c r="V17" s="90">
        <f>'21'!AD20</f>
        <v>0</v>
      </c>
      <c r="W17" s="90">
        <f>'22'!AD20</f>
        <v>0</v>
      </c>
      <c r="X17" s="90">
        <f>'23'!AD21</f>
        <v>0</v>
      </c>
      <c r="Y17" s="90">
        <f>'24'!AD21</f>
        <v>0</v>
      </c>
      <c r="Z17" s="90"/>
      <c r="AA17" s="90">
        <f>'26'!AD20</f>
        <v>0</v>
      </c>
      <c r="AB17" s="90">
        <f>'27'!AD21</f>
        <v>0</v>
      </c>
      <c r="AC17" s="90">
        <f>'28'!AD20</f>
        <v>0</v>
      </c>
      <c r="AD17" s="90"/>
      <c r="AE17" s="90"/>
      <c r="AF17" s="91"/>
      <c r="AG17" s="92">
        <f t="shared" si="0"/>
        <v>0.25145916024784509</v>
      </c>
    </row>
    <row r="18" spans="1:33" s="93" customFormat="1" ht="21.75" customHeight="1">
      <c r="A18" s="97" t="s">
        <v>105</v>
      </c>
      <c r="B18" s="101">
        <f>'01'!AD21</f>
        <v>0.39145259010974381</v>
      </c>
      <c r="C18" s="101">
        <f>'02'!AD21</f>
        <v>0.46165237403145226</v>
      </c>
      <c r="D18" s="102"/>
      <c r="E18" s="102"/>
      <c r="F18" s="102">
        <f>'05'!AD21</f>
        <v>0.40471045648470161</v>
      </c>
      <c r="G18" s="102">
        <f>'06'!AD21</f>
        <v>0.47194770434853694</v>
      </c>
      <c r="H18" s="102">
        <f>'07'!AD22</f>
        <v>0.57745831102279999</v>
      </c>
      <c r="I18" s="102">
        <f>'08'!AD21</f>
        <v>0.59124148782448682</v>
      </c>
      <c r="J18" s="102">
        <f>'09'!AD23</f>
        <v>0.45809745173082406</v>
      </c>
      <c r="K18" s="102">
        <f>'10'!AD21</f>
        <v>0.36084049192454426</v>
      </c>
      <c r="L18" s="102"/>
      <c r="M18" s="102">
        <f>'12'!AD21</f>
        <v>0.41605407422134311</v>
      </c>
      <c r="N18" s="102">
        <f>'13'!AD22</f>
        <v>0.5440273179617795</v>
      </c>
      <c r="O18" s="102">
        <f>'14'!AD22</f>
        <v>0.58309079001821407</v>
      </c>
      <c r="P18" s="102"/>
      <c r="Q18" s="102"/>
      <c r="R18" s="102"/>
      <c r="S18" s="102"/>
      <c r="T18" s="102">
        <f>'19'!AD21</f>
        <v>0.56594453562252967</v>
      </c>
      <c r="U18" s="102">
        <f>'20'!AD23</f>
        <v>0.5800509123503409</v>
      </c>
      <c r="V18" s="102">
        <f>'21'!AD21</f>
        <v>0.60798321994458793</v>
      </c>
      <c r="W18" s="102">
        <f>'22'!AD21</f>
        <v>0.49134099882174448</v>
      </c>
      <c r="X18" s="102">
        <f>'23'!AD22</f>
        <v>0.56592274901765405</v>
      </c>
      <c r="Y18" s="102">
        <f>'24'!AD22</f>
        <v>0.46150805115523413</v>
      </c>
      <c r="Z18" s="102"/>
      <c r="AA18" s="102">
        <f>'26'!AD21</f>
        <v>0.6546170636627402</v>
      </c>
      <c r="AB18" s="102">
        <f>'27'!AD22</f>
        <v>0.59685490797461083</v>
      </c>
      <c r="AC18" s="102">
        <f>'28'!AD21</f>
        <v>0.42420202866416129</v>
      </c>
      <c r="AD18" s="102"/>
      <c r="AE18" s="102"/>
      <c r="AF18" s="103"/>
      <c r="AG18" s="106">
        <f t="shared" si="0"/>
        <v>0.36460705417471539</v>
      </c>
    </row>
    <row r="19" spans="1:33" ht="21.75" customHeight="1" thickBot="1">
      <c r="A19" s="76" t="s">
        <v>109</v>
      </c>
      <c r="B19" s="77">
        <v>0.7</v>
      </c>
      <c r="C19" s="78">
        <v>0.7</v>
      </c>
      <c r="D19" s="78">
        <v>0.7</v>
      </c>
      <c r="E19" s="78">
        <v>0.7</v>
      </c>
      <c r="F19" s="78">
        <v>0.7</v>
      </c>
      <c r="G19" s="78">
        <v>0.7</v>
      </c>
      <c r="H19" s="78">
        <v>0.7</v>
      </c>
      <c r="I19" s="78">
        <v>0.7</v>
      </c>
      <c r="J19" s="78">
        <v>0.7</v>
      </c>
      <c r="K19" s="78">
        <v>0.7</v>
      </c>
      <c r="L19" s="78">
        <v>0.7</v>
      </c>
      <c r="M19" s="78">
        <v>0.7</v>
      </c>
      <c r="N19" s="78">
        <v>0.7</v>
      </c>
      <c r="O19" s="78">
        <v>0.7</v>
      </c>
      <c r="P19" s="78">
        <v>0.7</v>
      </c>
      <c r="Q19" s="78">
        <v>0.7</v>
      </c>
      <c r="R19" s="78">
        <v>0.7</v>
      </c>
      <c r="S19" s="78">
        <v>0.7</v>
      </c>
      <c r="T19" s="78">
        <v>0.7</v>
      </c>
      <c r="U19" s="78">
        <v>0.7</v>
      </c>
      <c r="V19" s="78">
        <v>0.7</v>
      </c>
      <c r="W19" s="78">
        <v>0.7</v>
      </c>
      <c r="X19" s="78">
        <v>0.7</v>
      </c>
      <c r="Y19" s="78">
        <v>0.7</v>
      </c>
      <c r="Z19" s="78">
        <v>0.7</v>
      </c>
      <c r="AA19" s="78">
        <v>0.7</v>
      </c>
      <c r="AB19" s="78">
        <v>0.7</v>
      </c>
      <c r="AC19" s="78">
        <v>0.7</v>
      </c>
      <c r="AD19" s="78">
        <v>0.7</v>
      </c>
      <c r="AE19" s="78">
        <v>0.7</v>
      </c>
      <c r="AF19" s="79">
        <v>0.7</v>
      </c>
      <c r="AG19" s="80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K79" sqref="K79:S7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55" t="s">
        <v>176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6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136" t="s">
        <v>17</v>
      </c>
      <c r="L5" s="136" t="s">
        <v>18</v>
      </c>
      <c r="M5" s="136" t="s">
        <v>19</v>
      </c>
      <c r="N5" s="13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6" ht="27" customHeight="1">
      <c r="A6" s="108">
        <v>1</v>
      </c>
      <c r="B6" s="11" t="s">
        <v>57</v>
      </c>
      <c r="C6" s="37" t="s">
        <v>148</v>
      </c>
      <c r="D6" s="55"/>
      <c r="E6" s="57" t="s">
        <v>150</v>
      </c>
      <c r="F6" s="33" t="s">
        <v>125</v>
      </c>
      <c r="G6" s="12">
        <v>1</v>
      </c>
      <c r="H6" s="13">
        <v>28</v>
      </c>
      <c r="I6" s="34">
        <v>10000</v>
      </c>
      <c r="J6" s="5">
        <v>2370</v>
      </c>
      <c r="K6" s="15">
        <f>L6+2004+3701+2366</f>
        <v>8071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0.39145259010974381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159</v>
      </c>
      <c r="D7" s="55" t="s">
        <v>160</v>
      </c>
      <c r="E7" s="57" t="s">
        <v>155</v>
      </c>
      <c r="F7" s="33" t="s">
        <v>161</v>
      </c>
      <c r="G7" s="12">
        <v>4</v>
      </c>
      <c r="H7" s="13">
        <v>25</v>
      </c>
      <c r="I7" s="34">
        <v>100000</v>
      </c>
      <c r="J7" s="5">
        <v>13350</v>
      </c>
      <c r="K7" s="15">
        <f>L7</f>
        <v>13347</v>
      </c>
      <c r="L7" s="15">
        <f>1938*3+2511*3</f>
        <v>13347</v>
      </c>
      <c r="M7" s="16">
        <f t="shared" si="0"/>
        <v>13347</v>
      </c>
      <c r="N7" s="16">
        <v>0</v>
      </c>
      <c r="O7" s="62">
        <f t="shared" si="1"/>
        <v>0</v>
      </c>
      <c r="P7" s="42">
        <f t="shared" si="2"/>
        <v>22</v>
      </c>
      <c r="Q7" s="43">
        <f t="shared" si="3"/>
        <v>2</v>
      </c>
      <c r="R7" s="7"/>
      <c r="S7" s="6">
        <v>2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0.99977528089887635</v>
      </c>
      <c r="AC7" s="9">
        <f t="shared" si="5"/>
        <v>0.91666666666666663</v>
      </c>
      <c r="AD7" s="10">
        <f t="shared" si="6"/>
        <v>0.91646067415730326</v>
      </c>
      <c r="AE7" s="39">
        <f t="shared" si="7"/>
        <v>0.39145259010974381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122</v>
      </c>
      <c r="D8" s="55" t="s">
        <v>127</v>
      </c>
      <c r="E8" s="57" t="s">
        <v>152</v>
      </c>
      <c r="F8" s="33" t="s">
        <v>153</v>
      </c>
      <c r="G8" s="12">
        <v>1</v>
      </c>
      <c r="H8" s="13">
        <v>25</v>
      </c>
      <c r="I8" s="34">
        <v>20000</v>
      </c>
      <c r="J8" s="5">
        <v>5520</v>
      </c>
      <c r="K8" s="15">
        <f>L8+1556+2889+5345+5611</f>
        <v>20921</v>
      </c>
      <c r="L8" s="15">
        <f>2714+2806</f>
        <v>5520</v>
      </c>
      <c r="M8" s="16">
        <f t="shared" si="0"/>
        <v>5520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0.39145259010974381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122</v>
      </c>
      <c r="D9" s="55" t="s">
        <v>128</v>
      </c>
      <c r="E9" s="57" t="s">
        <v>177</v>
      </c>
      <c r="F9" s="33" t="s">
        <v>143</v>
      </c>
      <c r="G9" s="36">
        <v>1</v>
      </c>
      <c r="H9" s="38">
        <v>25</v>
      </c>
      <c r="I9" s="7">
        <v>10000</v>
      </c>
      <c r="J9" s="5">
        <v>1930</v>
      </c>
      <c r="K9" s="15">
        <f>L9</f>
        <v>1923</v>
      </c>
      <c r="L9" s="15">
        <f>1923</f>
        <v>1923</v>
      </c>
      <c r="M9" s="16">
        <f t="shared" si="0"/>
        <v>1923</v>
      </c>
      <c r="N9" s="16">
        <v>0</v>
      </c>
      <c r="O9" s="62">
        <f t="shared" si="1"/>
        <v>0</v>
      </c>
      <c r="P9" s="42">
        <f t="shared" si="2"/>
        <v>11</v>
      </c>
      <c r="Q9" s="43">
        <f t="shared" si="3"/>
        <v>13</v>
      </c>
      <c r="R9" s="7"/>
      <c r="S9" s="6">
        <v>13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0.99637305699481871</v>
      </c>
      <c r="AC9" s="9">
        <f t="shared" si="5"/>
        <v>0.45833333333333331</v>
      </c>
      <c r="AD9" s="10">
        <f t="shared" si="6"/>
        <v>0.45667098445595855</v>
      </c>
      <c r="AE9" s="39">
        <f t="shared" si="7"/>
        <v>0.39145259010974381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122</v>
      </c>
      <c r="D10" s="55" t="s">
        <v>121</v>
      </c>
      <c r="E10" s="57" t="s">
        <v>154</v>
      </c>
      <c r="F10" s="12" t="s">
        <v>140</v>
      </c>
      <c r="G10" s="12">
        <v>1</v>
      </c>
      <c r="H10" s="13">
        <v>25</v>
      </c>
      <c r="I10" s="34">
        <v>7000</v>
      </c>
      <c r="J10" s="14">
        <v>4050</v>
      </c>
      <c r="K10" s="15">
        <f>L10+4727+4049</f>
        <v>8776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0.39145259010974381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157</v>
      </c>
      <c r="D11" s="55"/>
      <c r="E11" s="57" t="s">
        <v>178</v>
      </c>
      <c r="F11" s="12" t="s">
        <v>179</v>
      </c>
      <c r="G11" s="12">
        <v>1</v>
      </c>
      <c r="H11" s="13">
        <v>25</v>
      </c>
      <c r="I11" s="34">
        <v>400</v>
      </c>
      <c r="J11" s="14">
        <v>500</v>
      </c>
      <c r="K11" s="15">
        <f>L11</f>
        <v>498</v>
      </c>
      <c r="L11" s="15">
        <v>498</v>
      </c>
      <c r="M11" s="16">
        <f t="shared" si="0"/>
        <v>498</v>
      </c>
      <c r="N11" s="16">
        <v>0</v>
      </c>
      <c r="O11" s="62">
        <f t="shared" si="1"/>
        <v>0</v>
      </c>
      <c r="P11" s="42">
        <f t="shared" si="2"/>
        <v>4</v>
      </c>
      <c r="Q11" s="43">
        <f t="shared" si="3"/>
        <v>20</v>
      </c>
      <c r="R11" s="7"/>
      <c r="S11" s="6"/>
      <c r="T11" s="17"/>
      <c r="U11" s="17"/>
      <c r="V11" s="18"/>
      <c r="W11" s="19">
        <v>20</v>
      </c>
      <c r="X11" s="17"/>
      <c r="Y11" s="20"/>
      <c r="Z11" s="20"/>
      <c r="AA11" s="21"/>
      <c r="AB11" s="8">
        <f t="shared" si="4"/>
        <v>0.996</v>
      </c>
      <c r="AC11" s="9">
        <f t="shared" si="5"/>
        <v>0.16666666666666666</v>
      </c>
      <c r="AD11" s="10">
        <f t="shared" si="6"/>
        <v>0.16599999999999998</v>
      </c>
      <c r="AE11" s="39">
        <f t="shared" si="7"/>
        <v>0.39145259010974381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114</v>
      </c>
      <c r="D12" s="55" t="s">
        <v>128</v>
      </c>
      <c r="E12" s="57" t="s">
        <v>136</v>
      </c>
      <c r="F12" s="12" t="s">
        <v>137</v>
      </c>
      <c r="G12" s="12">
        <v>1</v>
      </c>
      <c r="H12" s="13">
        <v>25</v>
      </c>
      <c r="I12" s="7">
        <v>2000</v>
      </c>
      <c r="J12" s="14">
        <v>1114</v>
      </c>
      <c r="K12" s="15">
        <f>L12+2166</f>
        <v>3280</v>
      </c>
      <c r="L12" s="15">
        <v>1114</v>
      </c>
      <c r="M12" s="16">
        <f t="shared" si="0"/>
        <v>1114</v>
      </c>
      <c r="N12" s="16">
        <v>0</v>
      </c>
      <c r="O12" s="62">
        <f t="shared" si="1"/>
        <v>0</v>
      </c>
      <c r="P12" s="42">
        <f t="shared" si="2"/>
        <v>7</v>
      </c>
      <c r="Q12" s="43">
        <f t="shared" si="3"/>
        <v>17</v>
      </c>
      <c r="R12" s="7"/>
      <c r="S12" s="6"/>
      <c r="T12" s="17"/>
      <c r="U12" s="17"/>
      <c r="V12" s="18"/>
      <c r="W12" s="19">
        <v>17</v>
      </c>
      <c r="X12" s="17"/>
      <c r="Y12" s="20"/>
      <c r="Z12" s="20"/>
      <c r="AA12" s="21"/>
      <c r="AB12" s="8">
        <f t="shared" si="4"/>
        <v>1</v>
      </c>
      <c r="AC12" s="9">
        <f t="shared" si="5"/>
        <v>0.29166666666666669</v>
      </c>
      <c r="AD12" s="10">
        <f t="shared" si="6"/>
        <v>0.29166666666666669</v>
      </c>
      <c r="AE12" s="39">
        <f t="shared" si="7"/>
        <v>0.39145259010974381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122</v>
      </c>
      <c r="D13" s="55" t="s">
        <v>144</v>
      </c>
      <c r="E13" s="57" t="s">
        <v>142</v>
      </c>
      <c r="F13" s="12" t="s">
        <v>138</v>
      </c>
      <c r="G13" s="12">
        <v>1</v>
      </c>
      <c r="H13" s="13">
        <v>25</v>
      </c>
      <c r="I13" s="7">
        <v>26000</v>
      </c>
      <c r="J13" s="14">
        <v>3565</v>
      </c>
      <c r="K13" s="15">
        <f>L13+2051+1097+2775+4927+920+803+3565</f>
        <v>16138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>
        <v>24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0.39145259010974381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128</v>
      </c>
      <c r="E14" s="57" t="s">
        <v>180</v>
      </c>
      <c r="F14" s="33" t="s">
        <v>181</v>
      </c>
      <c r="G14" s="36">
        <v>1</v>
      </c>
      <c r="H14" s="38">
        <v>25</v>
      </c>
      <c r="I14" s="7">
        <v>200</v>
      </c>
      <c r="J14" s="5">
        <v>610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0.39145259010974381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123</v>
      </c>
      <c r="D15" s="55" t="s">
        <v>162</v>
      </c>
      <c r="E15" s="57" t="s">
        <v>163</v>
      </c>
      <c r="F15" s="12" t="s">
        <v>151</v>
      </c>
      <c r="G15" s="12">
        <v>4</v>
      </c>
      <c r="H15" s="13">
        <v>24</v>
      </c>
      <c r="I15" s="34">
        <v>30000</v>
      </c>
      <c r="J15" s="14">
        <v>22740</v>
      </c>
      <c r="K15" s="15">
        <f>L15+21368+18248</f>
        <v>62352</v>
      </c>
      <c r="L15" s="15">
        <f>2783*4+2901*4</f>
        <v>22736</v>
      </c>
      <c r="M15" s="16">
        <f t="shared" si="0"/>
        <v>22736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0.99982409850483733</v>
      </c>
      <c r="AC15" s="9">
        <f t="shared" si="5"/>
        <v>1</v>
      </c>
      <c r="AD15" s="10">
        <f t="shared" si="6"/>
        <v>0.99982409850483733</v>
      </c>
      <c r="AE15" s="39">
        <f t="shared" si="7"/>
        <v>0.39145259010974381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134</v>
      </c>
      <c r="D16" s="55" t="s">
        <v>133</v>
      </c>
      <c r="E16" s="56" t="s">
        <v>149</v>
      </c>
      <c r="F16" s="12">
        <v>7301</v>
      </c>
      <c r="G16" s="36">
        <v>1</v>
      </c>
      <c r="H16" s="38">
        <v>25</v>
      </c>
      <c r="I16" s="7">
        <v>500</v>
      </c>
      <c r="J16" s="14">
        <v>706</v>
      </c>
      <c r="K16" s="15">
        <f>L16+706</f>
        <v>706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0.39145259010974381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146</v>
      </c>
      <c r="D17" s="55" t="s">
        <v>164</v>
      </c>
      <c r="E17" s="56" t="s">
        <v>165</v>
      </c>
      <c r="F17" s="12" t="s">
        <v>166</v>
      </c>
      <c r="G17" s="12">
        <v>1</v>
      </c>
      <c r="H17" s="13">
        <v>25</v>
      </c>
      <c r="I17" s="34">
        <v>5000</v>
      </c>
      <c r="J17" s="5">
        <v>1850</v>
      </c>
      <c r="K17" s="15">
        <f>L17+4315+1842</f>
        <v>6157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0.39145259010974381</v>
      </c>
      <c r="AF17" s="94">
        <f t="shared" ref="AF17" si="9">A17</f>
        <v>12</v>
      </c>
    </row>
    <row r="18" spans="1:32" ht="27" customHeight="1">
      <c r="A18" s="110">
        <v>13</v>
      </c>
      <c r="B18" s="11" t="s">
        <v>57</v>
      </c>
      <c r="C18" s="37" t="s">
        <v>114</v>
      </c>
      <c r="D18" s="55" t="s">
        <v>135</v>
      </c>
      <c r="E18" s="57" t="s">
        <v>182</v>
      </c>
      <c r="F18" s="33" t="s">
        <v>183</v>
      </c>
      <c r="G18" s="36">
        <v>1</v>
      </c>
      <c r="H18" s="38">
        <v>25</v>
      </c>
      <c r="I18" s="7">
        <v>150</v>
      </c>
      <c r="J18" s="5">
        <v>205</v>
      </c>
      <c r="K18" s="15">
        <f>L18</f>
        <v>205</v>
      </c>
      <c r="L18" s="15">
        <f>205</f>
        <v>205</v>
      </c>
      <c r="M18" s="16">
        <f t="shared" si="0"/>
        <v>205</v>
      </c>
      <c r="N18" s="16">
        <v>0</v>
      </c>
      <c r="O18" s="62">
        <f t="shared" si="1"/>
        <v>0</v>
      </c>
      <c r="P18" s="42">
        <f t="shared" si="2"/>
        <v>4</v>
      </c>
      <c r="Q18" s="43">
        <f t="shared" si="3"/>
        <v>20</v>
      </c>
      <c r="R18" s="7"/>
      <c r="S18" s="6"/>
      <c r="T18" s="17"/>
      <c r="U18" s="17"/>
      <c r="V18" s="18"/>
      <c r="W18" s="19">
        <v>20</v>
      </c>
      <c r="X18" s="17"/>
      <c r="Y18" s="20"/>
      <c r="Z18" s="20"/>
      <c r="AA18" s="21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9">
        <f t="shared" si="7"/>
        <v>0.39145259010974381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146</v>
      </c>
      <c r="D19" s="55" t="s">
        <v>169</v>
      </c>
      <c r="E19" s="57" t="s">
        <v>168</v>
      </c>
      <c r="F19" s="12" t="s">
        <v>138</v>
      </c>
      <c r="G19" s="12" t="s">
        <v>170</v>
      </c>
      <c r="H19" s="13">
        <v>25</v>
      </c>
      <c r="I19" s="7">
        <v>130000</v>
      </c>
      <c r="J19" s="14">
        <v>4400</v>
      </c>
      <c r="K19" s="15">
        <f>L19+3258</f>
        <v>7656</v>
      </c>
      <c r="L19" s="15">
        <f>1646+2752</f>
        <v>4398</v>
      </c>
      <c r="M19" s="16">
        <f t="shared" si="0"/>
        <v>4398</v>
      </c>
      <c r="N19" s="16">
        <v>0</v>
      </c>
      <c r="O19" s="62">
        <f t="shared" si="1"/>
        <v>0</v>
      </c>
      <c r="P19" s="42">
        <f t="shared" si="2"/>
        <v>21</v>
      </c>
      <c r="Q19" s="43">
        <f t="shared" si="3"/>
        <v>3</v>
      </c>
      <c r="R19" s="7"/>
      <c r="S19" s="6">
        <v>3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0.99954545454545451</v>
      </c>
      <c r="AC19" s="9">
        <f t="shared" si="5"/>
        <v>0.875</v>
      </c>
      <c r="AD19" s="10">
        <f t="shared" si="6"/>
        <v>0.87460227272727264</v>
      </c>
      <c r="AE19" s="39">
        <f t="shared" si="7"/>
        <v>0.39145259010974381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124</v>
      </c>
      <c r="D20" s="55"/>
      <c r="E20" s="56" t="s">
        <v>145</v>
      </c>
      <c r="F20" s="12" t="s">
        <v>125</v>
      </c>
      <c r="G20" s="12">
        <v>4</v>
      </c>
      <c r="H20" s="38">
        <v>20</v>
      </c>
      <c r="I20" s="7">
        <v>800000</v>
      </c>
      <c r="J20" s="14">
        <v>39020</v>
      </c>
      <c r="K20" s="15">
        <f>L20+37488+44980+44780+45932+39076+45072+18364</f>
        <v>314708</v>
      </c>
      <c r="L20" s="15">
        <f>4174*4+5580*4</f>
        <v>39016</v>
      </c>
      <c r="M20" s="16">
        <f t="shared" si="0"/>
        <v>39016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0.99989748846745263</v>
      </c>
      <c r="AC20" s="9">
        <f t="shared" si="5"/>
        <v>1</v>
      </c>
      <c r="AD20" s="10">
        <f t="shared" si="6"/>
        <v>0.99989748846745263</v>
      </c>
      <c r="AE20" s="39">
        <f t="shared" si="7"/>
        <v>0.39145259010974381</v>
      </c>
      <c r="AF20" s="94">
        <f t="shared" si="8"/>
        <v>15</v>
      </c>
    </row>
    <row r="21" spans="1:32" ht="31.5" customHeight="1" thickBot="1">
      <c r="A21" s="369" t="s">
        <v>34</v>
      </c>
      <c r="B21" s="370"/>
      <c r="C21" s="370"/>
      <c r="D21" s="370"/>
      <c r="E21" s="370"/>
      <c r="F21" s="370"/>
      <c r="G21" s="370"/>
      <c r="H21" s="371"/>
      <c r="I21" s="25">
        <f t="shared" ref="I21:N21" si="10">SUM(I6:I20)</f>
        <v>1141250</v>
      </c>
      <c r="J21" s="22">
        <f t="shared" si="10"/>
        <v>101930</v>
      </c>
      <c r="K21" s="23">
        <f t="shared" si="10"/>
        <v>464738</v>
      </c>
      <c r="L21" s="24">
        <f t="shared" si="10"/>
        <v>88757</v>
      </c>
      <c r="M21" s="23">
        <f t="shared" si="10"/>
        <v>88757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141</v>
      </c>
      <c r="Q21" s="46">
        <f t="shared" si="11"/>
        <v>219</v>
      </c>
      <c r="R21" s="26">
        <f t="shared" si="11"/>
        <v>0</v>
      </c>
      <c r="S21" s="27">
        <f t="shared" si="11"/>
        <v>66</v>
      </c>
      <c r="T21" s="27">
        <f t="shared" si="11"/>
        <v>0</v>
      </c>
      <c r="U21" s="27">
        <f t="shared" si="11"/>
        <v>0</v>
      </c>
      <c r="V21" s="28">
        <f t="shared" si="11"/>
        <v>0</v>
      </c>
      <c r="W21" s="29">
        <f t="shared" si="11"/>
        <v>153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0.59942769196076262</v>
      </c>
      <c r="AC21" s="4">
        <f>SUM(AC6:AC20)/15</f>
        <v>0.39166666666666666</v>
      </c>
      <c r="AD21" s="4">
        <f>SUM(AD6:AD20)/15</f>
        <v>0.39145259010974381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2" t="s">
        <v>45</v>
      </c>
      <c r="B48" s="372"/>
      <c r="C48" s="372"/>
      <c r="D48" s="372"/>
      <c r="E48" s="37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3" t="s">
        <v>185</v>
      </c>
      <c r="B49" s="374"/>
      <c r="C49" s="374"/>
      <c r="D49" s="374"/>
      <c r="E49" s="374"/>
      <c r="F49" s="374"/>
      <c r="G49" s="374"/>
      <c r="H49" s="374"/>
      <c r="I49" s="374"/>
      <c r="J49" s="374"/>
      <c r="K49" s="374"/>
      <c r="L49" s="374"/>
      <c r="M49" s="375"/>
      <c r="N49" s="376" t="s">
        <v>201</v>
      </c>
      <c r="O49" s="377"/>
      <c r="P49" s="377"/>
      <c r="Q49" s="377"/>
      <c r="R49" s="377"/>
      <c r="S49" s="377"/>
      <c r="T49" s="377"/>
      <c r="U49" s="377"/>
      <c r="V49" s="377"/>
      <c r="W49" s="377"/>
      <c r="X49" s="377"/>
      <c r="Y49" s="377"/>
      <c r="Z49" s="377"/>
      <c r="AA49" s="377"/>
      <c r="AB49" s="377"/>
      <c r="AC49" s="377"/>
      <c r="AD49" s="378"/>
    </row>
    <row r="50" spans="1:32" ht="27" customHeight="1">
      <c r="A50" s="379" t="s">
        <v>2</v>
      </c>
      <c r="B50" s="380"/>
      <c r="C50" s="135" t="s">
        <v>46</v>
      </c>
      <c r="D50" s="135" t="s">
        <v>47</v>
      </c>
      <c r="E50" s="135" t="s">
        <v>108</v>
      </c>
      <c r="F50" s="380" t="s">
        <v>107</v>
      </c>
      <c r="G50" s="380"/>
      <c r="H50" s="380"/>
      <c r="I50" s="380"/>
      <c r="J50" s="380"/>
      <c r="K50" s="380"/>
      <c r="L50" s="380"/>
      <c r="M50" s="381"/>
      <c r="N50" s="73" t="s">
        <v>112</v>
      </c>
      <c r="O50" s="135" t="s">
        <v>46</v>
      </c>
      <c r="P50" s="382" t="s">
        <v>47</v>
      </c>
      <c r="Q50" s="383"/>
      <c r="R50" s="382" t="s">
        <v>38</v>
      </c>
      <c r="S50" s="384"/>
      <c r="T50" s="384"/>
      <c r="U50" s="383"/>
      <c r="V50" s="382" t="s">
        <v>48</v>
      </c>
      <c r="W50" s="384"/>
      <c r="X50" s="384"/>
      <c r="Y50" s="384"/>
      <c r="Z50" s="384"/>
      <c r="AA50" s="384"/>
      <c r="AB50" s="384"/>
      <c r="AC50" s="384"/>
      <c r="AD50" s="385"/>
    </row>
    <row r="51" spans="1:32" ht="27" customHeight="1">
      <c r="A51" s="396" t="s">
        <v>167</v>
      </c>
      <c r="B51" s="397"/>
      <c r="C51" s="134" t="s">
        <v>126</v>
      </c>
      <c r="D51" s="131" t="s">
        <v>128</v>
      </c>
      <c r="E51" s="134" t="s">
        <v>142</v>
      </c>
      <c r="F51" s="398" t="s">
        <v>186</v>
      </c>
      <c r="G51" s="398"/>
      <c r="H51" s="398"/>
      <c r="I51" s="398"/>
      <c r="J51" s="398"/>
      <c r="K51" s="398"/>
      <c r="L51" s="398"/>
      <c r="M51" s="399"/>
      <c r="N51" s="137" t="s">
        <v>122</v>
      </c>
      <c r="O51" s="74" t="s">
        <v>132</v>
      </c>
      <c r="P51" s="400" t="s">
        <v>139</v>
      </c>
      <c r="Q51" s="401"/>
      <c r="R51" s="402" t="s">
        <v>142</v>
      </c>
      <c r="S51" s="402"/>
      <c r="T51" s="402"/>
      <c r="U51" s="402"/>
      <c r="V51" s="398" t="s">
        <v>130</v>
      </c>
      <c r="W51" s="398"/>
      <c r="X51" s="398"/>
      <c r="Y51" s="398"/>
      <c r="Z51" s="398"/>
      <c r="AA51" s="398"/>
      <c r="AB51" s="398"/>
      <c r="AC51" s="398"/>
      <c r="AD51" s="399"/>
    </row>
    <row r="52" spans="1:32" ht="27" customHeight="1">
      <c r="A52" s="396" t="s">
        <v>171</v>
      </c>
      <c r="B52" s="397"/>
      <c r="C52" s="134" t="s">
        <v>131</v>
      </c>
      <c r="D52" s="131" t="s">
        <v>172</v>
      </c>
      <c r="E52" s="134" t="s">
        <v>175</v>
      </c>
      <c r="F52" s="398" t="s">
        <v>187</v>
      </c>
      <c r="G52" s="398"/>
      <c r="H52" s="398"/>
      <c r="I52" s="398"/>
      <c r="J52" s="398"/>
      <c r="K52" s="398"/>
      <c r="L52" s="398"/>
      <c r="M52" s="399"/>
      <c r="N52" s="137" t="s">
        <v>114</v>
      </c>
      <c r="O52" s="74" t="s">
        <v>173</v>
      </c>
      <c r="P52" s="400" t="s">
        <v>128</v>
      </c>
      <c r="Q52" s="401"/>
      <c r="R52" s="402" t="s">
        <v>174</v>
      </c>
      <c r="S52" s="402"/>
      <c r="T52" s="402"/>
      <c r="U52" s="402"/>
      <c r="V52" s="398" t="s">
        <v>130</v>
      </c>
      <c r="W52" s="398"/>
      <c r="X52" s="398"/>
      <c r="Y52" s="398"/>
      <c r="Z52" s="398"/>
      <c r="AA52" s="398"/>
      <c r="AB52" s="398"/>
      <c r="AC52" s="398"/>
      <c r="AD52" s="399"/>
    </row>
    <row r="53" spans="1:32" ht="27" customHeight="1">
      <c r="A53" s="396" t="s">
        <v>188</v>
      </c>
      <c r="B53" s="397"/>
      <c r="C53" s="134" t="s">
        <v>141</v>
      </c>
      <c r="D53" s="131" t="s">
        <v>156</v>
      </c>
      <c r="E53" s="134" t="s">
        <v>189</v>
      </c>
      <c r="F53" s="398" t="s">
        <v>190</v>
      </c>
      <c r="G53" s="398"/>
      <c r="H53" s="398"/>
      <c r="I53" s="398"/>
      <c r="J53" s="398"/>
      <c r="K53" s="398"/>
      <c r="L53" s="398"/>
      <c r="M53" s="399"/>
      <c r="N53" s="130" t="s">
        <v>114</v>
      </c>
      <c r="O53" s="74" t="s">
        <v>195</v>
      </c>
      <c r="P53" s="402" t="s">
        <v>128</v>
      </c>
      <c r="Q53" s="402"/>
      <c r="R53" s="402" t="s">
        <v>202</v>
      </c>
      <c r="S53" s="402"/>
      <c r="T53" s="402"/>
      <c r="U53" s="402"/>
      <c r="V53" s="398" t="s">
        <v>130</v>
      </c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 t="s">
        <v>129</v>
      </c>
      <c r="B54" s="397"/>
      <c r="C54" s="134" t="s">
        <v>173</v>
      </c>
      <c r="D54" s="131" t="s">
        <v>128</v>
      </c>
      <c r="E54" s="134" t="s">
        <v>174</v>
      </c>
      <c r="F54" s="398" t="s">
        <v>191</v>
      </c>
      <c r="G54" s="398"/>
      <c r="H54" s="398"/>
      <c r="I54" s="398"/>
      <c r="J54" s="398"/>
      <c r="K54" s="398"/>
      <c r="L54" s="398"/>
      <c r="M54" s="399"/>
      <c r="N54" s="130" t="s">
        <v>114</v>
      </c>
      <c r="O54" s="74" t="s">
        <v>204</v>
      </c>
      <c r="P54" s="400" t="s">
        <v>205</v>
      </c>
      <c r="Q54" s="401"/>
      <c r="R54" s="402" t="s">
        <v>203</v>
      </c>
      <c r="S54" s="402"/>
      <c r="T54" s="402"/>
      <c r="U54" s="402"/>
      <c r="V54" s="398" t="s">
        <v>206</v>
      </c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 t="s">
        <v>157</v>
      </c>
      <c r="B55" s="397"/>
      <c r="C55" s="134" t="s">
        <v>192</v>
      </c>
      <c r="D55" s="131"/>
      <c r="E55" s="134" t="s">
        <v>193</v>
      </c>
      <c r="F55" s="398" t="s">
        <v>194</v>
      </c>
      <c r="G55" s="398"/>
      <c r="H55" s="398"/>
      <c r="I55" s="398"/>
      <c r="J55" s="398"/>
      <c r="K55" s="398"/>
      <c r="L55" s="398"/>
      <c r="M55" s="399"/>
      <c r="N55" s="130"/>
      <c r="O55" s="74"/>
      <c r="P55" s="400"/>
      <c r="Q55" s="401"/>
      <c r="R55" s="402"/>
      <c r="S55" s="402"/>
      <c r="T55" s="402"/>
      <c r="U55" s="402"/>
      <c r="V55" s="398"/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 t="s">
        <v>114</v>
      </c>
      <c r="B56" s="397"/>
      <c r="C56" s="134" t="s">
        <v>195</v>
      </c>
      <c r="D56" s="131" t="s">
        <v>128</v>
      </c>
      <c r="E56" s="134" t="s">
        <v>196</v>
      </c>
      <c r="F56" s="398" t="s">
        <v>197</v>
      </c>
      <c r="G56" s="398"/>
      <c r="H56" s="398"/>
      <c r="I56" s="398"/>
      <c r="J56" s="398"/>
      <c r="K56" s="398"/>
      <c r="L56" s="398"/>
      <c r="M56" s="399"/>
      <c r="N56" s="130"/>
      <c r="O56" s="74"/>
      <c r="P56" s="402"/>
      <c r="Q56" s="402"/>
      <c r="R56" s="402"/>
      <c r="S56" s="402"/>
      <c r="T56" s="402"/>
      <c r="U56" s="402"/>
      <c r="V56" s="398"/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 t="s">
        <v>114</v>
      </c>
      <c r="B57" s="397"/>
      <c r="C57" s="134" t="s">
        <v>198</v>
      </c>
      <c r="D57" s="131" t="s">
        <v>199</v>
      </c>
      <c r="E57" s="134" t="s">
        <v>200</v>
      </c>
      <c r="F57" s="398" t="s">
        <v>190</v>
      </c>
      <c r="G57" s="398"/>
      <c r="H57" s="398"/>
      <c r="I57" s="398"/>
      <c r="J57" s="398"/>
      <c r="K57" s="398"/>
      <c r="L57" s="398"/>
      <c r="M57" s="399"/>
      <c r="N57" s="130"/>
      <c r="O57" s="74"/>
      <c r="P57" s="400"/>
      <c r="Q57" s="401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/>
      <c r="B58" s="397"/>
      <c r="C58" s="134"/>
      <c r="D58" s="131"/>
      <c r="E58" s="134"/>
      <c r="F58" s="398"/>
      <c r="G58" s="398"/>
      <c r="H58" s="398"/>
      <c r="I58" s="398"/>
      <c r="J58" s="398"/>
      <c r="K58" s="398"/>
      <c r="L58" s="398"/>
      <c r="M58" s="399"/>
      <c r="N58" s="130"/>
      <c r="O58" s="74"/>
      <c r="P58" s="400"/>
      <c r="Q58" s="401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412"/>
      <c r="B59" s="402"/>
      <c r="C59" s="131"/>
      <c r="D59" s="131"/>
      <c r="E59" s="131"/>
      <c r="F59" s="398"/>
      <c r="G59" s="398"/>
      <c r="H59" s="398"/>
      <c r="I59" s="398"/>
      <c r="J59" s="398"/>
      <c r="K59" s="398"/>
      <c r="L59" s="398"/>
      <c r="M59" s="399"/>
      <c r="N59" s="130"/>
      <c r="O59" s="74"/>
      <c r="P59" s="402"/>
      <c r="Q59" s="402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  <c r="AF59" s="94">
        <f>8*3000</f>
        <v>24000</v>
      </c>
    </row>
    <row r="60" spans="1:32" ht="27" customHeight="1" thickBot="1">
      <c r="A60" s="403"/>
      <c r="B60" s="404"/>
      <c r="C60" s="133"/>
      <c r="D60" s="133"/>
      <c r="E60" s="133"/>
      <c r="F60" s="405"/>
      <c r="G60" s="405"/>
      <c r="H60" s="405"/>
      <c r="I60" s="405"/>
      <c r="J60" s="405"/>
      <c r="K60" s="405"/>
      <c r="L60" s="405"/>
      <c r="M60" s="406"/>
      <c r="N60" s="132"/>
      <c r="O60" s="121"/>
      <c r="P60" s="404"/>
      <c r="Q60" s="404"/>
      <c r="R60" s="404"/>
      <c r="S60" s="404"/>
      <c r="T60" s="404"/>
      <c r="U60" s="404"/>
      <c r="V60" s="405"/>
      <c r="W60" s="405"/>
      <c r="X60" s="405"/>
      <c r="Y60" s="405"/>
      <c r="Z60" s="405"/>
      <c r="AA60" s="405"/>
      <c r="AB60" s="405"/>
      <c r="AC60" s="405"/>
      <c r="AD60" s="406"/>
      <c r="AF60" s="94">
        <f>16*3000</f>
        <v>48000</v>
      </c>
    </row>
    <row r="61" spans="1:32" ht="27.75" thickBot="1">
      <c r="A61" s="407" t="s">
        <v>207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129" t="s">
        <v>2</v>
      </c>
      <c r="D62" s="129" t="s">
        <v>37</v>
      </c>
      <c r="E62" s="129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129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3"/>
      <c r="T62" s="413"/>
      <c r="U62" s="413"/>
      <c r="V62" s="413"/>
      <c r="W62" s="413"/>
      <c r="X62" s="413"/>
      <c r="Y62" s="413"/>
      <c r="Z62" s="413"/>
      <c r="AA62" s="411"/>
      <c r="AB62" s="409" t="s">
        <v>44</v>
      </c>
      <c r="AC62" s="409"/>
      <c r="AD62" s="414"/>
      <c r="AF62" s="94">
        <f>SUM(AF59:AF61)</f>
        <v>96000</v>
      </c>
    </row>
    <row r="63" spans="1:32" ht="25.5" customHeight="1">
      <c r="A63" s="415">
        <v>1</v>
      </c>
      <c r="B63" s="416"/>
      <c r="C63" s="124" t="s">
        <v>146</v>
      </c>
      <c r="D63" s="125"/>
      <c r="E63" s="128"/>
      <c r="F63" s="417" t="s">
        <v>208</v>
      </c>
      <c r="G63" s="418"/>
      <c r="H63" s="418"/>
      <c r="I63" s="418"/>
      <c r="J63" s="418"/>
      <c r="K63" s="418" t="s">
        <v>147</v>
      </c>
      <c r="L63" s="418"/>
      <c r="M63" s="54" t="s">
        <v>158</v>
      </c>
      <c r="N63" s="418">
        <v>5</v>
      </c>
      <c r="O63" s="418"/>
      <c r="P63" s="419">
        <v>50</v>
      </c>
      <c r="Q63" s="419"/>
      <c r="R63" s="398" t="s">
        <v>209</v>
      </c>
      <c r="S63" s="398"/>
      <c r="T63" s="398"/>
      <c r="U63" s="398"/>
      <c r="V63" s="398"/>
      <c r="W63" s="398"/>
      <c r="X63" s="398"/>
      <c r="Y63" s="398"/>
      <c r="Z63" s="398"/>
      <c r="AA63" s="398"/>
      <c r="AB63" s="418"/>
      <c r="AC63" s="418"/>
      <c r="AD63" s="420"/>
      <c r="AF63" s="53"/>
    </row>
    <row r="64" spans="1:32" ht="25.5" customHeight="1">
      <c r="A64" s="415">
        <v>2</v>
      </c>
      <c r="B64" s="416"/>
      <c r="C64" s="124"/>
      <c r="D64" s="125"/>
      <c r="E64" s="128"/>
      <c r="F64" s="417"/>
      <c r="G64" s="418"/>
      <c r="H64" s="418"/>
      <c r="I64" s="418"/>
      <c r="J64" s="418"/>
      <c r="K64" s="418"/>
      <c r="L64" s="418"/>
      <c r="M64" s="54"/>
      <c r="N64" s="418"/>
      <c r="O64" s="418"/>
      <c r="P64" s="419"/>
      <c r="Q64" s="419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418"/>
      <c r="AC64" s="418"/>
      <c r="AD64" s="420"/>
      <c r="AF64" s="53"/>
    </row>
    <row r="65" spans="1:32" ht="25.5" customHeight="1">
      <c r="A65" s="415">
        <v>3</v>
      </c>
      <c r="B65" s="416"/>
      <c r="C65" s="124"/>
      <c r="D65" s="125"/>
      <c r="E65" s="128"/>
      <c r="F65" s="417"/>
      <c r="G65" s="418"/>
      <c r="H65" s="418"/>
      <c r="I65" s="418"/>
      <c r="J65" s="418"/>
      <c r="K65" s="418"/>
      <c r="L65" s="418"/>
      <c r="M65" s="54"/>
      <c r="N65" s="418"/>
      <c r="O65" s="418"/>
      <c r="P65" s="419"/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4</v>
      </c>
      <c r="B66" s="416"/>
      <c r="C66" s="124"/>
      <c r="D66" s="125"/>
      <c r="E66" s="128"/>
      <c r="F66" s="417"/>
      <c r="G66" s="418"/>
      <c r="H66" s="418"/>
      <c r="I66" s="418"/>
      <c r="J66" s="418"/>
      <c r="K66" s="418"/>
      <c r="L66" s="418"/>
      <c r="M66" s="54"/>
      <c r="N66" s="418"/>
      <c r="O66" s="418"/>
      <c r="P66" s="419"/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5</v>
      </c>
      <c r="B67" s="416"/>
      <c r="C67" s="124"/>
      <c r="D67" s="125"/>
      <c r="E67" s="128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6</v>
      </c>
      <c r="B68" s="416"/>
      <c r="C68" s="124"/>
      <c r="D68" s="125"/>
      <c r="E68" s="128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7</v>
      </c>
      <c r="B69" s="416"/>
      <c r="C69" s="124"/>
      <c r="D69" s="125"/>
      <c r="E69" s="128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8</v>
      </c>
      <c r="B70" s="416"/>
      <c r="C70" s="124"/>
      <c r="D70" s="125"/>
      <c r="E70" s="128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6.25" customHeight="1" thickBot="1">
      <c r="A71" s="421" t="s">
        <v>210</v>
      </c>
      <c r="B71" s="421"/>
      <c r="C71" s="421"/>
      <c r="D71" s="421"/>
      <c r="E71" s="42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2" t="s">
        <v>113</v>
      </c>
      <c r="B72" s="423"/>
      <c r="C72" s="127" t="s">
        <v>2</v>
      </c>
      <c r="D72" s="127" t="s">
        <v>37</v>
      </c>
      <c r="E72" s="127" t="s">
        <v>3</v>
      </c>
      <c r="F72" s="423" t="s">
        <v>38</v>
      </c>
      <c r="G72" s="423"/>
      <c r="H72" s="423"/>
      <c r="I72" s="423"/>
      <c r="J72" s="423"/>
      <c r="K72" s="424" t="s">
        <v>58</v>
      </c>
      <c r="L72" s="425"/>
      <c r="M72" s="425"/>
      <c r="N72" s="425"/>
      <c r="O72" s="425"/>
      <c r="P72" s="425"/>
      <c r="Q72" s="425"/>
      <c r="R72" s="425"/>
      <c r="S72" s="426"/>
      <c r="T72" s="423" t="s">
        <v>49</v>
      </c>
      <c r="U72" s="423"/>
      <c r="V72" s="424" t="s">
        <v>50</v>
      </c>
      <c r="W72" s="426"/>
      <c r="X72" s="425" t="s">
        <v>51</v>
      </c>
      <c r="Y72" s="425"/>
      <c r="Z72" s="425"/>
      <c r="AA72" s="425"/>
      <c r="AB72" s="425"/>
      <c r="AC72" s="425"/>
      <c r="AD72" s="427"/>
      <c r="AF72" s="53"/>
    </row>
    <row r="73" spans="1:32" ht="33.75" customHeight="1">
      <c r="A73" s="436">
        <v>1</v>
      </c>
      <c r="B73" s="437"/>
      <c r="C73" s="126" t="s">
        <v>114</v>
      </c>
      <c r="D73" s="126"/>
      <c r="E73" s="71" t="s">
        <v>119</v>
      </c>
      <c r="F73" s="438" t="s">
        <v>120</v>
      </c>
      <c r="G73" s="439"/>
      <c r="H73" s="439"/>
      <c r="I73" s="439"/>
      <c r="J73" s="440"/>
      <c r="K73" s="441" t="s">
        <v>115</v>
      </c>
      <c r="L73" s="442"/>
      <c r="M73" s="442"/>
      <c r="N73" s="442"/>
      <c r="O73" s="442"/>
      <c r="P73" s="442"/>
      <c r="Q73" s="442"/>
      <c r="R73" s="442"/>
      <c r="S73" s="443"/>
      <c r="T73" s="444">
        <v>42901</v>
      </c>
      <c r="U73" s="445"/>
      <c r="V73" s="446"/>
      <c r="W73" s="446"/>
      <c r="X73" s="447"/>
      <c r="Y73" s="447"/>
      <c r="Z73" s="447"/>
      <c r="AA73" s="447"/>
      <c r="AB73" s="447"/>
      <c r="AC73" s="447"/>
      <c r="AD73" s="448"/>
      <c r="AF73" s="53"/>
    </row>
    <row r="74" spans="1:32" ht="30" customHeight="1">
      <c r="A74" s="428">
        <f>A73+1</f>
        <v>2</v>
      </c>
      <c r="B74" s="429"/>
      <c r="C74" s="125" t="s">
        <v>114</v>
      </c>
      <c r="D74" s="125"/>
      <c r="E74" s="35" t="s">
        <v>116</v>
      </c>
      <c r="F74" s="429" t="s">
        <v>117</v>
      </c>
      <c r="G74" s="429"/>
      <c r="H74" s="429"/>
      <c r="I74" s="429"/>
      <c r="J74" s="429"/>
      <c r="K74" s="430" t="s">
        <v>118</v>
      </c>
      <c r="L74" s="431"/>
      <c r="M74" s="431"/>
      <c r="N74" s="431"/>
      <c r="O74" s="431"/>
      <c r="P74" s="431"/>
      <c r="Q74" s="431"/>
      <c r="R74" s="431"/>
      <c r="S74" s="432"/>
      <c r="T74" s="433">
        <v>42867</v>
      </c>
      <c r="U74" s="433"/>
      <c r="V74" s="433"/>
      <c r="W74" s="433"/>
      <c r="X74" s="434"/>
      <c r="Y74" s="434"/>
      <c r="Z74" s="434"/>
      <c r="AA74" s="434"/>
      <c r="AB74" s="434"/>
      <c r="AC74" s="434"/>
      <c r="AD74" s="435"/>
      <c r="AF74" s="53"/>
    </row>
    <row r="75" spans="1:32" ht="30" customHeight="1">
      <c r="A75" s="428">
        <f t="shared" ref="A75:A81" si="12">A74+1</f>
        <v>3</v>
      </c>
      <c r="B75" s="429"/>
      <c r="C75" s="125"/>
      <c r="D75" s="125"/>
      <c r="E75" s="35"/>
      <c r="F75" s="429"/>
      <c r="G75" s="429"/>
      <c r="H75" s="429"/>
      <c r="I75" s="429"/>
      <c r="J75" s="429"/>
      <c r="K75" s="430"/>
      <c r="L75" s="431"/>
      <c r="M75" s="431"/>
      <c r="N75" s="431"/>
      <c r="O75" s="431"/>
      <c r="P75" s="431"/>
      <c r="Q75" s="431"/>
      <c r="R75" s="431"/>
      <c r="S75" s="432"/>
      <c r="T75" s="433"/>
      <c r="U75" s="433"/>
      <c r="V75" s="433"/>
      <c r="W75" s="433"/>
      <c r="X75" s="434"/>
      <c r="Y75" s="434"/>
      <c r="Z75" s="434"/>
      <c r="AA75" s="434"/>
      <c r="AB75" s="434"/>
      <c r="AC75" s="434"/>
      <c r="AD75" s="435"/>
      <c r="AF75" s="53"/>
    </row>
    <row r="76" spans="1:32" ht="30" customHeight="1">
      <c r="A76" s="428">
        <f t="shared" si="12"/>
        <v>4</v>
      </c>
      <c r="B76" s="429"/>
      <c r="C76" s="125"/>
      <c r="D76" s="125"/>
      <c r="E76" s="35"/>
      <c r="F76" s="429"/>
      <c r="G76" s="429"/>
      <c r="H76" s="429"/>
      <c r="I76" s="429"/>
      <c r="J76" s="429"/>
      <c r="K76" s="430"/>
      <c r="L76" s="431"/>
      <c r="M76" s="431"/>
      <c r="N76" s="431"/>
      <c r="O76" s="431"/>
      <c r="P76" s="431"/>
      <c r="Q76" s="431"/>
      <c r="R76" s="431"/>
      <c r="S76" s="432"/>
      <c r="T76" s="433"/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si="12"/>
        <v>5</v>
      </c>
      <c r="B77" s="429"/>
      <c r="C77" s="125"/>
      <c r="D77" s="125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12"/>
        <v>6</v>
      </c>
      <c r="B78" s="429"/>
      <c r="C78" s="125"/>
      <c r="D78" s="125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12"/>
        <v>7</v>
      </c>
      <c r="B79" s="429"/>
      <c r="C79" s="125"/>
      <c r="D79" s="125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12"/>
        <v>8</v>
      </c>
      <c r="B80" s="429"/>
      <c r="C80" s="125"/>
      <c r="D80" s="125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12"/>
        <v>9</v>
      </c>
      <c r="B81" s="429"/>
      <c r="C81" s="125"/>
      <c r="D81" s="125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6" thickBot="1">
      <c r="A82" s="421" t="s">
        <v>211</v>
      </c>
      <c r="B82" s="421"/>
      <c r="C82" s="421"/>
      <c r="D82" s="421"/>
      <c r="E82" s="42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2" t="s">
        <v>113</v>
      </c>
      <c r="B83" s="423"/>
      <c r="C83" s="449" t="s">
        <v>52</v>
      </c>
      <c r="D83" s="449"/>
      <c r="E83" s="449" t="s">
        <v>53</v>
      </c>
      <c r="F83" s="449"/>
      <c r="G83" s="449"/>
      <c r="H83" s="449"/>
      <c r="I83" s="449"/>
      <c r="J83" s="449"/>
      <c r="K83" s="449" t="s">
        <v>54</v>
      </c>
      <c r="L83" s="449"/>
      <c r="M83" s="449"/>
      <c r="N83" s="449"/>
      <c r="O83" s="449"/>
      <c r="P83" s="449"/>
      <c r="Q83" s="449"/>
      <c r="R83" s="449"/>
      <c r="S83" s="449"/>
      <c r="T83" s="449" t="s">
        <v>55</v>
      </c>
      <c r="U83" s="449"/>
      <c r="V83" s="449" t="s">
        <v>56</v>
      </c>
      <c r="W83" s="449"/>
      <c r="X83" s="449"/>
      <c r="Y83" s="449" t="s">
        <v>51</v>
      </c>
      <c r="Z83" s="449"/>
      <c r="AA83" s="449"/>
      <c r="AB83" s="449"/>
      <c r="AC83" s="449"/>
      <c r="AD83" s="450"/>
      <c r="AF83" s="53"/>
    </row>
    <row r="84" spans="1:32" ht="30.75" customHeight="1">
      <c r="A84" s="436">
        <v>1</v>
      </c>
      <c r="B84" s="437"/>
      <c r="C84" s="451"/>
      <c r="D84" s="451"/>
      <c r="E84" s="451"/>
      <c r="F84" s="451"/>
      <c r="G84" s="451"/>
      <c r="H84" s="451"/>
      <c r="I84" s="451"/>
      <c r="J84" s="451"/>
      <c r="K84" s="451"/>
      <c r="L84" s="451"/>
      <c r="M84" s="451"/>
      <c r="N84" s="451"/>
      <c r="O84" s="451"/>
      <c r="P84" s="451"/>
      <c r="Q84" s="451"/>
      <c r="R84" s="451"/>
      <c r="S84" s="451"/>
      <c r="T84" s="451"/>
      <c r="U84" s="451"/>
      <c r="V84" s="452"/>
      <c r="W84" s="452"/>
      <c r="X84" s="452"/>
      <c r="Y84" s="453"/>
      <c r="Z84" s="453"/>
      <c r="AA84" s="453"/>
      <c r="AB84" s="453"/>
      <c r="AC84" s="453"/>
      <c r="AD84" s="454"/>
      <c r="AF84" s="53"/>
    </row>
    <row r="85" spans="1:32" ht="30.75" customHeight="1">
      <c r="A85" s="428">
        <v>2</v>
      </c>
      <c r="B85" s="429"/>
      <c r="C85" s="462"/>
      <c r="D85" s="462"/>
      <c r="E85" s="462"/>
      <c r="F85" s="462"/>
      <c r="G85" s="462"/>
      <c r="H85" s="462"/>
      <c r="I85" s="462"/>
      <c r="J85" s="462"/>
      <c r="K85" s="462"/>
      <c r="L85" s="462"/>
      <c r="M85" s="462"/>
      <c r="N85" s="462"/>
      <c r="O85" s="462"/>
      <c r="P85" s="462"/>
      <c r="Q85" s="462"/>
      <c r="R85" s="462"/>
      <c r="S85" s="462"/>
      <c r="T85" s="463"/>
      <c r="U85" s="463"/>
      <c r="V85" s="464"/>
      <c r="W85" s="464"/>
      <c r="X85" s="464"/>
      <c r="Y85" s="455"/>
      <c r="Z85" s="455"/>
      <c r="AA85" s="455"/>
      <c r="AB85" s="455"/>
      <c r="AC85" s="455"/>
      <c r="AD85" s="456"/>
      <c r="AF85" s="53"/>
    </row>
    <row r="86" spans="1:32" ht="30.75" customHeight="1" thickBot="1">
      <c r="A86" s="457">
        <v>3</v>
      </c>
      <c r="B86" s="458"/>
      <c r="C86" s="459"/>
      <c r="D86" s="459"/>
      <c r="E86" s="459"/>
      <c r="F86" s="459"/>
      <c r="G86" s="459"/>
      <c r="H86" s="459"/>
      <c r="I86" s="459"/>
      <c r="J86" s="459"/>
      <c r="K86" s="459"/>
      <c r="L86" s="459"/>
      <c r="M86" s="459"/>
      <c r="N86" s="459"/>
      <c r="O86" s="459"/>
      <c r="P86" s="459"/>
      <c r="Q86" s="459"/>
      <c r="R86" s="459"/>
      <c r="S86" s="459"/>
      <c r="T86" s="459"/>
      <c r="U86" s="459"/>
      <c r="V86" s="459"/>
      <c r="W86" s="459"/>
      <c r="X86" s="459"/>
      <c r="Y86" s="460"/>
      <c r="Z86" s="460"/>
      <c r="AA86" s="460"/>
      <c r="AB86" s="460"/>
      <c r="AC86" s="460"/>
      <c r="AD86" s="46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F67" sqref="F67:J6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55" t="s">
        <v>212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6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149" t="s">
        <v>17</v>
      </c>
      <c r="L5" s="149" t="s">
        <v>18</v>
      </c>
      <c r="M5" s="149" t="s">
        <v>19</v>
      </c>
      <c r="N5" s="14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6" ht="27" customHeight="1">
      <c r="A6" s="108">
        <v>1</v>
      </c>
      <c r="B6" s="11" t="s">
        <v>57</v>
      </c>
      <c r="C6" s="37" t="s">
        <v>148</v>
      </c>
      <c r="D6" s="55"/>
      <c r="E6" s="57" t="s">
        <v>150</v>
      </c>
      <c r="F6" s="33" t="s">
        <v>125</v>
      </c>
      <c r="G6" s="12">
        <v>1</v>
      </c>
      <c r="H6" s="13">
        <v>28</v>
      </c>
      <c r="I6" s="34">
        <v>10000</v>
      </c>
      <c r="J6" s="5">
        <v>2370</v>
      </c>
      <c r="K6" s="15">
        <f>L6+2004+3701+2366</f>
        <v>8071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0.46165237403145226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159</v>
      </c>
      <c r="D7" s="55" t="s">
        <v>160</v>
      </c>
      <c r="E7" s="57" t="s">
        <v>155</v>
      </c>
      <c r="F7" s="33" t="s">
        <v>161</v>
      </c>
      <c r="G7" s="12">
        <v>4</v>
      </c>
      <c r="H7" s="13">
        <v>25</v>
      </c>
      <c r="I7" s="34">
        <v>100000</v>
      </c>
      <c r="J7" s="5">
        <v>15720</v>
      </c>
      <c r="K7" s="15">
        <f>L7+13347</f>
        <v>29064</v>
      </c>
      <c r="L7" s="15">
        <f>2922*3+2317*3</f>
        <v>15717</v>
      </c>
      <c r="M7" s="16">
        <f t="shared" si="0"/>
        <v>15717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0.9998091603053435</v>
      </c>
      <c r="AC7" s="9">
        <f t="shared" si="5"/>
        <v>1</v>
      </c>
      <c r="AD7" s="10">
        <f t="shared" si="6"/>
        <v>0.9998091603053435</v>
      </c>
      <c r="AE7" s="39">
        <f t="shared" si="7"/>
        <v>0.46165237403145226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122</v>
      </c>
      <c r="D8" s="55" t="s">
        <v>127</v>
      </c>
      <c r="E8" s="57" t="s">
        <v>152</v>
      </c>
      <c r="F8" s="33" t="s">
        <v>153</v>
      </c>
      <c r="G8" s="12">
        <v>1</v>
      </c>
      <c r="H8" s="13">
        <v>25</v>
      </c>
      <c r="I8" s="34">
        <v>20000</v>
      </c>
      <c r="J8" s="5">
        <v>5110</v>
      </c>
      <c r="K8" s="15">
        <f>L8+1556+2889+5345+5611+5520</f>
        <v>26024</v>
      </c>
      <c r="L8" s="15">
        <f>2481+2622</f>
        <v>5103</v>
      </c>
      <c r="M8" s="16">
        <f t="shared" si="0"/>
        <v>5103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0.99863013698630132</v>
      </c>
      <c r="AC8" s="9">
        <f t="shared" si="5"/>
        <v>1</v>
      </c>
      <c r="AD8" s="10">
        <f t="shared" si="6"/>
        <v>0.99863013698630132</v>
      </c>
      <c r="AE8" s="39">
        <f t="shared" si="7"/>
        <v>0.46165237403145226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122</v>
      </c>
      <c r="D9" s="55" t="s">
        <v>128</v>
      </c>
      <c r="E9" s="57" t="s">
        <v>177</v>
      </c>
      <c r="F9" s="33" t="s">
        <v>143</v>
      </c>
      <c r="G9" s="36">
        <v>1</v>
      </c>
      <c r="H9" s="38">
        <v>25</v>
      </c>
      <c r="I9" s="7">
        <v>10000</v>
      </c>
      <c r="J9" s="5">
        <v>1930</v>
      </c>
      <c r="K9" s="15">
        <f>L9+1923</f>
        <v>1923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0.46165237403145226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122</v>
      </c>
      <c r="D10" s="55" t="s">
        <v>121</v>
      </c>
      <c r="E10" s="57" t="s">
        <v>154</v>
      </c>
      <c r="F10" s="12" t="s">
        <v>140</v>
      </c>
      <c r="G10" s="12">
        <v>1</v>
      </c>
      <c r="H10" s="13">
        <v>25</v>
      </c>
      <c r="I10" s="34">
        <v>7000</v>
      </c>
      <c r="J10" s="14">
        <v>4050</v>
      </c>
      <c r="K10" s="15">
        <f>L10+4727+4049</f>
        <v>8776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0.46165237403145226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157</v>
      </c>
      <c r="D11" s="55"/>
      <c r="E11" s="57" t="s">
        <v>178</v>
      </c>
      <c r="F11" s="12" t="s">
        <v>179</v>
      </c>
      <c r="G11" s="12">
        <v>1</v>
      </c>
      <c r="H11" s="13">
        <v>25</v>
      </c>
      <c r="I11" s="34">
        <v>400</v>
      </c>
      <c r="J11" s="14">
        <v>500</v>
      </c>
      <c r="K11" s="15">
        <f>L11+498</f>
        <v>498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0.46165237403145226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114</v>
      </c>
      <c r="D12" s="55" t="s">
        <v>128</v>
      </c>
      <c r="E12" s="57" t="s">
        <v>136</v>
      </c>
      <c r="F12" s="12" t="s">
        <v>137</v>
      </c>
      <c r="G12" s="12">
        <v>1</v>
      </c>
      <c r="H12" s="13">
        <v>25</v>
      </c>
      <c r="I12" s="7">
        <v>2000</v>
      </c>
      <c r="J12" s="14">
        <v>1114</v>
      </c>
      <c r="K12" s="15">
        <f>L12+2166+1114</f>
        <v>3280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0.46165237403145226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213</v>
      </c>
      <c r="D13" s="55" t="s">
        <v>144</v>
      </c>
      <c r="E13" s="57" t="s">
        <v>214</v>
      </c>
      <c r="F13" s="12" t="s">
        <v>215</v>
      </c>
      <c r="G13" s="12">
        <v>1</v>
      </c>
      <c r="H13" s="13">
        <v>25</v>
      </c>
      <c r="I13" s="7">
        <v>150</v>
      </c>
      <c r="J13" s="14">
        <v>192</v>
      </c>
      <c r="K13" s="15">
        <f>L13</f>
        <v>192</v>
      </c>
      <c r="L13" s="15">
        <v>192</v>
      </c>
      <c r="M13" s="16">
        <f t="shared" si="0"/>
        <v>192</v>
      </c>
      <c r="N13" s="16">
        <v>0</v>
      </c>
      <c r="O13" s="62">
        <f t="shared" si="1"/>
        <v>0</v>
      </c>
      <c r="P13" s="42">
        <f t="shared" si="2"/>
        <v>5</v>
      </c>
      <c r="Q13" s="43">
        <f t="shared" si="3"/>
        <v>19</v>
      </c>
      <c r="R13" s="7"/>
      <c r="S13" s="6"/>
      <c r="T13" s="17"/>
      <c r="U13" s="17"/>
      <c r="V13" s="18"/>
      <c r="W13" s="19">
        <v>19</v>
      </c>
      <c r="X13" s="17"/>
      <c r="Y13" s="20"/>
      <c r="Z13" s="20"/>
      <c r="AA13" s="21"/>
      <c r="AB13" s="8">
        <f t="shared" si="4"/>
        <v>1</v>
      </c>
      <c r="AC13" s="9">
        <f t="shared" si="5"/>
        <v>0.20833333333333334</v>
      </c>
      <c r="AD13" s="10">
        <f t="shared" si="6"/>
        <v>0.20833333333333334</v>
      </c>
      <c r="AE13" s="39">
        <f t="shared" si="7"/>
        <v>0.46165237403145226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128</v>
      </c>
      <c r="E14" s="57" t="s">
        <v>180</v>
      </c>
      <c r="F14" s="33" t="s">
        <v>181</v>
      </c>
      <c r="G14" s="36">
        <v>1</v>
      </c>
      <c r="H14" s="38">
        <v>25</v>
      </c>
      <c r="I14" s="7">
        <v>200</v>
      </c>
      <c r="J14" s="5">
        <v>610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0.46165237403145226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123</v>
      </c>
      <c r="D15" s="55" t="s">
        <v>162</v>
      </c>
      <c r="E15" s="57" t="s">
        <v>163</v>
      </c>
      <c r="F15" s="12" t="s">
        <v>151</v>
      </c>
      <c r="G15" s="12">
        <v>4</v>
      </c>
      <c r="H15" s="13">
        <v>24</v>
      </c>
      <c r="I15" s="34">
        <v>30000</v>
      </c>
      <c r="J15" s="14">
        <v>23400</v>
      </c>
      <c r="K15" s="15">
        <f>L15+21368+18248+22736</f>
        <v>85748</v>
      </c>
      <c r="L15" s="15">
        <f>3101*4+2748*4</f>
        <v>23396</v>
      </c>
      <c r="M15" s="16">
        <f t="shared" si="0"/>
        <v>23396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0.99982905982905979</v>
      </c>
      <c r="AC15" s="9">
        <f t="shared" si="5"/>
        <v>1</v>
      </c>
      <c r="AD15" s="10">
        <f t="shared" si="6"/>
        <v>0.99982905982905979</v>
      </c>
      <c r="AE15" s="39">
        <f t="shared" si="7"/>
        <v>0.46165237403145226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216</v>
      </c>
      <c r="D16" s="55" t="s">
        <v>217</v>
      </c>
      <c r="E16" s="56" t="s">
        <v>218</v>
      </c>
      <c r="F16" s="12">
        <v>7301</v>
      </c>
      <c r="G16" s="36">
        <v>1</v>
      </c>
      <c r="H16" s="38">
        <v>25</v>
      </c>
      <c r="I16" s="7">
        <v>2000</v>
      </c>
      <c r="J16" s="14">
        <v>3121</v>
      </c>
      <c r="K16" s="15">
        <f>L16</f>
        <v>3121</v>
      </c>
      <c r="L16" s="15">
        <v>3121</v>
      </c>
      <c r="M16" s="16">
        <f t="shared" si="0"/>
        <v>3121</v>
      </c>
      <c r="N16" s="16">
        <v>0</v>
      </c>
      <c r="O16" s="62">
        <f t="shared" si="1"/>
        <v>0</v>
      </c>
      <c r="P16" s="42">
        <f t="shared" si="2"/>
        <v>17</v>
      </c>
      <c r="Q16" s="43">
        <f t="shared" si="3"/>
        <v>7</v>
      </c>
      <c r="R16" s="7"/>
      <c r="S16" s="6">
        <v>7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0.70833333333333337</v>
      </c>
      <c r="AD16" s="10">
        <f t="shared" si="6"/>
        <v>0.70833333333333337</v>
      </c>
      <c r="AE16" s="39">
        <f t="shared" si="7"/>
        <v>0.46165237403145226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216</v>
      </c>
      <c r="D17" s="55" t="s">
        <v>219</v>
      </c>
      <c r="E17" s="56" t="s">
        <v>220</v>
      </c>
      <c r="F17" s="12">
        <v>8301</v>
      </c>
      <c r="G17" s="12">
        <v>1</v>
      </c>
      <c r="H17" s="13">
        <v>25</v>
      </c>
      <c r="I17" s="34">
        <v>150</v>
      </c>
      <c r="J17" s="5">
        <v>220</v>
      </c>
      <c r="K17" s="15">
        <f>L17</f>
        <v>219</v>
      </c>
      <c r="L17" s="15">
        <f>219</f>
        <v>219</v>
      </c>
      <c r="M17" s="16">
        <f t="shared" si="0"/>
        <v>219</v>
      </c>
      <c r="N17" s="16">
        <v>0</v>
      </c>
      <c r="O17" s="62">
        <f t="shared" si="1"/>
        <v>0</v>
      </c>
      <c r="P17" s="42">
        <f t="shared" si="2"/>
        <v>4</v>
      </c>
      <c r="Q17" s="43">
        <f t="shared" si="3"/>
        <v>20</v>
      </c>
      <c r="R17" s="7"/>
      <c r="S17" s="6"/>
      <c r="T17" s="17"/>
      <c r="U17" s="17"/>
      <c r="V17" s="18"/>
      <c r="W17" s="19">
        <v>20</v>
      </c>
      <c r="X17" s="17"/>
      <c r="Y17" s="20"/>
      <c r="Z17" s="20"/>
      <c r="AA17" s="21"/>
      <c r="AB17" s="8">
        <f t="shared" si="4"/>
        <v>0.99545454545454548</v>
      </c>
      <c r="AC17" s="9">
        <f t="shared" si="5"/>
        <v>0.16666666666666666</v>
      </c>
      <c r="AD17" s="10">
        <f t="shared" si="6"/>
        <v>0.16590909090909089</v>
      </c>
      <c r="AE17" s="39">
        <f t="shared" si="7"/>
        <v>0.46165237403145226</v>
      </c>
      <c r="AF17" s="94">
        <f t="shared" ref="AF17:AF18" si="9">A17</f>
        <v>12</v>
      </c>
    </row>
    <row r="18" spans="1:32" ht="27" customHeight="1">
      <c r="A18" s="110">
        <v>13</v>
      </c>
      <c r="B18" s="11" t="s">
        <v>57</v>
      </c>
      <c r="C18" s="37" t="s">
        <v>122</v>
      </c>
      <c r="D18" s="55" t="s">
        <v>128</v>
      </c>
      <c r="E18" s="57" t="s">
        <v>177</v>
      </c>
      <c r="F18" s="33" t="s">
        <v>143</v>
      </c>
      <c r="G18" s="36">
        <v>1</v>
      </c>
      <c r="H18" s="38">
        <v>25</v>
      </c>
      <c r="I18" s="7">
        <v>10000</v>
      </c>
      <c r="J18" s="5">
        <v>3340</v>
      </c>
      <c r="K18" s="15">
        <f>L18+1923</f>
        <v>5261</v>
      </c>
      <c r="L18" s="15">
        <f>3338</f>
        <v>3338</v>
      </c>
      <c r="M18" s="16">
        <f t="shared" ref="M18" si="10">L18-N18</f>
        <v>3338</v>
      </c>
      <c r="N18" s="16">
        <v>0</v>
      </c>
      <c r="O18" s="62">
        <f t="shared" ref="O18" si="11">IF(L18=0,"0",N18/L18)</f>
        <v>0</v>
      </c>
      <c r="P18" s="42">
        <f t="shared" ref="P18" si="12">IF(L18=0,"0",(24-Q18))</f>
        <v>17</v>
      </c>
      <c r="Q18" s="43">
        <f t="shared" ref="Q18" si="13">SUM(R18:AA18)</f>
        <v>7</v>
      </c>
      <c r="R18" s="7"/>
      <c r="S18" s="6">
        <v>7</v>
      </c>
      <c r="T18" s="17"/>
      <c r="U18" s="17"/>
      <c r="V18" s="18"/>
      <c r="W18" s="19"/>
      <c r="X18" s="17"/>
      <c r="Y18" s="20"/>
      <c r="Z18" s="20"/>
      <c r="AA18" s="21"/>
      <c r="AB18" s="8">
        <f t="shared" ref="AB18" si="14">IF(J18=0,"0",(L18/J18))</f>
        <v>0.9994011976047904</v>
      </c>
      <c r="AC18" s="9">
        <f t="shared" ref="AC18" si="15">IF(P18=0,"0",(P18/24))</f>
        <v>0.70833333333333337</v>
      </c>
      <c r="AD18" s="10">
        <f t="shared" ref="AD18" si="16">AC18*AB18*(1-O18)</f>
        <v>0.70790918163672656</v>
      </c>
      <c r="AE18" s="39">
        <f t="shared" si="7"/>
        <v>0.46165237403145226</v>
      </c>
      <c r="AF18" s="94">
        <f t="shared" si="9"/>
        <v>13</v>
      </c>
    </row>
    <row r="19" spans="1:32" ht="27" customHeight="1">
      <c r="A19" s="110">
        <v>14</v>
      </c>
      <c r="B19" s="11" t="s">
        <v>57</v>
      </c>
      <c r="C19" s="11" t="s">
        <v>146</v>
      </c>
      <c r="D19" s="55" t="s">
        <v>169</v>
      </c>
      <c r="E19" s="57" t="s">
        <v>168</v>
      </c>
      <c r="F19" s="12" t="s">
        <v>138</v>
      </c>
      <c r="G19" s="12" t="s">
        <v>170</v>
      </c>
      <c r="H19" s="13">
        <v>25</v>
      </c>
      <c r="I19" s="7">
        <v>130000</v>
      </c>
      <c r="J19" s="14">
        <v>4150</v>
      </c>
      <c r="K19" s="15">
        <f>L19+3258+4398</f>
        <v>12800</v>
      </c>
      <c r="L19" s="15">
        <f>1913+3231</f>
        <v>5144</v>
      </c>
      <c r="M19" s="16">
        <f t="shared" si="0"/>
        <v>5144</v>
      </c>
      <c r="N19" s="16">
        <v>0</v>
      </c>
      <c r="O19" s="62">
        <f t="shared" si="1"/>
        <v>0</v>
      </c>
      <c r="P19" s="42">
        <f t="shared" si="2"/>
        <v>22</v>
      </c>
      <c r="Q19" s="43">
        <f t="shared" si="3"/>
        <v>2</v>
      </c>
      <c r="R19" s="7"/>
      <c r="S19" s="6">
        <v>2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1.2395180722891566</v>
      </c>
      <c r="AC19" s="9">
        <f t="shared" si="5"/>
        <v>0.91666666666666663</v>
      </c>
      <c r="AD19" s="10">
        <f t="shared" si="6"/>
        <v>1.1362248995983935</v>
      </c>
      <c r="AE19" s="39">
        <f t="shared" si="7"/>
        <v>0.46165237403145226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124</v>
      </c>
      <c r="D20" s="55"/>
      <c r="E20" s="56" t="s">
        <v>145</v>
      </c>
      <c r="F20" s="12" t="s">
        <v>125</v>
      </c>
      <c r="G20" s="12">
        <v>4</v>
      </c>
      <c r="H20" s="38">
        <v>20</v>
      </c>
      <c r="I20" s="7">
        <v>800000</v>
      </c>
      <c r="J20" s="14">
        <v>41540</v>
      </c>
      <c r="K20" s="15">
        <f>L20+37488+44980+44780+45932+39076+45072+18364+39016</f>
        <v>356240</v>
      </c>
      <c r="L20" s="15">
        <f>4972*4+5411*4</f>
        <v>41532</v>
      </c>
      <c r="M20" s="16">
        <f t="shared" si="0"/>
        <v>41532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0.99980741454020217</v>
      </c>
      <c r="AC20" s="9">
        <f t="shared" si="5"/>
        <v>1</v>
      </c>
      <c r="AD20" s="10">
        <f t="shared" si="6"/>
        <v>0.99980741454020217</v>
      </c>
      <c r="AE20" s="39">
        <f t="shared" si="7"/>
        <v>0.46165237403145226</v>
      </c>
      <c r="AF20" s="94">
        <f t="shared" si="8"/>
        <v>15</v>
      </c>
    </row>
    <row r="21" spans="1:32" ht="31.5" customHeight="1" thickBot="1">
      <c r="A21" s="369" t="s">
        <v>34</v>
      </c>
      <c r="B21" s="370"/>
      <c r="C21" s="370"/>
      <c r="D21" s="370"/>
      <c r="E21" s="370"/>
      <c r="F21" s="370"/>
      <c r="G21" s="370"/>
      <c r="H21" s="371"/>
      <c r="I21" s="25">
        <f t="shared" ref="I21:N21" si="17">SUM(I6:I20)</f>
        <v>1121900</v>
      </c>
      <c r="J21" s="22">
        <f t="shared" si="17"/>
        <v>107367</v>
      </c>
      <c r="K21" s="23">
        <f t="shared" si="17"/>
        <v>541217</v>
      </c>
      <c r="L21" s="24">
        <f t="shared" si="17"/>
        <v>97762</v>
      </c>
      <c r="M21" s="23">
        <f t="shared" si="17"/>
        <v>97762</v>
      </c>
      <c r="N21" s="24">
        <f t="shared" si="17"/>
        <v>0</v>
      </c>
      <c r="O21" s="44">
        <f t="shared" si="1"/>
        <v>0</v>
      </c>
      <c r="P21" s="45">
        <f t="shared" ref="P21:AA21" si="18">SUM(P6:P20)</f>
        <v>161</v>
      </c>
      <c r="Q21" s="46">
        <f t="shared" si="18"/>
        <v>199</v>
      </c>
      <c r="R21" s="26">
        <f t="shared" si="18"/>
        <v>0</v>
      </c>
      <c r="S21" s="27">
        <f t="shared" si="18"/>
        <v>64</v>
      </c>
      <c r="T21" s="27">
        <f t="shared" si="18"/>
        <v>0</v>
      </c>
      <c r="U21" s="27">
        <f t="shared" si="18"/>
        <v>0</v>
      </c>
      <c r="V21" s="28">
        <f t="shared" si="18"/>
        <v>0</v>
      </c>
      <c r="W21" s="29">
        <f t="shared" si="18"/>
        <v>135</v>
      </c>
      <c r="X21" s="30">
        <f t="shared" si="18"/>
        <v>0</v>
      </c>
      <c r="Y21" s="30">
        <f t="shared" si="18"/>
        <v>0</v>
      </c>
      <c r="Z21" s="30">
        <f t="shared" si="18"/>
        <v>0</v>
      </c>
      <c r="AA21" s="30">
        <f t="shared" si="18"/>
        <v>0</v>
      </c>
      <c r="AB21" s="31">
        <f>SUM(AB6:AB20)/15</f>
        <v>0.61549663913395991</v>
      </c>
      <c r="AC21" s="4">
        <f>SUM(AC6:AC20)/15</f>
        <v>0.44722222222222224</v>
      </c>
      <c r="AD21" s="4">
        <f>SUM(AD6:AD20)/15</f>
        <v>0.46165237403145226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2" t="s">
        <v>45</v>
      </c>
      <c r="B48" s="372"/>
      <c r="C48" s="372"/>
      <c r="D48" s="372"/>
      <c r="E48" s="37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3" t="s">
        <v>221</v>
      </c>
      <c r="B49" s="374"/>
      <c r="C49" s="374"/>
      <c r="D49" s="374"/>
      <c r="E49" s="374"/>
      <c r="F49" s="374"/>
      <c r="G49" s="374"/>
      <c r="H49" s="374"/>
      <c r="I49" s="374"/>
      <c r="J49" s="374"/>
      <c r="K49" s="374"/>
      <c r="L49" s="374"/>
      <c r="M49" s="375"/>
      <c r="N49" s="376" t="s">
        <v>231</v>
      </c>
      <c r="O49" s="377"/>
      <c r="P49" s="377"/>
      <c r="Q49" s="377"/>
      <c r="R49" s="377"/>
      <c r="S49" s="377"/>
      <c r="T49" s="377"/>
      <c r="U49" s="377"/>
      <c r="V49" s="377"/>
      <c r="W49" s="377"/>
      <c r="X49" s="377"/>
      <c r="Y49" s="377"/>
      <c r="Z49" s="377"/>
      <c r="AA49" s="377"/>
      <c r="AB49" s="377"/>
      <c r="AC49" s="377"/>
      <c r="AD49" s="378"/>
    </row>
    <row r="50" spans="1:32" ht="27" customHeight="1">
      <c r="A50" s="379" t="s">
        <v>2</v>
      </c>
      <c r="B50" s="380"/>
      <c r="C50" s="148" t="s">
        <v>46</v>
      </c>
      <c r="D50" s="148" t="s">
        <v>47</v>
      </c>
      <c r="E50" s="148" t="s">
        <v>108</v>
      </c>
      <c r="F50" s="380" t="s">
        <v>107</v>
      </c>
      <c r="G50" s="380"/>
      <c r="H50" s="380"/>
      <c r="I50" s="380"/>
      <c r="J50" s="380"/>
      <c r="K50" s="380"/>
      <c r="L50" s="380"/>
      <c r="M50" s="381"/>
      <c r="N50" s="73" t="s">
        <v>112</v>
      </c>
      <c r="O50" s="148" t="s">
        <v>46</v>
      </c>
      <c r="P50" s="382" t="s">
        <v>47</v>
      </c>
      <c r="Q50" s="383"/>
      <c r="R50" s="382" t="s">
        <v>38</v>
      </c>
      <c r="S50" s="384"/>
      <c r="T50" s="384"/>
      <c r="U50" s="383"/>
      <c r="V50" s="382" t="s">
        <v>48</v>
      </c>
      <c r="W50" s="384"/>
      <c r="X50" s="384"/>
      <c r="Y50" s="384"/>
      <c r="Z50" s="384"/>
      <c r="AA50" s="384"/>
      <c r="AB50" s="384"/>
      <c r="AC50" s="384"/>
      <c r="AD50" s="385"/>
    </row>
    <row r="51" spans="1:32" ht="27" customHeight="1">
      <c r="A51" s="396" t="s">
        <v>167</v>
      </c>
      <c r="B51" s="397"/>
      <c r="C51" s="147" t="s">
        <v>132</v>
      </c>
      <c r="D51" s="144" t="s">
        <v>128</v>
      </c>
      <c r="E51" s="147" t="s">
        <v>142</v>
      </c>
      <c r="F51" s="398" t="s">
        <v>222</v>
      </c>
      <c r="G51" s="398"/>
      <c r="H51" s="398"/>
      <c r="I51" s="398"/>
      <c r="J51" s="398"/>
      <c r="K51" s="398"/>
      <c r="L51" s="398"/>
      <c r="M51" s="399"/>
      <c r="N51" s="143" t="s">
        <v>232</v>
      </c>
      <c r="O51" s="74" t="s">
        <v>233</v>
      </c>
      <c r="P51" s="400" t="s">
        <v>127</v>
      </c>
      <c r="Q51" s="401"/>
      <c r="R51" s="402" t="s">
        <v>234</v>
      </c>
      <c r="S51" s="402"/>
      <c r="T51" s="402"/>
      <c r="U51" s="402"/>
      <c r="V51" s="398" t="s">
        <v>206</v>
      </c>
      <c r="W51" s="398"/>
      <c r="X51" s="398"/>
      <c r="Y51" s="398"/>
      <c r="Z51" s="398"/>
      <c r="AA51" s="398"/>
      <c r="AB51" s="398"/>
      <c r="AC51" s="398"/>
      <c r="AD51" s="399"/>
    </row>
    <row r="52" spans="1:32" ht="27" customHeight="1">
      <c r="A52" s="396" t="s">
        <v>171</v>
      </c>
      <c r="B52" s="397"/>
      <c r="C52" s="147" t="s">
        <v>131</v>
      </c>
      <c r="D52" s="144" t="s">
        <v>172</v>
      </c>
      <c r="E52" s="147" t="s">
        <v>235</v>
      </c>
      <c r="F52" s="398" t="s">
        <v>223</v>
      </c>
      <c r="G52" s="398"/>
      <c r="H52" s="398"/>
      <c r="I52" s="398"/>
      <c r="J52" s="398"/>
      <c r="K52" s="398"/>
      <c r="L52" s="398"/>
      <c r="M52" s="399"/>
      <c r="N52" s="143" t="s">
        <v>114</v>
      </c>
      <c r="O52" s="74" t="s">
        <v>173</v>
      </c>
      <c r="P52" s="400" t="s">
        <v>128</v>
      </c>
      <c r="Q52" s="401"/>
      <c r="R52" s="402" t="s">
        <v>174</v>
      </c>
      <c r="S52" s="402"/>
      <c r="T52" s="402"/>
      <c r="U52" s="402"/>
      <c r="V52" s="398" t="s">
        <v>130</v>
      </c>
      <c r="W52" s="398"/>
      <c r="X52" s="398"/>
      <c r="Y52" s="398"/>
      <c r="Z52" s="398"/>
      <c r="AA52" s="398"/>
      <c r="AB52" s="398"/>
      <c r="AC52" s="398"/>
      <c r="AD52" s="399"/>
    </row>
    <row r="53" spans="1:32" ht="27" customHeight="1">
      <c r="A53" s="396" t="s">
        <v>114</v>
      </c>
      <c r="B53" s="397"/>
      <c r="C53" s="147" t="s">
        <v>195</v>
      </c>
      <c r="D53" s="144" t="s">
        <v>128</v>
      </c>
      <c r="E53" s="147" t="s">
        <v>196</v>
      </c>
      <c r="F53" s="398" t="s">
        <v>224</v>
      </c>
      <c r="G53" s="398"/>
      <c r="H53" s="398"/>
      <c r="I53" s="398"/>
      <c r="J53" s="398"/>
      <c r="K53" s="398"/>
      <c r="L53" s="398"/>
      <c r="M53" s="399"/>
      <c r="N53" s="143" t="s">
        <v>237</v>
      </c>
      <c r="O53" s="74" t="s">
        <v>238</v>
      </c>
      <c r="P53" s="402" t="s">
        <v>239</v>
      </c>
      <c r="Q53" s="402"/>
      <c r="R53" s="402" t="s">
        <v>236</v>
      </c>
      <c r="S53" s="402"/>
      <c r="T53" s="402"/>
      <c r="U53" s="402"/>
      <c r="V53" s="398" t="s">
        <v>130</v>
      </c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 t="s">
        <v>216</v>
      </c>
      <c r="B54" s="397"/>
      <c r="C54" s="147" t="s">
        <v>225</v>
      </c>
      <c r="D54" s="144" t="s">
        <v>226</v>
      </c>
      <c r="E54" s="147" t="s">
        <v>220</v>
      </c>
      <c r="F54" s="398" t="s">
        <v>227</v>
      </c>
      <c r="G54" s="398"/>
      <c r="H54" s="398"/>
      <c r="I54" s="398"/>
      <c r="J54" s="398"/>
      <c r="K54" s="398"/>
      <c r="L54" s="398"/>
      <c r="M54" s="399"/>
      <c r="N54" s="143" t="s">
        <v>241</v>
      </c>
      <c r="O54" s="74" t="s">
        <v>242</v>
      </c>
      <c r="P54" s="400"/>
      <c r="Q54" s="401"/>
      <c r="R54" s="402" t="s">
        <v>240</v>
      </c>
      <c r="S54" s="402"/>
      <c r="T54" s="402"/>
      <c r="U54" s="402"/>
      <c r="V54" s="398" t="s">
        <v>206</v>
      </c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 t="s">
        <v>216</v>
      </c>
      <c r="B55" s="397"/>
      <c r="C55" s="147" t="s">
        <v>228</v>
      </c>
      <c r="D55" s="144" t="s">
        <v>217</v>
      </c>
      <c r="E55" s="147" t="s">
        <v>229</v>
      </c>
      <c r="F55" s="398" t="s">
        <v>230</v>
      </c>
      <c r="G55" s="398"/>
      <c r="H55" s="398"/>
      <c r="I55" s="398"/>
      <c r="J55" s="398"/>
      <c r="K55" s="398"/>
      <c r="L55" s="398"/>
      <c r="M55" s="399"/>
      <c r="N55" s="143" t="s">
        <v>243</v>
      </c>
      <c r="O55" s="74" t="s">
        <v>244</v>
      </c>
      <c r="P55" s="400" t="s">
        <v>128</v>
      </c>
      <c r="Q55" s="401"/>
      <c r="R55" s="402" t="s">
        <v>245</v>
      </c>
      <c r="S55" s="402"/>
      <c r="T55" s="402"/>
      <c r="U55" s="402"/>
      <c r="V55" s="398" t="s">
        <v>246</v>
      </c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/>
      <c r="B56" s="397"/>
      <c r="C56" s="147"/>
      <c r="D56" s="144"/>
      <c r="E56" s="147"/>
      <c r="F56" s="398"/>
      <c r="G56" s="398"/>
      <c r="H56" s="398"/>
      <c r="I56" s="398"/>
      <c r="J56" s="398"/>
      <c r="K56" s="398"/>
      <c r="L56" s="398"/>
      <c r="M56" s="399"/>
      <c r="N56" s="143" t="s">
        <v>123</v>
      </c>
      <c r="O56" s="74" t="s">
        <v>248</v>
      </c>
      <c r="P56" s="402" t="s">
        <v>249</v>
      </c>
      <c r="Q56" s="402"/>
      <c r="R56" s="402" t="s">
        <v>247</v>
      </c>
      <c r="S56" s="402"/>
      <c r="T56" s="402"/>
      <c r="U56" s="402"/>
      <c r="V56" s="398" t="s">
        <v>250</v>
      </c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/>
      <c r="B57" s="397"/>
      <c r="C57" s="147"/>
      <c r="D57" s="144"/>
      <c r="E57" s="147"/>
      <c r="F57" s="398"/>
      <c r="G57" s="398"/>
      <c r="H57" s="398"/>
      <c r="I57" s="398"/>
      <c r="J57" s="398"/>
      <c r="K57" s="398"/>
      <c r="L57" s="398"/>
      <c r="M57" s="399"/>
      <c r="N57" s="143"/>
      <c r="O57" s="74"/>
      <c r="P57" s="400"/>
      <c r="Q57" s="401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/>
      <c r="B58" s="397"/>
      <c r="C58" s="147"/>
      <c r="D58" s="144"/>
      <c r="E58" s="147"/>
      <c r="F58" s="398"/>
      <c r="G58" s="398"/>
      <c r="H58" s="398"/>
      <c r="I58" s="398"/>
      <c r="J58" s="398"/>
      <c r="K58" s="398"/>
      <c r="L58" s="398"/>
      <c r="M58" s="399"/>
      <c r="N58" s="143"/>
      <c r="O58" s="74"/>
      <c r="P58" s="400"/>
      <c r="Q58" s="401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412"/>
      <c r="B59" s="402"/>
      <c r="C59" s="144"/>
      <c r="D59" s="144"/>
      <c r="E59" s="144"/>
      <c r="F59" s="398"/>
      <c r="G59" s="398"/>
      <c r="H59" s="398"/>
      <c r="I59" s="398"/>
      <c r="J59" s="398"/>
      <c r="K59" s="398"/>
      <c r="L59" s="398"/>
      <c r="M59" s="399"/>
      <c r="N59" s="143"/>
      <c r="O59" s="74"/>
      <c r="P59" s="402"/>
      <c r="Q59" s="402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  <c r="AF59" s="94">
        <f>8*3000</f>
        <v>24000</v>
      </c>
    </row>
    <row r="60" spans="1:32" ht="27" customHeight="1" thickBot="1">
      <c r="A60" s="403"/>
      <c r="B60" s="404"/>
      <c r="C60" s="146"/>
      <c r="D60" s="146"/>
      <c r="E60" s="146"/>
      <c r="F60" s="405"/>
      <c r="G60" s="405"/>
      <c r="H60" s="405"/>
      <c r="I60" s="405"/>
      <c r="J60" s="405"/>
      <c r="K60" s="405"/>
      <c r="L60" s="405"/>
      <c r="M60" s="406"/>
      <c r="N60" s="145"/>
      <c r="O60" s="121"/>
      <c r="P60" s="404"/>
      <c r="Q60" s="404"/>
      <c r="R60" s="404"/>
      <c r="S60" s="404"/>
      <c r="T60" s="404"/>
      <c r="U60" s="404"/>
      <c r="V60" s="405"/>
      <c r="W60" s="405"/>
      <c r="X60" s="405"/>
      <c r="Y60" s="405"/>
      <c r="Z60" s="405"/>
      <c r="AA60" s="405"/>
      <c r="AB60" s="405"/>
      <c r="AC60" s="405"/>
      <c r="AD60" s="406"/>
      <c r="AF60" s="94">
        <f>16*3000</f>
        <v>48000</v>
      </c>
    </row>
    <row r="61" spans="1:32" ht="27.75" thickBot="1">
      <c r="A61" s="407" t="s">
        <v>251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142" t="s">
        <v>2</v>
      </c>
      <c r="D62" s="142" t="s">
        <v>37</v>
      </c>
      <c r="E62" s="142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142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3"/>
      <c r="T62" s="413"/>
      <c r="U62" s="413"/>
      <c r="V62" s="413"/>
      <c r="W62" s="413"/>
      <c r="X62" s="413"/>
      <c r="Y62" s="413"/>
      <c r="Z62" s="413"/>
      <c r="AA62" s="411"/>
      <c r="AB62" s="409" t="s">
        <v>44</v>
      </c>
      <c r="AC62" s="409"/>
      <c r="AD62" s="414"/>
      <c r="AF62" s="94">
        <f>SUM(AF59:AF61)</f>
        <v>96000</v>
      </c>
    </row>
    <row r="63" spans="1:32" ht="25.5" customHeight="1">
      <c r="A63" s="415">
        <v>1</v>
      </c>
      <c r="B63" s="416"/>
      <c r="C63" s="124" t="s">
        <v>252</v>
      </c>
      <c r="D63" s="138"/>
      <c r="E63" s="141" t="s">
        <v>253</v>
      </c>
      <c r="F63" s="417" t="s">
        <v>254</v>
      </c>
      <c r="G63" s="418"/>
      <c r="H63" s="418"/>
      <c r="I63" s="418"/>
      <c r="J63" s="418"/>
      <c r="K63" s="418" t="s">
        <v>255</v>
      </c>
      <c r="L63" s="418"/>
      <c r="M63" s="54" t="s">
        <v>158</v>
      </c>
      <c r="N63" s="418">
        <v>7</v>
      </c>
      <c r="O63" s="418"/>
      <c r="P63" s="419">
        <v>50</v>
      </c>
      <c r="Q63" s="419"/>
      <c r="R63" s="398"/>
      <c r="S63" s="398"/>
      <c r="T63" s="398"/>
      <c r="U63" s="398"/>
      <c r="V63" s="398"/>
      <c r="W63" s="398"/>
      <c r="X63" s="398"/>
      <c r="Y63" s="398"/>
      <c r="Z63" s="398"/>
      <c r="AA63" s="398"/>
      <c r="AB63" s="418"/>
      <c r="AC63" s="418"/>
      <c r="AD63" s="420"/>
      <c r="AF63" s="53"/>
    </row>
    <row r="64" spans="1:32" ht="25.5" customHeight="1">
      <c r="A64" s="415">
        <v>2</v>
      </c>
      <c r="B64" s="416"/>
      <c r="C64" s="124" t="s">
        <v>216</v>
      </c>
      <c r="D64" s="138"/>
      <c r="E64" s="141" t="s">
        <v>128</v>
      </c>
      <c r="F64" s="417" t="s">
        <v>256</v>
      </c>
      <c r="G64" s="418"/>
      <c r="H64" s="418"/>
      <c r="I64" s="418"/>
      <c r="J64" s="418"/>
      <c r="K64" s="418" t="s">
        <v>257</v>
      </c>
      <c r="L64" s="418"/>
      <c r="M64" s="54" t="s">
        <v>258</v>
      </c>
      <c r="N64" s="418">
        <v>4</v>
      </c>
      <c r="O64" s="418"/>
      <c r="P64" s="419">
        <v>50</v>
      </c>
      <c r="Q64" s="419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418"/>
      <c r="AC64" s="418"/>
      <c r="AD64" s="420"/>
      <c r="AF64" s="53"/>
    </row>
    <row r="65" spans="1:32" ht="25.5" customHeight="1">
      <c r="A65" s="415">
        <v>3</v>
      </c>
      <c r="B65" s="416"/>
      <c r="C65" s="124"/>
      <c r="D65" s="138"/>
      <c r="E65" s="141"/>
      <c r="F65" s="417"/>
      <c r="G65" s="418"/>
      <c r="H65" s="418"/>
      <c r="I65" s="418"/>
      <c r="J65" s="418"/>
      <c r="K65" s="418"/>
      <c r="L65" s="418"/>
      <c r="M65" s="54"/>
      <c r="N65" s="418"/>
      <c r="O65" s="418"/>
      <c r="P65" s="419"/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4</v>
      </c>
      <c r="B66" s="416"/>
      <c r="C66" s="124"/>
      <c r="D66" s="138"/>
      <c r="E66" s="141"/>
      <c r="F66" s="417"/>
      <c r="G66" s="418"/>
      <c r="H66" s="418"/>
      <c r="I66" s="418"/>
      <c r="J66" s="418"/>
      <c r="K66" s="418"/>
      <c r="L66" s="418"/>
      <c r="M66" s="54"/>
      <c r="N66" s="418"/>
      <c r="O66" s="418"/>
      <c r="P66" s="419"/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5</v>
      </c>
      <c r="B67" s="416"/>
      <c r="C67" s="124"/>
      <c r="D67" s="138"/>
      <c r="E67" s="141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6</v>
      </c>
      <c r="B68" s="416"/>
      <c r="C68" s="124"/>
      <c r="D68" s="138"/>
      <c r="E68" s="141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7</v>
      </c>
      <c r="B69" s="416"/>
      <c r="C69" s="124"/>
      <c r="D69" s="138"/>
      <c r="E69" s="141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8</v>
      </c>
      <c r="B70" s="416"/>
      <c r="C70" s="124"/>
      <c r="D70" s="138"/>
      <c r="E70" s="141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6.25" customHeight="1" thickBot="1">
      <c r="A71" s="421" t="s">
        <v>259</v>
      </c>
      <c r="B71" s="421"/>
      <c r="C71" s="421"/>
      <c r="D71" s="421"/>
      <c r="E71" s="42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2" t="s">
        <v>113</v>
      </c>
      <c r="B72" s="423"/>
      <c r="C72" s="140" t="s">
        <v>2</v>
      </c>
      <c r="D72" s="140" t="s">
        <v>37</v>
      </c>
      <c r="E72" s="140" t="s">
        <v>3</v>
      </c>
      <c r="F72" s="423" t="s">
        <v>38</v>
      </c>
      <c r="G72" s="423"/>
      <c r="H72" s="423"/>
      <c r="I72" s="423"/>
      <c r="J72" s="423"/>
      <c r="K72" s="424" t="s">
        <v>58</v>
      </c>
      <c r="L72" s="425"/>
      <c r="M72" s="425"/>
      <c r="N72" s="425"/>
      <c r="O72" s="425"/>
      <c r="P72" s="425"/>
      <c r="Q72" s="425"/>
      <c r="R72" s="425"/>
      <c r="S72" s="426"/>
      <c r="T72" s="423" t="s">
        <v>49</v>
      </c>
      <c r="U72" s="423"/>
      <c r="V72" s="424" t="s">
        <v>50</v>
      </c>
      <c r="W72" s="426"/>
      <c r="X72" s="425" t="s">
        <v>51</v>
      </c>
      <c r="Y72" s="425"/>
      <c r="Z72" s="425"/>
      <c r="AA72" s="425"/>
      <c r="AB72" s="425"/>
      <c r="AC72" s="425"/>
      <c r="AD72" s="427"/>
      <c r="AF72" s="53"/>
    </row>
    <row r="73" spans="1:32" ht="33.75" customHeight="1">
      <c r="A73" s="436">
        <v>1</v>
      </c>
      <c r="B73" s="437"/>
      <c r="C73" s="139" t="s">
        <v>114</v>
      </c>
      <c r="D73" s="139"/>
      <c r="E73" s="71" t="s">
        <v>119</v>
      </c>
      <c r="F73" s="438" t="s">
        <v>120</v>
      </c>
      <c r="G73" s="439"/>
      <c r="H73" s="439"/>
      <c r="I73" s="439"/>
      <c r="J73" s="440"/>
      <c r="K73" s="441" t="s">
        <v>115</v>
      </c>
      <c r="L73" s="442"/>
      <c r="M73" s="442"/>
      <c r="N73" s="442"/>
      <c r="O73" s="442"/>
      <c r="P73" s="442"/>
      <c r="Q73" s="442"/>
      <c r="R73" s="442"/>
      <c r="S73" s="443"/>
      <c r="T73" s="444">
        <v>42901</v>
      </c>
      <c r="U73" s="445"/>
      <c r="V73" s="446"/>
      <c r="W73" s="446"/>
      <c r="X73" s="447"/>
      <c r="Y73" s="447"/>
      <c r="Z73" s="447"/>
      <c r="AA73" s="447"/>
      <c r="AB73" s="447"/>
      <c r="AC73" s="447"/>
      <c r="AD73" s="448"/>
      <c r="AF73" s="53"/>
    </row>
    <row r="74" spans="1:32" ht="30" customHeight="1">
      <c r="A74" s="428">
        <f>A73+1</f>
        <v>2</v>
      </c>
      <c r="B74" s="429"/>
      <c r="C74" s="138" t="s">
        <v>114</v>
      </c>
      <c r="D74" s="138"/>
      <c r="E74" s="35" t="s">
        <v>116</v>
      </c>
      <c r="F74" s="429" t="s">
        <v>117</v>
      </c>
      <c r="G74" s="429"/>
      <c r="H74" s="429"/>
      <c r="I74" s="429"/>
      <c r="J74" s="429"/>
      <c r="K74" s="430" t="s">
        <v>118</v>
      </c>
      <c r="L74" s="431"/>
      <c r="M74" s="431"/>
      <c r="N74" s="431"/>
      <c r="O74" s="431"/>
      <c r="P74" s="431"/>
      <c r="Q74" s="431"/>
      <c r="R74" s="431"/>
      <c r="S74" s="432"/>
      <c r="T74" s="433">
        <v>42867</v>
      </c>
      <c r="U74" s="433"/>
      <c r="V74" s="433"/>
      <c r="W74" s="433"/>
      <c r="X74" s="434"/>
      <c r="Y74" s="434"/>
      <c r="Z74" s="434"/>
      <c r="AA74" s="434"/>
      <c r="AB74" s="434"/>
      <c r="AC74" s="434"/>
      <c r="AD74" s="435"/>
      <c r="AF74" s="53"/>
    </row>
    <row r="75" spans="1:32" ht="30" customHeight="1">
      <c r="A75" s="428">
        <f t="shared" ref="A75:A81" si="19">A74+1</f>
        <v>3</v>
      </c>
      <c r="B75" s="429"/>
      <c r="C75" s="138"/>
      <c r="D75" s="138"/>
      <c r="E75" s="35"/>
      <c r="F75" s="429"/>
      <c r="G75" s="429"/>
      <c r="H75" s="429"/>
      <c r="I75" s="429"/>
      <c r="J75" s="429"/>
      <c r="K75" s="430"/>
      <c r="L75" s="431"/>
      <c r="M75" s="431"/>
      <c r="N75" s="431"/>
      <c r="O75" s="431"/>
      <c r="P75" s="431"/>
      <c r="Q75" s="431"/>
      <c r="R75" s="431"/>
      <c r="S75" s="432"/>
      <c r="T75" s="433"/>
      <c r="U75" s="433"/>
      <c r="V75" s="433"/>
      <c r="W75" s="433"/>
      <c r="X75" s="434"/>
      <c r="Y75" s="434"/>
      <c r="Z75" s="434"/>
      <c r="AA75" s="434"/>
      <c r="AB75" s="434"/>
      <c r="AC75" s="434"/>
      <c r="AD75" s="435"/>
      <c r="AF75" s="53"/>
    </row>
    <row r="76" spans="1:32" ht="30" customHeight="1">
      <c r="A76" s="428">
        <f t="shared" si="19"/>
        <v>4</v>
      </c>
      <c r="B76" s="429"/>
      <c r="C76" s="138"/>
      <c r="D76" s="138"/>
      <c r="E76" s="35"/>
      <c r="F76" s="429"/>
      <c r="G76" s="429"/>
      <c r="H76" s="429"/>
      <c r="I76" s="429"/>
      <c r="J76" s="429"/>
      <c r="K76" s="430"/>
      <c r="L76" s="431"/>
      <c r="M76" s="431"/>
      <c r="N76" s="431"/>
      <c r="O76" s="431"/>
      <c r="P76" s="431"/>
      <c r="Q76" s="431"/>
      <c r="R76" s="431"/>
      <c r="S76" s="432"/>
      <c r="T76" s="433"/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si="19"/>
        <v>5</v>
      </c>
      <c r="B77" s="429"/>
      <c r="C77" s="138"/>
      <c r="D77" s="138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19"/>
        <v>6</v>
      </c>
      <c r="B78" s="429"/>
      <c r="C78" s="138"/>
      <c r="D78" s="138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19"/>
        <v>7</v>
      </c>
      <c r="B79" s="429"/>
      <c r="C79" s="138"/>
      <c r="D79" s="138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19"/>
        <v>8</v>
      </c>
      <c r="B80" s="429"/>
      <c r="C80" s="138"/>
      <c r="D80" s="138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19"/>
        <v>9</v>
      </c>
      <c r="B81" s="429"/>
      <c r="C81" s="138"/>
      <c r="D81" s="138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6" thickBot="1">
      <c r="A82" s="421" t="s">
        <v>260</v>
      </c>
      <c r="B82" s="421"/>
      <c r="C82" s="421"/>
      <c r="D82" s="421"/>
      <c r="E82" s="42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2" t="s">
        <v>113</v>
      </c>
      <c r="B83" s="423"/>
      <c r="C83" s="449" t="s">
        <v>52</v>
      </c>
      <c r="D83" s="449"/>
      <c r="E83" s="449" t="s">
        <v>53</v>
      </c>
      <c r="F83" s="449"/>
      <c r="G83" s="449"/>
      <c r="H83" s="449"/>
      <c r="I83" s="449"/>
      <c r="J83" s="449"/>
      <c r="K83" s="449" t="s">
        <v>54</v>
      </c>
      <c r="L83" s="449"/>
      <c r="M83" s="449"/>
      <c r="N83" s="449"/>
      <c r="O83" s="449"/>
      <c r="P83" s="449"/>
      <c r="Q83" s="449"/>
      <c r="R83" s="449"/>
      <c r="S83" s="449"/>
      <c r="T83" s="449" t="s">
        <v>55</v>
      </c>
      <c r="U83" s="449"/>
      <c r="V83" s="449" t="s">
        <v>56</v>
      </c>
      <c r="W83" s="449"/>
      <c r="X83" s="449"/>
      <c r="Y83" s="449" t="s">
        <v>51</v>
      </c>
      <c r="Z83" s="449"/>
      <c r="AA83" s="449"/>
      <c r="AB83" s="449"/>
      <c r="AC83" s="449"/>
      <c r="AD83" s="450"/>
      <c r="AF83" s="53"/>
    </row>
    <row r="84" spans="1:32" ht="30.75" customHeight="1">
      <c r="A84" s="436">
        <v>1</v>
      </c>
      <c r="B84" s="437"/>
      <c r="C84" s="451"/>
      <c r="D84" s="451"/>
      <c r="E84" s="451"/>
      <c r="F84" s="451"/>
      <c r="G84" s="451"/>
      <c r="H84" s="451"/>
      <c r="I84" s="451"/>
      <c r="J84" s="451"/>
      <c r="K84" s="451"/>
      <c r="L84" s="451"/>
      <c r="M84" s="451"/>
      <c r="N84" s="451"/>
      <c r="O84" s="451"/>
      <c r="P84" s="451"/>
      <c r="Q84" s="451"/>
      <c r="R84" s="451"/>
      <c r="S84" s="451"/>
      <c r="T84" s="451"/>
      <c r="U84" s="451"/>
      <c r="V84" s="452"/>
      <c r="W84" s="452"/>
      <c r="X84" s="452"/>
      <c r="Y84" s="453"/>
      <c r="Z84" s="453"/>
      <c r="AA84" s="453"/>
      <c r="AB84" s="453"/>
      <c r="AC84" s="453"/>
      <c r="AD84" s="454"/>
      <c r="AF84" s="53"/>
    </row>
    <row r="85" spans="1:32" ht="30.75" customHeight="1">
      <c r="A85" s="428">
        <v>2</v>
      </c>
      <c r="B85" s="429"/>
      <c r="C85" s="462"/>
      <c r="D85" s="462"/>
      <c r="E85" s="462"/>
      <c r="F85" s="462"/>
      <c r="G85" s="462"/>
      <c r="H85" s="462"/>
      <c r="I85" s="462"/>
      <c r="J85" s="462"/>
      <c r="K85" s="462"/>
      <c r="L85" s="462"/>
      <c r="M85" s="462"/>
      <c r="N85" s="462"/>
      <c r="O85" s="462"/>
      <c r="P85" s="462"/>
      <c r="Q85" s="462"/>
      <c r="R85" s="462"/>
      <c r="S85" s="462"/>
      <c r="T85" s="463"/>
      <c r="U85" s="463"/>
      <c r="V85" s="464"/>
      <c r="W85" s="464"/>
      <c r="X85" s="464"/>
      <c r="Y85" s="455"/>
      <c r="Z85" s="455"/>
      <c r="AA85" s="455"/>
      <c r="AB85" s="455"/>
      <c r="AC85" s="455"/>
      <c r="AD85" s="456"/>
      <c r="AF85" s="53"/>
    </row>
    <row r="86" spans="1:32" ht="30.75" customHeight="1" thickBot="1">
      <c r="A86" s="457">
        <v>3</v>
      </c>
      <c r="B86" s="458"/>
      <c r="C86" s="459"/>
      <c r="D86" s="459"/>
      <c r="E86" s="459"/>
      <c r="F86" s="459"/>
      <c r="G86" s="459"/>
      <c r="H86" s="459"/>
      <c r="I86" s="459"/>
      <c r="J86" s="459"/>
      <c r="K86" s="459"/>
      <c r="L86" s="459"/>
      <c r="M86" s="459"/>
      <c r="N86" s="459"/>
      <c r="O86" s="459"/>
      <c r="P86" s="459"/>
      <c r="Q86" s="459"/>
      <c r="R86" s="459"/>
      <c r="S86" s="459"/>
      <c r="T86" s="459"/>
      <c r="U86" s="459"/>
      <c r="V86" s="459"/>
      <c r="W86" s="459"/>
      <c r="X86" s="459"/>
      <c r="Y86" s="460"/>
      <c r="Z86" s="460"/>
      <c r="AA86" s="460"/>
      <c r="AB86" s="460"/>
      <c r="AC86" s="460"/>
      <c r="AD86" s="46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F77" sqref="F77:J7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55" t="s">
        <v>261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6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150" t="s">
        <v>17</v>
      </c>
      <c r="L5" s="150" t="s">
        <v>18</v>
      </c>
      <c r="M5" s="150" t="s">
        <v>19</v>
      </c>
      <c r="N5" s="15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6" ht="27" customHeight="1">
      <c r="A6" s="108">
        <v>1</v>
      </c>
      <c r="B6" s="11" t="s">
        <v>57</v>
      </c>
      <c r="C6" s="37" t="s">
        <v>148</v>
      </c>
      <c r="D6" s="55"/>
      <c r="E6" s="57" t="s">
        <v>150</v>
      </c>
      <c r="F6" s="33" t="s">
        <v>125</v>
      </c>
      <c r="G6" s="12">
        <v>1</v>
      </c>
      <c r="H6" s="13">
        <v>28</v>
      </c>
      <c r="I6" s="34">
        <v>10000</v>
      </c>
      <c r="J6" s="5">
        <v>2370</v>
      </c>
      <c r="K6" s="15">
        <f>L6+2004+3701+2366</f>
        <v>8071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0.40471045648470161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123</v>
      </c>
      <c r="D7" s="55" t="s">
        <v>156</v>
      </c>
      <c r="E7" s="57" t="s">
        <v>155</v>
      </c>
      <c r="F7" s="33" t="s">
        <v>161</v>
      </c>
      <c r="G7" s="12">
        <v>4</v>
      </c>
      <c r="H7" s="13">
        <v>25</v>
      </c>
      <c r="I7" s="34">
        <v>100000</v>
      </c>
      <c r="J7" s="5">
        <v>11400</v>
      </c>
      <c r="K7" s="15">
        <f>L7+13347+15717</f>
        <v>40464</v>
      </c>
      <c r="L7" s="15">
        <f>1709*3+2091*3</f>
        <v>11400</v>
      </c>
      <c r="M7" s="16">
        <f t="shared" si="0"/>
        <v>11400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1</v>
      </c>
      <c r="AC7" s="9">
        <f t="shared" si="5"/>
        <v>1</v>
      </c>
      <c r="AD7" s="10">
        <f t="shared" si="6"/>
        <v>1</v>
      </c>
      <c r="AE7" s="39">
        <f t="shared" si="7"/>
        <v>0.40471045648470161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157</v>
      </c>
      <c r="D8" s="55" t="s">
        <v>127</v>
      </c>
      <c r="E8" s="57" t="s">
        <v>262</v>
      </c>
      <c r="F8" s="33" t="s">
        <v>263</v>
      </c>
      <c r="G8" s="12">
        <v>1</v>
      </c>
      <c r="H8" s="13">
        <v>25</v>
      </c>
      <c r="I8" s="34">
        <v>650</v>
      </c>
      <c r="J8" s="5">
        <v>760</v>
      </c>
      <c r="K8" s="15">
        <f>L8</f>
        <v>757</v>
      </c>
      <c r="L8" s="15">
        <f>757</f>
        <v>757</v>
      </c>
      <c r="M8" s="16">
        <f t="shared" si="0"/>
        <v>757</v>
      </c>
      <c r="N8" s="16">
        <v>0</v>
      </c>
      <c r="O8" s="62">
        <f t="shared" si="1"/>
        <v>0</v>
      </c>
      <c r="P8" s="42">
        <f t="shared" si="2"/>
        <v>6</v>
      </c>
      <c r="Q8" s="43">
        <f t="shared" si="3"/>
        <v>18</v>
      </c>
      <c r="R8" s="7"/>
      <c r="S8" s="6"/>
      <c r="T8" s="17"/>
      <c r="U8" s="17"/>
      <c r="V8" s="18"/>
      <c r="W8" s="19">
        <v>18</v>
      </c>
      <c r="X8" s="17"/>
      <c r="Y8" s="20"/>
      <c r="Z8" s="20"/>
      <c r="AA8" s="21"/>
      <c r="AB8" s="8">
        <f t="shared" si="4"/>
        <v>0.99605263157894741</v>
      </c>
      <c r="AC8" s="9">
        <f t="shared" si="5"/>
        <v>0.25</v>
      </c>
      <c r="AD8" s="10">
        <f t="shared" si="6"/>
        <v>0.24901315789473685</v>
      </c>
      <c r="AE8" s="39">
        <f t="shared" si="7"/>
        <v>0.40471045648470161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122</v>
      </c>
      <c r="D9" s="55" t="s">
        <v>264</v>
      </c>
      <c r="E9" s="57" t="s">
        <v>265</v>
      </c>
      <c r="F9" s="33" t="s">
        <v>143</v>
      </c>
      <c r="G9" s="36">
        <v>1</v>
      </c>
      <c r="H9" s="38">
        <v>25</v>
      </c>
      <c r="I9" s="7">
        <v>500</v>
      </c>
      <c r="J9" s="5">
        <v>895</v>
      </c>
      <c r="K9" s="15">
        <f>L9</f>
        <v>894</v>
      </c>
      <c r="L9" s="15">
        <f>894</f>
        <v>894</v>
      </c>
      <c r="M9" s="16">
        <f t="shared" si="0"/>
        <v>894</v>
      </c>
      <c r="N9" s="16">
        <v>0</v>
      </c>
      <c r="O9" s="62">
        <f t="shared" si="1"/>
        <v>0</v>
      </c>
      <c r="P9" s="42">
        <f t="shared" si="2"/>
        <v>6</v>
      </c>
      <c r="Q9" s="43">
        <f t="shared" si="3"/>
        <v>18</v>
      </c>
      <c r="R9" s="7"/>
      <c r="S9" s="6"/>
      <c r="T9" s="17"/>
      <c r="U9" s="17"/>
      <c r="V9" s="18"/>
      <c r="W9" s="19">
        <v>18</v>
      </c>
      <c r="X9" s="17"/>
      <c r="Y9" s="20"/>
      <c r="Z9" s="20"/>
      <c r="AA9" s="21"/>
      <c r="AB9" s="8">
        <f t="shared" si="4"/>
        <v>0.99888268156424576</v>
      </c>
      <c r="AC9" s="9">
        <f t="shared" si="5"/>
        <v>0.25</v>
      </c>
      <c r="AD9" s="10">
        <f t="shared" si="6"/>
        <v>0.24972067039106144</v>
      </c>
      <c r="AE9" s="39">
        <f t="shared" si="7"/>
        <v>0.40471045648470161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122</v>
      </c>
      <c r="D10" s="55" t="s">
        <v>121</v>
      </c>
      <c r="E10" s="57" t="s">
        <v>154</v>
      </c>
      <c r="F10" s="12" t="s">
        <v>140</v>
      </c>
      <c r="G10" s="12">
        <v>1</v>
      </c>
      <c r="H10" s="13">
        <v>25</v>
      </c>
      <c r="I10" s="34">
        <v>7000</v>
      </c>
      <c r="J10" s="14">
        <v>4050</v>
      </c>
      <c r="K10" s="15">
        <f>L10+4727+4049</f>
        <v>8776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0.40471045648470161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157</v>
      </c>
      <c r="D11" s="55"/>
      <c r="E11" s="57" t="s">
        <v>178</v>
      </c>
      <c r="F11" s="12" t="s">
        <v>166</v>
      </c>
      <c r="G11" s="12">
        <v>1</v>
      </c>
      <c r="H11" s="13">
        <v>25</v>
      </c>
      <c r="I11" s="34">
        <v>400</v>
      </c>
      <c r="J11" s="14">
        <v>500</v>
      </c>
      <c r="K11" s="15">
        <f>L11+498</f>
        <v>498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0.40471045648470161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266</v>
      </c>
      <c r="D12" s="55" t="s">
        <v>128</v>
      </c>
      <c r="E12" s="57" t="s">
        <v>267</v>
      </c>
      <c r="F12" s="12" t="s">
        <v>268</v>
      </c>
      <c r="G12" s="12">
        <v>1</v>
      </c>
      <c r="H12" s="13">
        <v>25</v>
      </c>
      <c r="I12" s="7">
        <v>1000</v>
      </c>
      <c r="J12" s="14">
        <v>1280</v>
      </c>
      <c r="K12" s="15">
        <f>L12</f>
        <v>1273</v>
      </c>
      <c r="L12" s="15">
        <f>727+546</f>
        <v>1273</v>
      </c>
      <c r="M12" s="16">
        <f t="shared" si="0"/>
        <v>1273</v>
      </c>
      <c r="N12" s="16">
        <v>0</v>
      </c>
      <c r="O12" s="62">
        <f t="shared" si="1"/>
        <v>0</v>
      </c>
      <c r="P12" s="42">
        <f t="shared" si="2"/>
        <v>16</v>
      </c>
      <c r="Q12" s="43">
        <f t="shared" si="3"/>
        <v>8</v>
      </c>
      <c r="R12" s="7"/>
      <c r="S12" s="6"/>
      <c r="T12" s="17"/>
      <c r="U12" s="17"/>
      <c r="V12" s="18"/>
      <c r="W12" s="19">
        <v>8</v>
      </c>
      <c r="X12" s="17"/>
      <c r="Y12" s="20"/>
      <c r="Z12" s="20"/>
      <c r="AA12" s="21"/>
      <c r="AB12" s="8">
        <f t="shared" si="4"/>
        <v>0.99453124999999998</v>
      </c>
      <c r="AC12" s="9">
        <f t="shared" si="5"/>
        <v>0.66666666666666663</v>
      </c>
      <c r="AD12" s="10">
        <f t="shared" si="6"/>
        <v>0.66302083333333328</v>
      </c>
      <c r="AE12" s="39">
        <f t="shared" si="7"/>
        <v>0.40471045648470161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213</v>
      </c>
      <c r="D13" s="55" t="s">
        <v>144</v>
      </c>
      <c r="E13" s="57" t="s">
        <v>196</v>
      </c>
      <c r="F13" s="12" t="s">
        <v>140</v>
      </c>
      <c r="G13" s="12">
        <v>1</v>
      </c>
      <c r="H13" s="13">
        <v>25</v>
      </c>
      <c r="I13" s="7">
        <v>150</v>
      </c>
      <c r="J13" s="14">
        <v>192</v>
      </c>
      <c r="K13" s="15">
        <f>L13+192</f>
        <v>192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0.40471045648470161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128</v>
      </c>
      <c r="E14" s="57" t="s">
        <v>174</v>
      </c>
      <c r="F14" s="33" t="s">
        <v>181</v>
      </c>
      <c r="G14" s="36">
        <v>1</v>
      </c>
      <c r="H14" s="38">
        <v>25</v>
      </c>
      <c r="I14" s="7">
        <v>200</v>
      </c>
      <c r="J14" s="5">
        <v>610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0.40471045648470161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123</v>
      </c>
      <c r="D15" s="55" t="s">
        <v>269</v>
      </c>
      <c r="E15" s="57" t="s">
        <v>270</v>
      </c>
      <c r="F15" s="12" t="s">
        <v>151</v>
      </c>
      <c r="G15" s="12">
        <v>4</v>
      </c>
      <c r="H15" s="13">
        <v>24</v>
      </c>
      <c r="I15" s="34">
        <v>30000</v>
      </c>
      <c r="J15" s="14">
        <v>21540</v>
      </c>
      <c r="K15" s="15">
        <f>L15</f>
        <v>21536</v>
      </c>
      <c r="L15" s="15">
        <f>2998*4+2386*4</f>
        <v>21536</v>
      </c>
      <c r="M15" s="16">
        <f t="shared" si="0"/>
        <v>21536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0.99981429897864438</v>
      </c>
      <c r="AC15" s="9">
        <f t="shared" si="5"/>
        <v>1</v>
      </c>
      <c r="AD15" s="10">
        <f t="shared" si="6"/>
        <v>0.99981429897864438</v>
      </c>
      <c r="AE15" s="39">
        <f t="shared" si="7"/>
        <v>0.40471045648470161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134</v>
      </c>
      <c r="D16" s="55" t="s">
        <v>271</v>
      </c>
      <c r="E16" s="56" t="s">
        <v>272</v>
      </c>
      <c r="F16" s="12">
        <v>7301</v>
      </c>
      <c r="G16" s="36" t="s">
        <v>273</v>
      </c>
      <c r="H16" s="38">
        <v>25</v>
      </c>
      <c r="I16" s="7">
        <v>1000</v>
      </c>
      <c r="J16" s="14">
        <v>1130</v>
      </c>
      <c r="K16" s="15">
        <f>L16</f>
        <v>1122</v>
      </c>
      <c r="L16" s="15">
        <f>535+587</f>
        <v>1122</v>
      </c>
      <c r="M16" s="16">
        <f t="shared" si="0"/>
        <v>1122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0.99292035398230083</v>
      </c>
      <c r="AC16" s="9">
        <f t="shared" si="5"/>
        <v>1</v>
      </c>
      <c r="AD16" s="10">
        <f t="shared" si="6"/>
        <v>0.99292035398230083</v>
      </c>
      <c r="AE16" s="39">
        <f t="shared" si="7"/>
        <v>0.40471045648470161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213</v>
      </c>
      <c r="D17" s="55" t="s">
        <v>205</v>
      </c>
      <c r="E17" s="56" t="s">
        <v>203</v>
      </c>
      <c r="F17" s="12">
        <v>8301</v>
      </c>
      <c r="G17" s="12">
        <v>1</v>
      </c>
      <c r="H17" s="13">
        <v>25</v>
      </c>
      <c r="I17" s="34">
        <v>150</v>
      </c>
      <c r="J17" s="5">
        <v>220</v>
      </c>
      <c r="K17" s="15">
        <f>L17+219</f>
        <v>219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0.40471045648470161</v>
      </c>
      <c r="AF17" s="94">
        <f t="shared" ref="AF17:AF18" si="9">A17</f>
        <v>12</v>
      </c>
    </row>
    <row r="18" spans="1:32" ht="27" customHeight="1">
      <c r="A18" s="110">
        <v>13</v>
      </c>
      <c r="B18" s="11" t="s">
        <v>57</v>
      </c>
      <c r="C18" s="37" t="s">
        <v>122</v>
      </c>
      <c r="D18" s="55" t="s">
        <v>128</v>
      </c>
      <c r="E18" s="57" t="s">
        <v>177</v>
      </c>
      <c r="F18" s="33" t="s">
        <v>143</v>
      </c>
      <c r="G18" s="36">
        <v>1</v>
      </c>
      <c r="H18" s="38">
        <v>25</v>
      </c>
      <c r="I18" s="7">
        <v>10000</v>
      </c>
      <c r="J18" s="5">
        <v>1320</v>
      </c>
      <c r="K18" s="15">
        <f>L18+1923+3338</f>
        <v>6579</v>
      </c>
      <c r="L18" s="15">
        <f>1318</f>
        <v>1318</v>
      </c>
      <c r="M18" s="16">
        <f t="shared" si="0"/>
        <v>1318</v>
      </c>
      <c r="N18" s="16">
        <v>0</v>
      </c>
      <c r="O18" s="62">
        <f t="shared" si="1"/>
        <v>0</v>
      </c>
      <c r="P18" s="42">
        <f t="shared" si="2"/>
        <v>7</v>
      </c>
      <c r="Q18" s="43">
        <f t="shared" si="3"/>
        <v>17</v>
      </c>
      <c r="R18" s="7"/>
      <c r="S18" s="6"/>
      <c r="T18" s="17"/>
      <c r="U18" s="17"/>
      <c r="V18" s="18"/>
      <c r="W18" s="19">
        <v>17</v>
      </c>
      <c r="X18" s="17"/>
      <c r="Y18" s="20"/>
      <c r="Z18" s="20"/>
      <c r="AA18" s="21"/>
      <c r="AB18" s="8">
        <f t="shared" si="4"/>
        <v>0.99848484848484853</v>
      </c>
      <c r="AC18" s="9">
        <f t="shared" si="5"/>
        <v>0.29166666666666669</v>
      </c>
      <c r="AD18" s="10">
        <f t="shared" si="6"/>
        <v>0.29122474747474753</v>
      </c>
      <c r="AE18" s="39">
        <f t="shared" si="7"/>
        <v>0.40471045648470161</v>
      </c>
      <c r="AF18" s="94">
        <f t="shared" si="9"/>
        <v>13</v>
      </c>
    </row>
    <row r="19" spans="1:32" ht="27" customHeight="1">
      <c r="A19" s="110">
        <v>14</v>
      </c>
      <c r="B19" s="11" t="s">
        <v>57</v>
      </c>
      <c r="C19" s="11" t="s">
        <v>146</v>
      </c>
      <c r="D19" s="55" t="s">
        <v>169</v>
      </c>
      <c r="E19" s="57" t="s">
        <v>168</v>
      </c>
      <c r="F19" s="12" t="s">
        <v>138</v>
      </c>
      <c r="G19" s="12" t="s">
        <v>170</v>
      </c>
      <c r="H19" s="13">
        <v>25</v>
      </c>
      <c r="I19" s="7">
        <v>130000</v>
      </c>
      <c r="J19" s="14">
        <v>3460</v>
      </c>
      <c r="K19" s="15">
        <f>L19+3258+4398+5144</f>
        <v>16260</v>
      </c>
      <c r="L19" s="15">
        <f>2859+601</f>
        <v>3460</v>
      </c>
      <c r="M19" s="16">
        <f t="shared" si="0"/>
        <v>3460</v>
      </c>
      <c r="N19" s="16">
        <v>0</v>
      </c>
      <c r="O19" s="62">
        <f t="shared" si="1"/>
        <v>0</v>
      </c>
      <c r="P19" s="42">
        <f t="shared" si="2"/>
        <v>19</v>
      </c>
      <c r="Q19" s="43">
        <f t="shared" si="3"/>
        <v>5</v>
      </c>
      <c r="R19" s="7"/>
      <c r="S19" s="6">
        <v>5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0.79166666666666663</v>
      </c>
      <c r="AD19" s="10">
        <f t="shared" si="6"/>
        <v>0.79166666666666663</v>
      </c>
      <c r="AE19" s="39">
        <f t="shared" si="7"/>
        <v>0.40471045648470161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124</v>
      </c>
      <c r="D20" s="55"/>
      <c r="E20" s="56" t="s">
        <v>274</v>
      </c>
      <c r="F20" s="12" t="s">
        <v>125</v>
      </c>
      <c r="G20" s="12">
        <v>4</v>
      </c>
      <c r="H20" s="38">
        <v>20</v>
      </c>
      <c r="I20" s="7">
        <v>800000</v>
      </c>
      <c r="J20" s="14">
        <v>29130</v>
      </c>
      <c r="K20" s="15">
        <f>L20</f>
        <v>29128</v>
      </c>
      <c r="L20" s="15">
        <f>1442*4+5840*4</f>
        <v>29128</v>
      </c>
      <c r="M20" s="16">
        <f t="shared" si="0"/>
        <v>29128</v>
      </c>
      <c r="N20" s="16">
        <v>0</v>
      </c>
      <c r="O20" s="62">
        <f t="shared" si="1"/>
        <v>0</v>
      </c>
      <c r="P20" s="42">
        <f t="shared" si="2"/>
        <v>20</v>
      </c>
      <c r="Q20" s="43">
        <f t="shared" si="3"/>
        <v>4</v>
      </c>
      <c r="R20" s="7"/>
      <c r="S20" s="6"/>
      <c r="T20" s="17">
        <v>4</v>
      </c>
      <c r="U20" s="17"/>
      <c r="V20" s="18"/>
      <c r="W20" s="19"/>
      <c r="X20" s="17"/>
      <c r="Y20" s="20"/>
      <c r="Z20" s="20"/>
      <c r="AA20" s="21"/>
      <c r="AB20" s="8">
        <f t="shared" si="4"/>
        <v>0.99993134225883973</v>
      </c>
      <c r="AC20" s="9">
        <f t="shared" si="5"/>
        <v>0.83333333333333337</v>
      </c>
      <c r="AD20" s="10">
        <f t="shared" si="6"/>
        <v>0.83327611854903316</v>
      </c>
      <c r="AE20" s="39">
        <f t="shared" si="7"/>
        <v>0.40471045648470161</v>
      </c>
      <c r="AF20" s="94">
        <f t="shared" si="8"/>
        <v>15</v>
      </c>
    </row>
    <row r="21" spans="1:32" ht="31.5" customHeight="1" thickBot="1">
      <c r="A21" s="369" t="s">
        <v>34</v>
      </c>
      <c r="B21" s="370"/>
      <c r="C21" s="370"/>
      <c r="D21" s="370"/>
      <c r="E21" s="370"/>
      <c r="F21" s="370"/>
      <c r="G21" s="370"/>
      <c r="H21" s="371"/>
      <c r="I21" s="25">
        <f t="shared" ref="I21:N21" si="10">SUM(I6:I20)</f>
        <v>1091050</v>
      </c>
      <c r="J21" s="22">
        <f t="shared" si="10"/>
        <v>78857</v>
      </c>
      <c r="K21" s="23">
        <f t="shared" si="10"/>
        <v>135769</v>
      </c>
      <c r="L21" s="24">
        <f t="shared" si="10"/>
        <v>70888</v>
      </c>
      <c r="M21" s="23">
        <f t="shared" si="10"/>
        <v>70888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146</v>
      </c>
      <c r="Q21" s="46">
        <f t="shared" si="11"/>
        <v>214</v>
      </c>
      <c r="R21" s="26">
        <f t="shared" si="11"/>
        <v>0</v>
      </c>
      <c r="S21" s="27">
        <f t="shared" si="11"/>
        <v>29</v>
      </c>
      <c r="T21" s="27">
        <f t="shared" si="11"/>
        <v>4</v>
      </c>
      <c r="U21" s="27">
        <f t="shared" si="11"/>
        <v>0</v>
      </c>
      <c r="V21" s="28">
        <f t="shared" si="11"/>
        <v>0</v>
      </c>
      <c r="W21" s="29">
        <f t="shared" si="11"/>
        <v>181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0.59870782712318849</v>
      </c>
      <c r="AC21" s="4">
        <f>SUM(AC6:AC20)/15</f>
        <v>0.40555555555555556</v>
      </c>
      <c r="AD21" s="4">
        <f>SUM(AD6:AD20)/15</f>
        <v>0.40471045648470161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2" t="s">
        <v>45</v>
      </c>
      <c r="B48" s="372"/>
      <c r="C48" s="372"/>
      <c r="D48" s="372"/>
      <c r="E48" s="37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3" t="s">
        <v>275</v>
      </c>
      <c r="B49" s="374"/>
      <c r="C49" s="374"/>
      <c r="D49" s="374"/>
      <c r="E49" s="374"/>
      <c r="F49" s="374"/>
      <c r="G49" s="374"/>
      <c r="H49" s="374"/>
      <c r="I49" s="374"/>
      <c r="J49" s="374"/>
      <c r="K49" s="374"/>
      <c r="L49" s="374"/>
      <c r="M49" s="375"/>
      <c r="N49" s="376" t="s">
        <v>289</v>
      </c>
      <c r="O49" s="377"/>
      <c r="P49" s="377"/>
      <c r="Q49" s="377"/>
      <c r="R49" s="377"/>
      <c r="S49" s="377"/>
      <c r="T49" s="377"/>
      <c r="U49" s="377"/>
      <c r="V49" s="377"/>
      <c r="W49" s="377"/>
      <c r="X49" s="377"/>
      <c r="Y49" s="377"/>
      <c r="Z49" s="377"/>
      <c r="AA49" s="377"/>
      <c r="AB49" s="377"/>
      <c r="AC49" s="377"/>
      <c r="AD49" s="378"/>
    </row>
    <row r="50" spans="1:32" ht="27" customHeight="1">
      <c r="A50" s="379" t="s">
        <v>2</v>
      </c>
      <c r="B50" s="380"/>
      <c r="C50" s="151" t="s">
        <v>46</v>
      </c>
      <c r="D50" s="151" t="s">
        <v>47</v>
      </c>
      <c r="E50" s="151" t="s">
        <v>108</v>
      </c>
      <c r="F50" s="380" t="s">
        <v>107</v>
      </c>
      <c r="G50" s="380"/>
      <c r="H50" s="380"/>
      <c r="I50" s="380"/>
      <c r="J50" s="380"/>
      <c r="K50" s="380"/>
      <c r="L50" s="380"/>
      <c r="M50" s="381"/>
      <c r="N50" s="73" t="s">
        <v>112</v>
      </c>
      <c r="O50" s="151" t="s">
        <v>46</v>
      </c>
      <c r="P50" s="382" t="s">
        <v>47</v>
      </c>
      <c r="Q50" s="383"/>
      <c r="R50" s="382" t="s">
        <v>38</v>
      </c>
      <c r="S50" s="384"/>
      <c r="T50" s="384"/>
      <c r="U50" s="383"/>
      <c r="V50" s="382" t="s">
        <v>48</v>
      </c>
      <c r="W50" s="384"/>
      <c r="X50" s="384"/>
      <c r="Y50" s="384"/>
      <c r="Z50" s="384"/>
      <c r="AA50" s="384"/>
      <c r="AB50" s="384"/>
      <c r="AC50" s="384"/>
      <c r="AD50" s="385"/>
    </row>
    <row r="51" spans="1:32" ht="27" customHeight="1">
      <c r="A51" s="396" t="s">
        <v>157</v>
      </c>
      <c r="B51" s="397"/>
      <c r="C51" s="152" t="s">
        <v>131</v>
      </c>
      <c r="D51" s="153" t="s">
        <v>169</v>
      </c>
      <c r="E51" s="152" t="s">
        <v>235</v>
      </c>
      <c r="F51" s="398" t="s">
        <v>276</v>
      </c>
      <c r="G51" s="398"/>
      <c r="H51" s="398"/>
      <c r="I51" s="398"/>
      <c r="J51" s="398"/>
      <c r="K51" s="398"/>
      <c r="L51" s="398"/>
      <c r="M51" s="399"/>
      <c r="N51" s="157" t="s">
        <v>290</v>
      </c>
      <c r="O51" s="74" t="s">
        <v>233</v>
      </c>
      <c r="P51" s="400" t="s">
        <v>127</v>
      </c>
      <c r="Q51" s="401"/>
      <c r="R51" s="402" t="s">
        <v>291</v>
      </c>
      <c r="S51" s="402"/>
      <c r="T51" s="402"/>
      <c r="U51" s="402"/>
      <c r="V51" s="398" t="s">
        <v>190</v>
      </c>
      <c r="W51" s="398"/>
      <c r="X51" s="398"/>
      <c r="Y51" s="398"/>
      <c r="Z51" s="398"/>
      <c r="AA51" s="398"/>
      <c r="AB51" s="398"/>
      <c r="AC51" s="398"/>
      <c r="AD51" s="399"/>
    </row>
    <row r="52" spans="1:32" ht="27" customHeight="1">
      <c r="A52" s="396" t="s">
        <v>277</v>
      </c>
      <c r="B52" s="397"/>
      <c r="C52" s="152" t="s">
        <v>278</v>
      </c>
      <c r="D52" s="153" t="s">
        <v>279</v>
      </c>
      <c r="E52" s="152" t="s">
        <v>265</v>
      </c>
      <c r="F52" s="398" t="s">
        <v>280</v>
      </c>
      <c r="G52" s="398"/>
      <c r="H52" s="398"/>
      <c r="I52" s="398"/>
      <c r="J52" s="398"/>
      <c r="K52" s="398"/>
      <c r="L52" s="398"/>
      <c r="M52" s="399"/>
      <c r="N52" s="157" t="s">
        <v>114</v>
      </c>
      <c r="O52" s="74" t="s">
        <v>173</v>
      </c>
      <c r="P52" s="400" t="s">
        <v>128</v>
      </c>
      <c r="Q52" s="401"/>
      <c r="R52" s="402" t="s">
        <v>174</v>
      </c>
      <c r="S52" s="402"/>
      <c r="T52" s="402"/>
      <c r="U52" s="402"/>
      <c r="V52" s="398" t="s">
        <v>130</v>
      </c>
      <c r="W52" s="398"/>
      <c r="X52" s="398"/>
      <c r="Y52" s="398"/>
      <c r="Z52" s="398"/>
      <c r="AA52" s="398"/>
      <c r="AB52" s="398"/>
      <c r="AC52" s="398"/>
      <c r="AD52" s="399"/>
    </row>
    <row r="53" spans="1:32" ht="27" customHeight="1">
      <c r="A53" s="396" t="s">
        <v>266</v>
      </c>
      <c r="B53" s="397"/>
      <c r="C53" s="152" t="s">
        <v>281</v>
      </c>
      <c r="D53" s="153" t="s">
        <v>282</v>
      </c>
      <c r="E53" s="152" t="s">
        <v>267</v>
      </c>
      <c r="F53" s="398" t="s">
        <v>190</v>
      </c>
      <c r="G53" s="398"/>
      <c r="H53" s="398"/>
      <c r="I53" s="398"/>
      <c r="J53" s="398"/>
      <c r="K53" s="398"/>
      <c r="L53" s="398"/>
      <c r="M53" s="399"/>
      <c r="N53" s="157" t="s">
        <v>122</v>
      </c>
      <c r="O53" s="74" t="s">
        <v>278</v>
      </c>
      <c r="P53" s="402" t="s">
        <v>279</v>
      </c>
      <c r="Q53" s="402"/>
      <c r="R53" s="402" t="s">
        <v>292</v>
      </c>
      <c r="S53" s="402"/>
      <c r="T53" s="402"/>
      <c r="U53" s="402"/>
      <c r="V53" s="398" t="s">
        <v>190</v>
      </c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 t="s">
        <v>123</v>
      </c>
      <c r="B54" s="397"/>
      <c r="C54" s="152" t="s">
        <v>283</v>
      </c>
      <c r="D54" s="153" t="s">
        <v>284</v>
      </c>
      <c r="E54" s="152" t="s">
        <v>270</v>
      </c>
      <c r="F54" s="398" t="s">
        <v>190</v>
      </c>
      <c r="G54" s="398"/>
      <c r="H54" s="398"/>
      <c r="I54" s="398"/>
      <c r="J54" s="398"/>
      <c r="K54" s="398"/>
      <c r="L54" s="398"/>
      <c r="M54" s="399"/>
      <c r="N54" s="157" t="s">
        <v>122</v>
      </c>
      <c r="O54" s="74" t="s">
        <v>126</v>
      </c>
      <c r="P54" s="400" t="s">
        <v>133</v>
      </c>
      <c r="Q54" s="401"/>
      <c r="R54" s="402" t="s">
        <v>293</v>
      </c>
      <c r="S54" s="402"/>
      <c r="T54" s="402"/>
      <c r="U54" s="402"/>
      <c r="V54" s="398" t="s">
        <v>190</v>
      </c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 t="s">
        <v>134</v>
      </c>
      <c r="B55" s="397"/>
      <c r="C55" s="152" t="s">
        <v>285</v>
      </c>
      <c r="D55" s="153" t="s">
        <v>271</v>
      </c>
      <c r="E55" s="152" t="s">
        <v>272</v>
      </c>
      <c r="F55" s="398" t="s">
        <v>190</v>
      </c>
      <c r="G55" s="398"/>
      <c r="H55" s="398"/>
      <c r="I55" s="398"/>
      <c r="J55" s="398"/>
      <c r="K55" s="398"/>
      <c r="L55" s="398"/>
      <c r="M55" s="399"/>
      <c r="N55" s="157" t="s">
        <v>122</v>
      </c>
      <c r="O55" s="74" t="s">
        <v>285</v>
      </c>
      <c r="P55" s="400" t="s">
        <v>295</v>
      </c>
      <c r="Q55" s="401"/>
      <c r="R55" s="402" t="s">
        <v>294</v>
      </c>
      <c r="S55" s="402"/>
      <c r="T55" s="402"/>
      <c r="U55" s="402"/>
      <c r="V55" s="398" t="s">
        <v>190</v>
      </c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 t="s">
        <v>286</v>
      </c>
      <c r="B56" s="397"/>
      <c r="C56" s="152" t="s">
        <v>287</v>
      </c>
      <c r="D56" s="153"/>
      <c r="E56" s="152" t="s">
        <v>288</v>
      </c>
      <c r="F56" s="398" t="s">
        <v>190</v>
      </c>
      <c r="G56" s="398"/>
      <c r="H56" s="398"/>
      <c r="I56" s="398"/>
      <c r="J56" s="398"/>
      <c r="K56" s="398"/>
      <c r="L56" s="398"/>
      <c r="M56" s="399"/>
      <c r="N56" s="157"/>
      <c r="O56" s="74"/>
      <c r="P56" s="402"/>
      <c r="Q56" s="402"/>
      <c r="R56" s="402"/>
      <c r="S56" s="402"/>
      <c r="T56" s="402"/>
      <c r="U56" s="402"/>
      <c r="V56" s="398"/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/>
      <c r="B57" s="397"/>
      <c r="C57" s="152"/>
      <c r="D57" s="153"/>
      <c r="E57" s="152"/>
      <c r="F57" s="398"/>
      <c r="G57" s="398"/>
      <c r="H57" s="398"/>
      <c r="I57" s="398"/>
      <c r="J57" s="398"/>
      <c r="K57" s="398"/>
      <c r="L57" s="398"/>
      <c r="M57" s="399"/>
      <c r="N57" s="157"/>
      <c r="O57" s="74"/>
      <c r="P57" s="400"/>
      <c r="Q57" s="401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/>
      <c r="B58" s="397"/>
      <c r="C58" s="152"/>
      <c r="D58" s="153"/>
      <c r="E58" s="152"/>
      <c r="F58" s="398"/>
      <c r="G58" s="398"/>
      <c r="H58" s="398"/>
      <c r="I58" s="398"/>
      <c r="J58" s="398"/>
      <c r="K58" s="398"/>
      <c r="L58" s="398"/>
      <c r="M58" s="399"/>
      <c r="N58" s="157"/>
      <c r="O58" s="74"/>
      <c r="P58" s="400"/>
      <c r="Q58" s="401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412"/>
      <c r="B59" s="402"/>
      <c r="C59" s="153"/>
      <c r="D59" s="153"/>
      <c r="E59" s="153"/>
      <c r="F59" s="398"/>
      <c r="G59" s="398"/>
      <c r="H59" s="398"/>
      <c r="I59" s="398"/>
      <c r="J59" s="398"/>
      <c r="K59" s="398"/>
      <c r="L59" s="398"/>
      <c r="M59" s="399"/>
      <c r="N59" s="157"/>
      <c r="O59" s="74"/>
      <c r="P59" s="402"/>
      <c r="Q59" s="402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  <c r="AF59" s="94">
        <f>8*3000</f>
        <v>24000</v>
      </c>
    </row>
    <row r="60" spans="1:32" ht="27" customHeight="1" thickBot="1">
      <c r="A60" s="403"/>
      <c r="B60" s="404"/>
      <c r="C60" s="155"/>
      <c r="D60" s="155"/>
      <c r="E60" s="155"/>
      <c r="F60" s="405"/>
      <c r="G60" s="405"/>
      <c r="H60" s="405"/>
      <c r="I60" s="405"/>
      <c r="J60" s="405"/>
      <c r="K60" s="405"/>
      <c r="L60" s="405"/>
      <c r="M60" s="406"/>
      <c r="N60" s="154"/>
      <c r="O60" s="121"/>
      <c r="P60" s="404"/>
      <c r="Q60" s="404"/>
      <c r="R60" s="404"/>
      <c r="S60" s="404"/>
      <c r="T60" s="404"/>
      <c r="U60" s="404"/>
      <c r="V60" s="405"/>
      <c r="W60" s="405"/>
      <c r="X60" s="405"/>
      <c r="Y60" s="405"/>
      <c r="Z60" s="405"/>
      <c r="AA60" s="405"/>
      <c r="AB60" s="405"/>
      <c r="AC60" s="405"/>
      <c r="AD60" s="406"/>
      <c r="AF60" s="94">
        <f>16*3000</f>
        <v>48000</v>
      </c>
    </row>
    <row r="61" spans="1:32" ht="27.75" thickBot="1">
      <c r="A61" s="407" t="s">
        <v>297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156" t="s">
        <v>2</v>
      </c>
      <c r="D62" s="156" t="s">
        <v>37</v>
      </c>
      <c r="E62" s="156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156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3"/>
      <c r="T62" s="413"/>
      <c r="U62" s="413"/>
      <c r="V62" s="413"/>
      <c r="W62" s="413"/>
      <c r="X62" s="413"/>
      <c r="Y62" s="413"/>
      <c r="Z62" s="413"/>
      <c r="AA62" s="411"/>
      <c r="AB62" s="409" t="s">
        <v>44</v>
      </c>
      <c r="AC62" s="409"/>
      <c r="AD62" s="414"/>
      <c r="AF62" s="94">
        <f>SUM(AF59:AF61)</f>
        <v>96000</v>
      </c>
    </row>
    <row r="63" spans="1:32" ht="25.5" customHeight="1">
      <c r="A63" s="415">
        <v>1</v>
      </c>
      <c r="B63" s="416"/>
      <c r="C63" s="124" t="s">
        <v>298</v>
      </c>
      <c r="D63" s="160"/>
      <c r="E63" s="158" t="s">
        <v>299</v>
      </c>
      <c r="F63" s="417" t="s">
        <v>300</v>
      </c>
      <c r="G63" s="418"/>
      <c r="H63" s="418"/>
      <c r="I63" s="418"/>
      <c r="J63" s="418"/>
      <c r="K63" s="418" t="s">
        <v>166</v>
      </c>
      <c r="L63" s="418"/>
      <c r="M63" s="54" t="s">
        <v>301</v>
      </c>
      <c r="N63" s="418">
        <v>12</v>
      </c>
      <c r="O63" s="418"/>
      <c r="P63" s="419">
        <v>50</v>
      </c>
      <c r="Q63" s="419"/>
      <c r="R63" s="398"/>
      <c r="S63" s="398"/>
      <c r="T63" s="398"/>
      <c r="U63" s="398"/>
      <c r="V63" s="398"/>
      <c r="W63" s="398"/>
      <c r="X63" s="398"/>
      <c r="Y63" s="398"/>
      <c r="Z63" s="398"/>
      <c r="AA63" s="398"/>
      <c r="AB63" s="418"/>
      <c r="AC63" s="418"/>
      <c r="AD63" s="420"/>
      <c r="AF63" s="53"/>
    </row>
    <row r="64" spans="1:32" ht="25.5" customHeight="1">
      <c r="A64" s="415">
        <v>2</v>
      </c>
      <c r="B64" s="416"/>
      <c r="C64" s="124" t="s">
        <v>157</v>
      </c>
      <c r="D64" s="160"/>
      <c r="E64" s="158" t="s">
        <v>302</v>
      </c>
      <c r="F64" s="417" t="s">
        <v>303</v>
      </c>
      <c r="G64" s="418"/>
      <c r="H64" s="418"/>
      <c r="I64" s="418"/>
      <c r="J64" s="418"/>
      <c r="K64" s="418" t="s">
        <v>304</v>
      </c>
      <c r="L64" s="418"/>
      <c r="M64" s="54" t="s">
        <v>305</v>
      </c>
      <c r="N64" s="418">
        <v>5</v>
      </c>
      <c r="O64" s="418"/>
      <c r="P64" s="419">
        <v>500</v>
      </c>
      <c r="Q64" s="419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418"/>
      <c r="AC64" s="418"/>
      <c r="AD64" s="420"/>
      <c r="AF64" s="53"/>
    </row>
    <row r="65" spans="1:32" ht="25.5" customHeight="1">
      <c r="A65" s="415">
        <v>3</v>
      </c>
      <c r="B65" s="416"/>
      <c r="C65" s="124" t="s">
        <v>157</v>
      </c>
      <c r="D65" s="160"/>
      <c r="E65" s="158" t="s">
        <v>306</v>
      </c>
      <c r="F65" s="417" t="s">
        <v>307</v>
      </c>
      <c r="G65" s="418"/>
      <c r="H65" s="418"/>
      <c r="I65" s="418"/>
      <c r="J65" s="418"/>
      <c r="K65" s="418" t="s">
        <v>308</v>
      </c>
      <c r="L65" s="418"/>
      <c r="M65" s="54" t="s">
        <v>305</v>
      </c>
      <c r="N65" s="418">
        <v>13</v>
      </c>
      <c r="O65" s="418"/>
      <c r="P65" s="419">
        <v>150</v>
      </c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4</v>
      </c>
      <c r="B66" s="416"/>
      <c r="C66" s="124"/>
      <c r="D66" s="160"/>
      <c r="E66" s="158"/>
      <c r="F66" s="417"/>
      <c r="G66" s="418"/>
      <c r="H66" s="418"/>
      <c r="I66" s="418"/>
      <c r="J66" s="418"/>
      <c r="K66" s="418"/>
      <c r="L66" s="418"/>
      <c r="M66" s="54"/>
      <c r="N66" s="418"/>
      <c r="O66" s="418"/>
      <c r="P66" s="419"/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5</v>
      </c>
      <c r="B67" s="416"/>
      <c r="C67" s="124"/>
      <c r="D67" s="160"/>
      <c r="E67" s="158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6</v>
      </c>
      <c r="B68" s="416"/>
      <c r="C68" s="124"/>
      <c r="D68" s="160"/>
      <c r="E68" s="158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7</v>
      </c>
      <c r="B69" s="416"/>
      <c r="C69" s="124"/>
      <c r="D69" s="160"/>
      <c r="E69" s="158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8</v>
      </c>
      <c r="B70" s="416"/>
      <c r="C70" s="124"/>
      <c r="D70" s="160"/>
      <c r="E70" s="158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6.25" customHeight="1" thickBot="1">
      <c r="A71" s="421" t="s">
        <v>296</v>
      </c>
      <c r="B71" s="421"/>
      <c r="C71" s="421"/>
      <c r="D71" s="421"/>
      <c r="E71" s="42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2" t="s">
        <v>113</v>
      </c>
      <c r="B72" s="423"/>
      <c r="C72" s="159" t="s">
        <v>2</v>
      </c>
      <c r="D72" s="159" t="s">
        <v>37</v>
      </c>
      <c r="E72" s="159" t="s">
        <v>3</v>
      </c>
      <c r="F72" s="423" t="s">
        <v>38</v>
      </c>
      <c r="G72" s="423"/>
      <c r="H72" s="423"/>
      <c r="I72" s="423"/>
      <c r="J72" s="423"/>
      <c r="K72" s="424" t="s">
        <v>58</v>
      </c>
      <c r="L72" s="425"/>
      <c r="M72" s="425"/>
      <c r="N72" s="425"/>
      <c r="O72" s="425"/>
      <c r="P72" s="425"/>
      <c r="Q72" s="425"/>
      <c r="R72" s="425"/>
      <c r="S72" s="426"/>
      <c r="T72" s="423" t="s">
        <v>49</v>
      </c>
      <c r="U72" s="423"/>
      <c r="V72" s="424" t="s">
        <v>50</v>
      </c>
      <c r="W72" s="426"/>
      <c r="X72" s="425" t="s">
        <v>51</v>
      </c>
      <c r="Y72" s="425"/>
      <c r="Z72" s="425"/>
      <c r="AA72" s="425"/>
      <c r="AB72" s="425"/>
      <c r="AC72" s="425"/>
      <c r="AD72" s="427"/>
      <c r="AF72" s="53"/>
    </row>
    <row r="73" spans="1:32" ht="33.75" customHeight="1">
      <c r="A73" s="436">
        <v>1</v>
      </c>
      <c r="B73" s="437"/>
      <c r="C73" s="161" t="s">
        <v>114</v>
      </c>
      <c r="D73" s="161"/>
      <c r="E73" s="71" t="s">
        <v>119</v>
      </c>
      <c r="F73" s="438" t="s">
        <v>120</v>
      </c>
      <c r="G73" s="439"/>
      <c r="H73" s="439"/>
      <c r="I73" s="439"/>
      <c r="J73" s="440"/>
      <c r="K73" s="441" t="s">
        <v>115</v>
      </c>
      <c r="L73" s="442"/>
      <c r="M73" s="442"/>
      <c r="N73" s="442"/>
      <c r="O73" s="442"/>
      <c r="P73" s="442"/>
      <c r="Q73" s="442"/>
      <c r="R73" s="442"/>
      <c r="S73" s="443"/>
      <c r="T73" s="444">
        <v>42901</v>
      </c>
      <c r="U73" s="445"/>
      <c r="V73" s="446"/>
      <c r="W73" s="446"/>
      <c r="X73" s="447"/>
      <c r="Y73" s="447"/>
      <c r="Z73" s="447"/>
      <c r="AA73" s="447"/>
      <c r="AB73" s="447"/>
      <c r="AC73" s="447"/>
      <c r="AD73" s="448"/>
      <c r="AF73" s="53"/>
    </row>
    <row r="74" spans="1:32" ht="30" customHeight="1">
      <c r="A74" s="428">
        <f>A73+1</f>
        <v>2</v>
      </c>
      <c r="B74" s="429"/>
      <c r="C74" s="160" t="s">
        <v>114</v>
      </c>
      <c r="D74" s="160"/>
      <c r="E74" s="35" t="s">
        <v>116</v>
      </c>
      <c r="F74" s="429" t="s">
        <v>117</v>
      </c>
      <c r="G74" s="429"/>
      <c r="H74" s="429"/>
      <c r="I74" s="429"/>
      <c r="J74" s="429"/>
      <c r="K74" s="430" t="s">
        <v>118</v>
      </c>
      <c r="L74" s="431"/>
      <c r="M74" s="431"/>
      <c r="N74" s="431"/>
      <c r="O74" s="431"/>
      <c r="P74" s="431"/>
      <c r="Q74" s="431"/>
      <c r="R74" s="431"/>
      <c r="S74" s="432"/>
      <c r="T74" s="433">
        <v>42867</v>
      </c>
      <c r="U74" s="433"/>
      <c r="V74" s="433"/>
      <c r="W74" s="433"/>
      <c r="X74" s="434"/>
      <c r="Y74" s="434"/>
      <c r="Z74" s="434"/>
      <c r="AA74" s="434"/>
      <c r="AB74" s="434"/>
      <c r="AC74" s="434"/>
      <c r="AD74" s="435"/>
      <c r="AF74" s="53"/>
    </row>
    <row r="75" spans="1:32" ht="30" customHeight="1">
      <c r="A75" s="428">
        <f t="shared" ref="A75:A81" si="12">A74+1</f>
        <v>3</v>
      </c>
      <c r="B75" s="429"/>
      <c r="C75" s="160"/>
      <c r="D75" s="160"/>
      <c r="E75" s="35"/>
      <c r="F75" s="429"/>
      <c r="G75" s="429"/>
      <c r="H75" s="429"/>
      <c r="I75" s="429"/>
      <c r="J75" s="429"/>
      <c r="K75" s="430"/>
      <c r="L75" s="431"/>
      <c r="M75" s="431"/>
      <c r="N75" s="431"/>
      <c r="O75" s="431"/>
      <c r="P75" s="431"/>
      <c r="Q75" s="431"/>
      <c r="R75" s="431"/>
      <c r="S75" s="432"/>
      <c r="T75" s="433"/>
      <c r="U75" s="433"/>
      <c r="V75" s="433"/>
      <c r="W75" s="433"/>
      <c r="X75" s="434"/>
      <c r="Y75" s="434"/>
      <c r="Z75" s="434"/>
      <c r="AA75" s="434"/>
      <c r="AB75" s="434"/>
      <c r="AC75" s="434"/>
      <c r="AD75" s="435"/>
      <c r="AF75" s="53"/>
    </row>
    <row r="76" spans="1:32" ht="30" customHeight="1">
      <c r="A76" s="428">
        <f t="shared" si="12"/>
        <v>4</v>
      </c>
      <c r="B76" s="429"/>
      <c r="C76" s="160"/>
      <c r="D76" s="160"/>
      <c r="E76" s="35"/>
      <c r="F76" s="429"/>
      <c r="G76" s="429"/>
      <c r="H76" s="429"/>
      <c r="I76" s="429"/>
      <c r="J76" s="429"/>
      <c r="K76" s="430"/>
      <c r="L76" s="431"/>
      <c r="M76" s="431"/>
      <c r="N76" s="431"/>
      <c r="O76" s="431"/>
      <c r="P76" s="431"/>
      <c r="Q76" s="431"/>
      <c r="R76" s="431"/>
      <c r="S76" s="432"/>
      <c r="T76" s="433"/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si="12"/>
        <v>5</v>
      </c>
      <c r="B77" s="429"/>
      <c r="C77" s="160"/>
      <c r="D77" s="160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12"/>
        <v>6</v>
      </c>
      <c r="B78" s="429"/>
      <c r="C78" s="160"/>
      <c r="D78" s="160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12"/>
        <v>7</v>
      </c>
      <c r="B79" s="429"/>
      <c r="C79" s="160"/>
      <c r="D79" s="160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12"/>
        <v>8</v>
      </c>
      <c r="B80" s="429"/>
      <c r="C80" s="160"/>
      <c r="D80" s="160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12"/>
        <v>9</v>
      </c>
      <c r="B81" s="429"/>
      <c r="C81" s="160"/>
      <c r="D81" s="160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6" thickBot="1">
      <c r="A82" s="421" t="s">
        <v>309</v>
      </c>
      <c r="B82" s="421"/>
      <c r="C82" s="421"/>
      <c r="D82" s="421"/>
      <c r="E82" s="42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2" t="s">
        <v>113</v>
      </c>
      <c r="B83" s="423"/>
      <c r="C83" s="449" t="s">
        <v>52</v>
      </c>
      <c r="D83" s="449"/>
      <c r="E83" s="449" t="s">
        <v>53</v>
      </c>
      <c r="F83" s="449"/>
      <c r="G83" s="449"/>
      <c r="H83" s="449"/>
      <c r="I83" s="449"/>
      <c r="J83" s="449"/>
      <c r="K83" s="449" t="s">
        <v>54</v>
      </c>
      <c r="L83" s="449"/>
      <c r="M83" s="449"/>
      <c r="N83" s="449"/>
      <c r="O83" s="449"/>
      <c r="P83" s="449"/>
      <c r="Q83" s="449"/>
      <c r="R83" s="449"/>
      <c r="S83" s="449"/>
      <c r="T83" s="449" t="s">
        <v>55</v>
      </c>
      <c r="U83" s="449"/>
      <c r="V83" s="449" t="s">
        <v>56</v>
      </c>
      <c r="W83" s="449"/>
      <c r="X83" s="449"/>
      <c r="Y83" s="449" t="s">
        <v>51</v>
      </c>
      <c r="Z83" s="449"/>
      <c r="AA83" s="449"/>
      <c r="AB83" s="449"/>
      <c r="AC83" s="449"/>
      <c r="AD83" s="450"/>
      <c r="AF83" s="53"/>
    </row>
    <row r="84" spans="1:32" ht="30.75" customHeight="1">
      <c r="A84" s="436">
        <v>1</v>
      </c>
      <c r="B84" s="437"/>
      <c r="C84" s="451"/>
      <c r="D84" s="451"/>
      <c r="E84" s="451"/>
      <c r="F84" s="451"/>
      <c r="G84" s="451"/>
      <c r="H84" s="451"/>
      <c r="I84" s="451"/>
      <c r="J84" s="451"/>
      <c r="K84" s="451"/>
      <c r="L84" s="451"/>
      <c r="M84" s="451"/>
      <c r="N84" s="451"/>
      <c r="O84" s="451"/>
      <c r="P84" s="451"/>
      <c r="Q84" s="451"/>
      <c r="R84" s="451"/>
      <c r="S84" s="451"/>
      <c r="T84" s="451"/>
      <c r="U84" s="451"/>
      <c r="V84" s="452"/>
      <c r="W84" s="452"/>
      <c r="X84" s="452"/>
      <c r="Y84" s="453"/>
      <c r="Z84" s="453"/>
      <c r="AA84" s="453"/>
      <c r="AB84" s="453"/>
      <c r="AC84" s="453"/>
      <c r="AD84" s="454"/>
      <c r="AF84" s="53"/>
    </row>
    <row r="85" spans="1:32" ht="30.75" customHeight="1">
      <c r="A85" s="428">
        <v>2</v>
      </c>
      <c r="B85" s="429"/>
      <c r="C85" s="462"/>
      <c r="D85" s="462"/>
      <c r="E85" s="462"/>
      <c r="F85" s="462"/>
      <c r="G85" s="462"/>
      <c r="H85" s="462"/>
      <c r="I85" s="462"/>
      <c r="J85" s="462"/>
      <c r="K85" s="462"/>
      <c r="L85" s="462"/>
      <c r="M85" s="462"/>
      <c r="N85" s="462"/>
      <c r="O85" s="462"/>
      <c r="P85" s="462"/>
      <c r="Q85" s="462"/>
      <c r="R85" s="462"/>
      <c r="S85" s="462"/>
      <c r="T85" s="463"/>
      <c r="U85" s="463"/>
      <c r="V85" s="464"/>
      <c r="W85" s="464"/>
      <c r="X85" s="464"/>
      <c r="Y85" s="455"/>
      <c r="Z85" s="455"/>
      <c r="AA85" s="455"/>
      <c r="AB85" s="455"/>
      <c r="AC85" s="455"/>
      <c r="AD85" s="456"/>
      <c r="AF85" s="53"/>
    </row>
    <row r="86" spans="1:32" ht="30.75" customHeight="1" thickBot="1">
      <c r="A86" s="457">
        <v>3</v>
      </c>
      <c r="B86" s="458"/>
      <c r="C86" s="459"/>
      <c r="D86" s="459"/>
      <c r="E86" s="459"/>
      <c r="F86" s="459"/>
      <c r="G86" s="459"/>
      <c r="H86" s="459"/>
      <c r="I86" s="459"/>
      <c r="J86" s="459"/>
      <c r="K86" s="459"/>
      <c r="L86" s="459"/>
      <c r="M86" s="459"/>
      <c r="N86" s="459"/>
      <c r="O86" s="459"/>
      <c r="P86" s="459"/>
      <c r="Q86" s="459"/>
      <c r="R86" s="459"/>
      <c r="S86" s="459"/>
      <c r="T86" s="459"/>
      <c r="U86" s="459"/>
      <c r="V86" s="459"/>
      <c r="W86" s="459"/>
      <c r="X86" s="459"/>
      <c r="Y86" s="460"/>
      <c r="Z86" s="460"/>
      <c r="AA86" s="460"/>
      <c r="AB86" s="460"/>
      <c r="AC86" s="460"/>
      <c r="AD86" s="46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K76" sqref="K76:S7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55" t="s">
        <v>310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6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173" t="s">
        <v>17</v>
      </c>
      <c r="L5" s="173" t="s">
        <v>18</v>
      </c>
      <c r="M5" s="173" t="s">
        <v>19</v>
      </c>
      <c r="N5" s="17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6" ht="27" customHeight="1">
      <c r="A6" s="108">
        <v>1</v>
      </c>
      <c r="B6" s="11" t="s">
        <v>57</v>
      </c>
      <c r="C6" s="37" t="s">
        <v>148</v>
      </c>
      <c r="D6" s="55"/>
      <c r="E6" s="57" t="s">
        <v>150</v>
      </c>
      <c r="F6" s="33" t="s">
        <v>125</v>
      </c>
      <c r="G6" s="12">
        <v>1</v>
      </c>
      <c r="H6" s="13">
        <v>28</v>
      </c>
      <c r="I6" s="34">
        <v>10000</v>
      </c>
      <c r="J6" s="5">
        <v>2370</v>
      </c>
      <c r="K6" s="15">
        <f>L6+2004+3701+2366</f>
        <v>8071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0.47194770434853694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123</v>
      </c>
      <c r="D7" s="55" t="s">
        <v>156</v>
      </c>
      <c r="E7" s="57" t="s">
        <v>311</v>
      </c>
      <c r="F7" s="33" t="s">
        <v>312</v>
      </c>
      <c r="G7" s="12">
        <v>3</v>
      </c>
      <c r="H7" s="13">
        <v>25</v>
      </c>
      <c r="I7" s="34">
        <v>100000</v>
      </c>
      <c r="J7" s="5">
        <v>11590</v>
      </c>
      <c r="K7" s="15">
        <f>L7</f>
        <v>11583</v>
      </c>
      <c r="L7" s="15">
        <f>2454*3+1407*3</f>
        <v>11583</v>
      </c>
      <c r="M7" s="16">
        <f t="shared" si="0"/>
        <v>11583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0.99939603106125974</v>
      </c>
      <c r="AC7" s="9">
        <f t="shared" si="5"/>
        <v>1</v>
      </c>
      <c r="AD7" s="10">
        <f t="shared" si="6"/>
        <v>0.99939603106125974</v>
      </c>
      <c r="AE7" s="39">
        <f t="shared" si="7"/>
        <v>0.47194770434853694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313</v>
      </c>
      <c r="D8" s="55" t="s">
        <v>127</v>
      </c>
      <c r="E8" s="57" t="s">
        <v>314</v>
      </c>
      <c r="F8" s="33" t="s">
        <v>263</v>
      </c>
      <c r="G8" s="12">
        <v>1</v>
      </c>
      <c r="H8" s="13">
        <v>25</v>
      </c>
      <c r="I8" s="34">
        <v>10000</v>
      </c>
      <c r="J8" s="5">
        <v>4850</v>
      </c>
      <c r="K8" s="15">
        <f>L8</f>
        <v>4847</v>
      </c>
      <c r="L8" s="15">
        <f>2710+2137</f>
        <v>4847</v>
      </c>
      <c r="M8" s="16">
        <f t="shared" si="0"/>
        <v>4847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0.99938144329896905</v>
      </c>
      <c r="AC8" s="9">
        <f t="shared" si="5"/>
        <v>1</v>
      </c>
      <c r="AD8" s="10">
        <f t="shared" si="6"/>
        <v>0.99938144329896905</v>
      </c>
      <c r="AE8" s="39">
        <f t="shared" si="7"/>
        <v>0.47194770434853694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122</v>
      </c>
      <c r="D9" s="55" t="s">
        <v>264</v>
      </c>
      <c r="E9" s="57" t="s">
        <v>315</v>
      </c>
      <c r="F9" s="33" t="s">
        <v>143</v>
      </c>
      <c r="G9" s="36">
        <v>1</v>
      </c>
      <c r="H9" s="38">
        <v>25</v>
      </c>
      <c r="I9" s="7">
        <v>10000</v>
      </c>
      <c r="J9" s="5">
        <v>4230</v>
      </c>
      <c r="K9" s="15">
        <f>L9</f>
        <v>4225</v>
      </c>
      <c r="L9" s="15">
        <f>2319+1906</f>
        <v>4225</v>
      </c>
      <c r="M9" s="16">
        <f t="shared" si="0"/>
        <v>4225</v>
      </c>
      <c r="N9" s="16">
        <v>0</v>
      </c>
      <c r="O9" s="62">
        <f t="shared" si="1"/>
        <v>0</v>
      </c>
      <c r="P9" s="42">
        <f t="shared" si="2"/>
        <v>23</v>
      </c>
      <c r="Q9" s="43">
        <f t="shared" si="3"/>
        <v>1</v>
      </c>
      <c r="R9" s="7"/>
      <c r="S9" s="6">
        <v>1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0.99881796690307334</v>
      </c>
      <c r="AC9" s="9">
        <f t="shared" si="5"/>
        <v>0.95833333333333337</v>
      </c>
      <c r="AD9" s="10">
        <f t="shared" si="6"/>
        <v>0.95720055161544537</v>
      </c>
      <c r="AE9" s="39">
        <f t="shared" si="7"/>
        <v>0.47194770434853694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122</v>
      </c>
      <c r="D10" s="55" t="s">
        <v>121</v>
      </c>
      <c r="E10" s="57" t="s">
        <v>154</v>
      </c>
      <c r="F10" s="12" t="s">
        <v>140</v>
      </c>
      <c r="G10" s="12">
        <v>1</v>
      </c>
      <c r="H10" s="13">
        <v>25</v>
      </c>
      <c r="I10" s="34">
        <v>7000</v>
      </c>
      <c r="J10" s="14">
        <v>4050</v>
      </c>
      <c r="K10" s="15">
        <f>L10+4727+4049</f>
        <v>8776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0.47194770434853694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157</v>
      </c>
      <c r="D11" s="55"/>
      <c r="E11" s="57" t="s">
        <v>178</v>
      </c>
      <c r="F11" s="12" t="s">
        <v>166</v>
      </c>
      <c r="G11" s="12">
        <v>1</v>
      </c>
      <c r="H11" s="13">
        <v>25</v>
      </c>
      <c r="I11" s="34">
        <v>9000</v>
      </c>
      <c r="J11" s="14">
        <v>1140</v>
      </c>
      <c r="K11" s="15">
        <f>L11</f>
        <v>1140</v>
      </c>
      <c r="L11" s="15">
        <v>1140</v>
      </c>
      <c r="M11" s="16">
        <f t="shared" si="0"/>
        <v>1140</v>
      </c>
      <c r="N11" s="16">
        <v>0</v>
      </c>
      <c r="O11" s="62">
        <f t="shared" si="1"/>
        <v>0</v>
      </c>
      <c r="P11" s="42">
        <f t="shared" si="2"/>
        <v>6</v>
      </c>
      <c r="Q11" s="43">
        <f t="shared" si="3"/>
        <v>18</v>
      </c>
      <c r="R11" s="7"/>
      <c r="S11" s="6"/>
      <c r="T11" s="17"/>
      <c r="U11" s="17"/>
      <c r="V11" s="18">
        <v>18</v>
      </c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0.25</v>
      </c>
      <c r="AD11" s="10">
        <f t="shared" si="6"/>
        <v>0.25</v>
      </c>
      <c r="AE11" s="39">
        <f t="shared" si="7"/>
        <v>0.47194770434853694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266</v>
      </c>
      <c r="D12" s="55" t="s">
        <v>128</v>
      </c>
      <c r="E12" s="57" t="s">
        <v>267</v>
      </c>
      <c r="F12" s="12" t="s">
        <v>268</v>
      </c>
      <c r="G12" s="12">
        <v>1</v>
      </c>
      <c r="H12" s="13">
        <v>25</v>
      </c>
      <c r="I12" s="7">
        <v>1000</v>
      </c>
      <c r="J12" s="14">
        <v>1280</v>
      </c>
      <c r="K12" s="15">
        <f>L12</f>
        <v>1273</v>
      </c>
      <c r="L12" s="15">
        <f>727+546</f>
        <v>1273</v>
      </c>
      <c r="M12" s="16">
        <f t="shared" si="0"/>
        <v>1273</v>
      </c>
      <c r="N12" s="16">
        <v>0</v>
      </c>
      <c r="O12" s="62">
        <f t="shared" si="1"/>
        <v>0</v>
      </c>
      <c r="P12" s="42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0.99453124999999998</v>
      </c>
      <c r="AC12" s="9" t="str">
        <f t="shared" si="5"/>
        <v>0</v>
      </c>
      <c r="AD12" s="10">
        <f t="shared" si="6"/>
        <v>0</v>
      </c>
      <c r="AE12" s="39">
        <f t="shared" si="7"/>
        <v>0.47194770434853694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313</v>
      </c>
      <c r="D13" s="55" t="s">
        <v>144</v>
      </c>
      <c r="E13" s="57" t="s">
        <v>316</v>
      </c>
      <c r="F13" s="12">
        <v>7301</v>
      </c>
      <c r="G13" s="12">
        <v>1</v>
      </c>
      <c r="H13" s="13">
        <v>25</v>
      </c>
      <c r="I13" s="7">
        <v>10000</v>
      </c>
      <c r="J13" s="14">
        <v>192</v>
      </c>
      <c r="K13" s="15">
        <f>L13</f>
        <v>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>
        <v>24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0.47194770434853694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128</v>
      </c>
      <c r="E14" s="57" t="s">
        <v>174</v>
      </c>
      <c r="F14" s="33" t="s">
        <v>181</v>
      </c>
      <c r="G14" s="36">
        <v>1</v>
      </c>
      <c r="H14" s="38">
        <v>25</v>
      </c>
      <c r="I14" s="7">
        <v>200</v>
      </c>
      <c r="J14" s="5">
        <v>190</v>
      </c>
      <c r="K14" s="15">
        <f>L14</f>
        <v>190</v>
      </c>
      <c r="L14" s="15">
        <v>190</v>
      </c>
      <c r="M14" s="16">
        <f t="shared" si="0"/>
        <v>190</v>
      </c>
      <c r="N14" s="16">
        <v>0</v>
      </c>
      <c r="O14" s="62">
        <f t="shared" si="1"/>
        <v>0</v>
      </c>
      <c r="P14" s="42">
        <f t="shared" si="2"/>
        <v>5</v>
      </c>
      <c r="Q14" s="43">
        <f t="shared" si="3"/>
        <v>19</v>
      </c>
      <c r="R14" s="7"/>
      <c r="S14" s="6"/>
      <c r="T14" s="17"/>
      <c r="U14" s="17"/>
      <c r="V14" s="18"/>
      <c r="W14" s="19">
        <v>19</v>
      </c>
      <c r="X14" s="17"/>
      <c r="Y14" s="20"/>
      <c r="Z14" s="20"/>
      <c r="AA14" s="21"/>
      <c r="AB14" s="8">
        <f t="shared" si="4"/>
        <v>1</v>
      </c>
      <c r="AC14" s="9">
        <f t="shared" si="5"/>
        <v>0.20833333333333334</v>
      </c>
      <c r="AD14" s="10">
        <f t="shared" si="6"/>
        <v>0.20833333333333334</v>
      </c>
      <c r="AE14" s="39">
        <f t="shared" si="7"/>
        <v>0.47194770434853694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123</v>
      </c>
      <c r="D15" s="55" t="s">
        <v>269</v>
      </c>
      <c r="E15" s="57" t="s">
        <v>270</v>
      </c>
      <c r="F15" s="12" t="s">
        <v>151</v>
      </c>
      <c r="G15" s="12">
        <v>4</v>
      </c>
      <c r="H15" s="13">
        <v>24</v>
      </c>
      <c r="I15" s="34">
        <v>30000</v>
      </c>
      <c r="J15" s="14">
        <v>23320</v>
      </c>
      <c r="K15" s="15">
        <f>L15+21536</f>
        <v>44848</v>
      </c>
      <c r="L15" s="15">
        <f>3000*4+2828*4</f>
        <v>23312</v>
      </c>
      <c r="M15" s="16">
        <f t="shared" si="0"/>
        <v>23312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0.9996569468267581</v>
      </c>
      <c r="AC15" s="9">
        <f t="shared" si="5"/>
        <v>1</v>
      </c>
      <c r="AD15" s="10">
        <f t="shared" si="6"/>
        <v>0.9996569468267581</v>
      </c>
      <c r="AE15" s="39">
        <f t="shared" si="7"/>
        <v>0.47194770434853694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313</v>
      </c>
      <c r="D16" s="55" t="s">
        <v>317</v>
      </c>
      <c r="E16" s="56" t="s">
        <v>318</v>
      </c>
      <c r="F16" s="12">
        <v>7301</v>
      </c>
      <c r="G16" s="36">
        <v>1</v>
      </c>
      <c r="H16" s="38">
        <v>25</v>
      </c>
      <c r="I16" s="7">
        <v>10000</v>
      </c>
      <c r="J16" s="14">
        <v>2980</v>
      </c>
      <c r="K16" s="15">
        <f>L16</f>
        <v>2979</v>
      </c>
      <c r="L16" s="15">
        <f>834+2145</f>
        <v>2979</v>
      </c>
      <c r="M16" s="16">
        <f t="shared" si="0"/>
        <v>2979</v>
      </c>
      <c r="N16" s="16">
        <v>0</v>
      </c>
      <c r="O16" s="62">
        <f t="shared" si="1"/>
        <v>0</v>
      </c>
      <c r="P16" s="42">
        <f t="shared" si="2"/>
        <v>19</v>
      </c>
      <c r="Q16" s="43">
        <f t="shared" si="3"/>
        <v>5</v>
      </c>
      <c r="R16" s="7"/>
      <c r="S16" s="6">
        <v>3</v>
      </c>
      <c r="T16" s="17">
        <v>2</v>
      </c>
      <c r="U16" s="17"/>
      <c r="V16" s="18"/>
      <c r="W16" s="19"/>
      <c r="X16" s="17"/>
      <c r="Y16" s="20"/>
      <c r="Z16" s="20"/>
      <c r="AA16" s="21"/>
      <c r="AB16" s="8">
        <f t="shared" si="4"/>
        <v>0.99966442953020129</v>
      </c>
      <c r="AC16" s="9">
        <f t="shared" si="5"/>
        <v>0.79166666666666663</v>
      </c>
      <c r="AD16" s="10">
        <f t="shared" si="6"/>
        <v>0.79140100671140934</v>
      </c>
      <c r="AE16" s="39">
        <f t="shared" si="7"/>
        <v>0.47194770434853694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213</v>
      </c>
      <c r="D17" s="55" t="s">
        <v>205</v>
      </c>
      <c r="E17" s="56" t="s">
        <v>203</v>
      </c>
      <c r="F17" s="12">
        <v>8301</v>
      </c>
      <c r="G17" s="12">
        <v>1</v>
      </c>
      <c r="H17" s="13">
        <v>25</v>
      </c>
      <c r="I17" s="34">
        <v>150</v>
      </c>
      <c r="J17" s="5">
        <v>220</v>
      </c>
      <c r="K17" s="15">
        <f>L17+219</f>
        <v>219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0.47194770434853694</v>
      </c>
      <c r="AF17" s="94">
        <f t="shared" ref="AF17:AF18" si="9">A17</f>
        <v>12</v>
      </c>
    </row>
    <row r="18" spans="1:32" ht="27" customHeight="1">
      <c r="A18" s="110">
        <v>13</v>
      </c>
      <c r="B18" s="11" t="s">
        <v>57</v>
      </c>
      <c r="C18" s="37" t="s">
        <v>122</v>
      </c>
      <c r="D18" s="55" t="s">
        <v>128</v>
      </c>
      <c r="E18" s="57" t="s">
        <v>177</v>
      </c>
      <c r="F18" s="33" t="s">
        <v>143</v>
      </c>
      <c r="G18" s="36">
        <v>1</v>
      </c>
      <c r="H18" s="38">
        <v>25</v>
      </c>
      <c r="I18" s="7">
        <v>10000</v>
      </c>
      <c r="J18" s="5">
        <v>1320</v>
      </c>
      <c r="K18" s="15">
        <f>L18+1923+3338+1318</f>
        <v>6579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0.47194770434853694</v>
      </c>
      <c r="AF18" s="94">
        <f t="shared" si="9"/>
        <v>13</v>
      </c>
    </row>
    <row r="19" spans="1:32" ht="27" customHeight="1">
      <c r="A19" s="110">
        <v>14</v>
      </c>
      <c r="B19" s="11" t="s">
        <v>57</v>
      </c>
      <c r="C19" s="11" t="s">
        <v>146</v>
      </c>
      <c r="D19" s="55" t="s">
        <v>169</v>
      </c>
      <c r="E19" s="57" t="s">
        <v>168</v>
      </c>
      <c r="F19" s="12" t="s">
        <v>138</v>
      </c>
      <c r="G19" s="12" t="s">
        <v>170</v>
      </c>
      <c r="H19" s="13">
        <v>25</v>
      </c>
      <c r="I19" s="7">
        <v>130000</v>
      </c>
      <c r="J19" s="14">
        <v>6330</v>
      </c>
      <c r="K19" s="15">
        <f>L19+3258+4398+5144+3460</f>
        <v>22583</v>
      </c>
      <c r="L19" s="15">
        <f>3677+2646</f>
        <v>6323</v>
      </c>
      <c r="M19" s="16">
        <f t="shared" si="0"/>
        <v>6323</v>
      </c>
      <c r="N19" s="16">
        <v>0</v>
      </c>
      <c r="O19" s="62">
        <f t="shared" si="1"/>
        <v>0</v>
      </c>
      <c r="P19" s="42">
        <f t="shared" si="2"/>
        <v>21</v>
      </c>
      <c r="Q19" s="43">
        <f t="shared" si="3"/>
        <v>3</v>
      </c>
      <c r="R19" s="7"/>
      <c r="S19" s="6">
        <v>3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0.99889415481832544</v>
      </c>
      <c r="AC19" s="9">
        <f t="shared" si="5"/>
        <v>0.875</v>
      </c>
      <c r="AD19" s="10">
        <f t="shared" si="6"/>
        <v>0.87403238546603479</v>
      </c>
      <c r="AE19" s="39">
        <f t="shared" si="7"/>
        <v>0.47194770434853694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124</v>
      </c>
      <c r="D20" s="55"/>
      <c r="E20" s="56" t="s">
        <v>274</v>
      </c>
      <c r="F20" s="12" t="s">
        <v>125</v>
      </c>
      <c r="G20" s="12">
        <v>4</v>
      </c>
      <c r="H20" s="38">
        <v>20</v>
      </c>
      <c r="I20" s="7">
        <v>800000</v>
      </c>
      <c r="J20" s="14">
        <v>42980</v>
      </c>
      <c r="K20" s="15">
        <f>L20+29128</f>
        <v>72100</v>
      </c>
      <c r="L20" s="15">
        <f>5612*4+5131*4</f>
        <v>42972</v>
      </c>
      <c r="M20" s="16">
        <f t="shared" si="0"/>
        <v>42972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0.99981386691484408</v>
      </c>
      <c r="AC20" s="9">
        <f t="shared" si="5"/>
        <v>1</v>
      </c>
      <c r="AD20" s="10">
        <f t="shared" si="6"/>
        <v>0.99981386691484408</v>
      </c>
      <c r="AE20" s="39">
        <f t="shared" si="7"/>
        <v>0.47194770434853694</v>
      </c>
      <c r="AF20" s="94">
        <f t="shared" si="8"/>
        <v>15</v>
      </c>
    </row>
    <row r="21" spans="1:32" ht="31.5" customHeight="1" thickBot="1">
      <c r="A21" s="369" t="s">
        <v>34</v>
      </c>
      <c r="B21" s="370"/>
      <c r="C21" s="370"/>
      <c r="D21" s="370"/>
      <c r="E21" s="370"/>
      <c r="F21" s="370"/>
      <c r="G21" s="370"/>
      <c r="H21" s="371"/>
      <c r="I21" s="25">
        <f t="shared" ref="I21:N21" si="10">SUM(I6:I20)</f>
        <v>1137350</v>
      </c>
      <c r="J21" s="22">
        <f t="shared" si="10"/>
        <v>107042</v>
      </c>
      <c r="K21" s="23">
        <f t="shared" si="10"/>
        <v>189413</v>
      </c>
      <c r="L21" s="24">
        <f t="shared" si="10"/>
        <v>98844</v>
      </c>
      <c r="M21" s="23">
        <f t="shared" si="10"/>
        <v>98844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170</v>
      </c>
      <c r="Q21" s="46">
        <f t="shared" si="11"/>
        <v>190</v>
      </c>
      <c r="R21" s="26">
        <f t="shared" si="11"/>
        <v>0</v>
      </c>
      <c r="S21" s="27">
        <f t="shared" si="11"/>
        <v>31</v>
      </c>
      <c r="T21" s="27">
        <f t="shared" si="11"/>
        <v>2</v>
      </c>
      <c r="U21" s="27">
        <f t="shared" si="11"/>
        <v>0</v>
      </c>
      <c r="V21" s="28">
        <f t="shared" si="11"/>
        <v>18</v>
      </c>
      <c r="W21" s="29">
        <f t="shared" si="11"/>
        <v>139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0.66601040595689531</v>
      </c>
      <c r="AC21" s="4">
        <f>SUM(AC6:AC20)/15</f>
        <v>0.47222222222222227</v>
      </c>
      <c r="AD21" s="4">
        <f>SUM(AD6:AD20)/15</f>
        <v>0.47194770434853694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2" t="s">
        <v>45</v>
      </c>
      <c r="B48" s="372"/>
      <c r="C48" s="372"/>
      <c r="D48" s="372"/>
      <c r="E48" s="37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3" t="s">
        <v>319</v>
      </c>
      <c r="B49" s="374"/>
      <c r="C49" s="374"/>
      <c r="D49" s="374"/>
      <c r="E49" s="374"/>
      <c r="F49" s="374"/>
      <c r="G49" s="374"/>
      <c r="H49" s="374"/>
      <c r="I49" s="374"/>
      <c r="J49" s="374"/>
      <c r="K49" s="374"/>
      <c r="L49" s="374"/>
      <c r="M49" s="375"/>
      <c r="N49" s="376" t="s">
        <v>337</v>
      </c>
      <c r="O49" s="377"/>
      <c r="P49" s="377"/>
      <c r="Q49" s="377"/>
      <c r="R49" s="377"/>
      <c r="S49" s="377"/>
      <c r="T49" s="377"/>
      <c r="U49" s="377"/>
      <c r="V49" s="377"/>
      <c r="W49" s="377"/>
      <c r="X49" s="377"/>
      <c r="Y49" s="377"/>
      <c r="Z49" s="377"/>
      <c r="AA49" s="377"/>
      <c r="AB49" s="377"/>
      <c r="AC49" s="377"/>
      <c r="AD49" s="378"/>
    </row>
    <row r="50" spans="1:32" ht="27" customHeight="1">
      <c r="A50" s="379" t="s">
        <v>2</v>
      </c>
      <c r="B50" s="380"/>
      <c r="C50" s="172" t="s">
        <v>46</v>
      </c>
      <c r="D50" s="172" t="s">
        <v>47</v>
      </c>
      <c r="E50" s="172" t="s">
        <v>108</v>
      </c>
      <c r="F50" s="380" t="s">
        <v>107</v>
      </c>
      <c r="G50" s="380"/>
      <c r="H50" s="380"/>
      <c r="I50" s="380"/>
      <c r="J50" s="380"/>
      <c r="K50" s="380"/>
      <c r="L50" s="380"/>
      <c r="M50" s="381"/>
      <c r="N50" s="73" t="s">
        <v>112</v>
      </c>
      <c r="O50" s="172" t="s">
        <v>46</v>
      </c>
      <c r="P50" s="382" t="s">
        <v>47</v>
      </c>
      <c r="Q50" s="383"/>
      <c r="R50" s="382" t="s">
        <v>38</v>
      </c>
      <c r="S50" s="384"/>
      <c r="T50" s="384"/>
      <c r="U50" s="383"/>
      <c r="V50" s="382" t="s">
        <v>48</v>
      </c>
      <c r="W50" s="384"/>
      <c r="X50" s="384"/>
      <c r="Y50" s="384"/>
      <c r="Z50" s="384"/>
      <c r="AA50" s="384"/>
      <c r="AB50" s="384"/>
      <c r="AC50" s="384"/>
      <c r="AD50" s="385"/>
    </row>
    <row r="51" spans="1:32" ht="27" customHeight="1">
      <c r="A51" s="396" t="s">
        <v>157</v>
      </c>
      <c r="B51" s="397"/>
      <c r="C51" s="171" t="s">
        <v>131</v>
      </c>
      <c r="D51" s="168" t="s">
        <v>169</v>
      </c>
      <c r="E51" s="171" t="s">
        <v>235</v>
      </c>
      <c r="F51" s="398" t="s">
        <v>320</v>
      </c>
      <c r="G51" s="398"/>
      <c r="H51" s="398"/>
      <c r="I51" s="398"/>
      <c r="J51" s="398"/>
      <c r="K51" s="398"/>
      <c r="L51" s="398"/>
      <c r="M51" s="399"/>
      <c r="N51" s="167" t="s">
        <v>290</v>
      </c>
      <c r="O51" s="74" t="s">
        <v>338</v>
      </c>
      <c r="P51" s="400" t="s">
        <v>339</v>
      </c>
      <c r="Q51" s="401"/>
      <c r="R51" s="402" t="s">
        <v>340</v>
      </c>
      <c r="S51" s="402"/>
      <c r="T51" s="402"/>
      <c r="U51" s="402"/>
      <c r="V51" s="398" t="s">
        <v>341</v>
      </c>
      <c r="W51" s="398"/>
      <c r="X51" s="398"/>
      <c r="Y51" s="398"/>
      <c r="Z51" s="398"/>
      <c r="AA51" s="398"/>
      <c r="AB51" s="398"/>
      <c r="AC51" s="398"/>
      <c r="AD51" s="399"/>
    </row>
    <row r="52" spans="1:32" ht="27" customHeight="1">
      <c r="A52" s="396" t="s">
        <v>277</v>
      </c>
      <c r="B52" s="397"/>
      <c r="C52" s="171" t="s">
        <v>278</v>
      </c>
      <c r="D52" s="168" t="s">
        <v>279</v>
      </c>
      <c r="E52" s="171" t="s">
        <v>315</v>
      </c>
      <c r="F52" s="398" t="s">
        <v>280</v>
      </c>
      <c r="G52" s="398"/>
      <c r="H52" s="398"/>
      <c r="I52" s="398"/>
      <c r="J52" s="398"/>
      <c r="K52" s="398"/>
      <c r="L52" s="398"/>
      <c r="M52" s="399"/>
      <c r="N52" s="167" t="s">
        <v>122</v>
      </c>
      <c r="O52" s="74" t="s">
        <v>126</v>
      </c>
      <c r="P52" s="400" t="s">
        <v>133</v>
      </c>
      <c r="Q52" s="401"/>
      <c r="R52" s="402" t="s">
        <v>293</v>
      </c>
      <c r="S52" s="402"/>
      <c r="T52" s="402"/>
      <c r="U52" s="402"/>
      <c r="V52" s="398" t="s">
        <v>342</v>
      </c>
      <c r="W52" s="398"/>
      <c r="X52" s="398"/>
      <c r="Y52" s="398"/>
      <c r="Z52" s="398"/>
      <c r="AA52" s="398"/>
      <c r="AB52" s="398"/>
      <c r="AC52" s="398"/>
      <c r="AD52" s="399"/>
    </row>
    <row r="53" spans="1:32" ht="27" customHeight="1">
      <c r="A53" s="396" t="s">
        <v>321</v>
      </c>
      <c r="B53" s="397"/>
      <c r="C53" s="171" t="s">
        <v>322</v>
      </c>
      <c r="D53" s="168" t="s">
        <v>323</v>
      </c>
      <c r="E53" s="171" t="s">
        <v>324</v>
      </c>
      <c r="F53" s="398" t="s">
        <v>190</v>
      </c>
      <c r="G53" s="398"/>
      <c r="H53" s="398"/>
      <c r="I53" s="398"/>
      <c r="J53" s="398"/>
      <c r="K53" s="398"/>
      <c r="L53" s="398"/>
      <c r="M53" s="399"/>
      <c r="N53" s="167" t="s">
        <v>330</v>
      </c>
      <c r="O53" s="74" t="s">
        <v>344</v>
      </c>
      <c r="P53" s="402" t="s">
        <v>345</v>
      </c>
      <c r="Q53" s="402"/>
      <c r="R53" s="402" t="s">
        <v>343</v>
      </c>
      <c r="S53" s="402"/>
      <c r="T53" s="402"/>
      <c r="U53" s="402"/>
      <c r="V53" s="398" t="s">
        <v>346</v>
      </c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 t="s">
        <v>321</v>
      </c>
      <c r="B54" s="397"/>
      <c r="C54" s="171" t="s">
        <v>325</v>
      </c>
      <c r="D54" s="168" t="s">
        <v>326</v>
      </c>
      <c r="E54" s="171" t="s">
        <v>316</v>
      </c>
      <c r="F54" s="398" t="s">
        <v>327</v>
      </c>
      <c r="G54" s="398"/>
      <c r="H54" s="398"/>
      <c r="I54" s="398"/>
      <c r="J54" s="398"/>
      <c r="K54" s="398"/>
      <c r="L54" s="398"/>
      <c r="M54" s="399"/>
      <c r="N54" s="167"/>
      <c r="O54" s="74"/>
      <c r="P54" s="400"/>
      <c r="Q54" s="401"/>
      <c r="R54" s="402"/>
      <c r="S54" s="402"/>
      <c r="T54" s="402"/>
      <c r="U54" s="402"/>
      <c r="V54" s="398"/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 t="s">
        <v>313</v>
      </c>
      <c r="B55" s="397"/>
      <c r="C55" s="171" t="s">
        <v>328</v>
      </c>
      <c r="D55" s="168" t="s">
        <v>329</v>
      </c>
      <c r="E55" s="171" t="s">
        <v>318</v>
      </c>
      <c r="F55" s="398" t="s">
        <v>190</v>
      </c>
      <c r="G55" s="398"/>
      <c r="H55" s="398"/>
      <c r="I55" s="398"/>
      <c r="J55" s="398"/>
      <c r="K55" s="398"/>
      <c r="L55" s="398"/>
      <c r="M55" s="399"/>
      <c r="N55" s="167"/>
      <c r="O55" s="74"/>
      <c r="P55" s="400"/>
      <c r="Q55" s="401"/>
      <c r="R55" s="402"/>
      <c r="S55" s="402"/>
      <c r="T55" s="402"/>
      <c r="U55" s="402"/>
      <c r="V55" s="398"/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 t="s">
        <v>330</v>
      </c>
      <c r="B56" s="397"/>
      <c r="C56" s="171" t="s">
        <v>331</v>
      </c>
      <c r="D56" s="168" t="s">
        <v>326</v>
      </c>
      <c r="E56" s="171" t="s">
        <v>332</v>
      </c>
      <c r="F56" s="398" t="s">
        <v>333</v>
      </c>
      <c r="G56" s="398"/>
      <c r="H56" s="398"/>
      <c r="I56" s="398"/>
      <c r="J56" s="398"/>
      <c r="K56" s="398"/>
      <c r="L56" s="398"/>
      <c r="M56" s="399"/>
      <c r="N56" s="167"/>
      <c r="O56" s="74"/>
      <c r="P56" s="402"/>
      <c r="Q56" s="402"/>
      <c r="R56" s="402"/>
      <c r="S56" s="402"/>
      <c r="T56" s="402"/>
      <c r="U56" s="402"/>
      <c r="V56" s="398"/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 t="s">
        <v>334</v>
      </c>
      <c r="B57" s="397"/>
      <c r="C57" s="171" t="s">
        <v>192</v>
      </c>
      <c r="D57" s="168"/>
      <c r="E57" s="171" t="s">
        <v>335</v>
      </c>
      <c r="F57" s="398" t="s">
        <v>336</v>
      </c>
      <c r="G57" s="398"/>
      <c r="H57" s="398"/>
      <c r="I57" s="398"/>
      <c r="J57" s="398"/>
      <c r="K57" s="398"/>
      <c r="L57" s="398"/>
      <c r="M57" s="399"/>
      <c r="N57" s="167"/>
      <c r="O57" s="74"/>
      <c r="P57" s="400"/>
      <c r="Q57" s="401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/>
      <c r="B58" s="397"/>
      <c r="C58" s="171"/>
      <c r="D58" s="168"/>
      <c r="E58" s="171"/>
      <c r="F58" s="398"/>
      <c r="G58" s="398"/>
      <c r="H58" s="398"/>
      <c r="I58" s="398"/>
      <c r="J58" s="398"/>
      <c r="K58" s="398"/>
      <c r="L58" s="398"/>
      <c r="M58" s="399"/>
      <c r="N58" s="167"/>
      <c r="O58" s="74"/>
      <c r="P58" s="400"/>
      <c r="Q58" s="401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412"/>
      <c r="B59" s="402"/>
      <c r="C59" s="168"/>
      <c r="D59" s="168"/>
      <c r="E59" s="168"/>
      <c r="F59" s="398"/>
      <c r="G59" s="398"/>
      <c r="H59" s="398"/>
      <c r="I59" s="398"/>
      <c r="J59" s="398"/>
      <c r="K59" s="398"/>
      <c r="L59" s="398"/>
      <c r="M59" s="399"/>
      <c r="N59" s="167"/>
      <c r="O59" s="74"/>
      <c r="P59" s="402"/>
      <c r="Q59" s="402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  <c r="AF59" s="94">
        <f>8*3000</f>
        <v>24000</v>
      </c>
    </row>
    <row r="60" spans="1:32" ht="27" customHeight="1" thickBot="1">
      <c r="A60" s="403"/>
      <c r="B60" s="404"/>
      <c r="C60" s="170"/>
      <c r="D60" s="170"/>
      <c r="E60" s="170"/>
      <c r="F60" s="405"/>
      <c r="G60" s="405"/>
      <c r="H60" s="405"/>
      <c r="I60" s="405"/>
      <c r="J60" s="405"/>
      <c r="K60" s="405"/>
      <c r="L60" s="405"/>
      <c r="M60" s="406"/>
      <c r="N60" s="169"/>
      <c r="O60" s="121"/>
      <c r="P60" s="404"/>
      <c r="Q60" s="404"/>
      <c r="R60" s="404"/>
      <c r="S60" s="404"/>
      <c r="T60" s="404"/>
      <c r="U60" s="404"/>
      <c r="V60" s="405"/>
      <c r="W60" s="405"/>
      <c r="X60" s="405"/>
      <c r="Y60" s="405"/>
      <c r="Z60" s="405"/>
      <c r="AA60" s="405"/>
      <c r="AB60" s="405"/>
      <c r="AC60" s="405"/>
      <c r="AD60" s="406"/>
      <c r="AF60" s="94">
        <f>16*3000</f>
        <v>48000</v>
      </c>
    </row>
    <row r="61" spans="1:32" ht="27.75" thickBot="1">
      <c r="A61" s="407" t="s">
        <v>347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166" t="s">
        <v>2</v>
      </c>
      <c r="D62" s="166" t="s">
        <v>37</v>
      </c>
      <c r="E62" s="166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166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3"/>
      <c r="T62" s="413"/>
      <c r="U62" s="413"/>
      <c r="V62" s="413"/>
      <c r="W62" s="413"/>
      <c r="X62" s="413"/>
      <c r="Y62" s="413"/>
      <c r="Z62" s="413"/>
      <c r="AA62" s="411"/>
      <c r="AB62" s="409" t="s">
        <v>44</v>
      </c>
      <c r="AC62" s="409"/>
      <c r="AD62" s="414"/>
      <c r="AF62" s="94">
        <f>SUM(AF59:AF61)</f>
        <v>96000</v>
      </c>
    </row>
    <row r="63" spans="1:32" ht="25.5" customHeight="1">
      <c r="A63" s="415">
        <v>1</v>
      </c>
      <c r="B63" s="416"/>
      <c r="C63" s="124" t="s">
        <v>298</v>
      </c>
      <c r="D63" s="162"/>
      <c r="E63" s="165" t="s">
        <v>348</v>
      </c>
      <c r="F63" s="417" t="s">
        <v>349</v>
      </c>
      <c r="G63" s="418"/>
      <c r="H63" s="418"/>
      <c r="I63" s="418"/>
      <c r="J63" s="418"/>
      <c r="K63" s="418" t="s">
        <v>350</v>
      </c>
      <c r="L63" s="418"/>
      <c r="M63" s="54" t="s">
        <v>351</v>
      </c>
      <c r="N63" s="418">
        <v>5</v>
      </c>
      <c r="O63" s="418"/>
      <c r="P63" s="419">
        <v>20</v>
      </c>
      <c r="Q63" s="419"/>
      <c r="R63" s="398" t="s">
        <v>352</v>
      </c>
      <c r="S63" s="398"/>
      <c r="T63" s="398"/>
      <c r="U63" s="398"/>
      <c r="V63" s="398"/>
      <c r="W63" s="398"/>
      <c r="X63" s="398"/>
      <c r="Y63" s="398"/>
      <c r="Z63" s="398"/>
      <c r="AA63" s="398"/>
      <c r="AB63" s="418"/>
      <c r="AC63" s="418"/>
      <c r="AD63" s="420"/>
      <c r="AF63" s="53"/>
    </row>
    <row r="64" spans="1:32" ht="25.5" customHeight="1">
      <c r="A64" s="415">
        <v>2</v>
      </c>
      <c r="B64" s="416"/>
      <c r="C64" s="124"/>
      <c r="D64" s="162"/>
      <c r="E64" s="165"/>
      <c r="F64" s="417"/>
      <c r="G64" s="418"/>
      <c r="H64" s="418"/>
      <c r="I64" s="418"/>
      <c r="J64" s="418"/>
      <c r="K64" s="418"/>
      <c r="L64" s="418"/>
      <c r="M64" s="54"/>
      <c r="N64" s="418"/>
      <c r="O64" s="418"/>
      <c r="P64" s="419"/>
      <c r="Q64" s="419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418"/>
      <c r="AC64" s="418"/>
      <c r="AD64" s="420"/>
      <c r="AF64" s="53"/>
    </row>
    <row r="65" spans="1:32" ht="25.5" customHeight="1">
      <c r="A65" s="415">
        <v>3</v>
      </c>
      <c r="B65" s="416"/>
      <c r="C65" s="124"/>
      <c r="D65" s="162"/>
      <c r="E65" s="165"/>
      <c r="F65" s="417"/>
      <c r="G65" s="418"/>
      <c r="H65" s="418"/>
      <c r="I65" s="418"/>
      <c r="J65" s="418"/>
      <c r="K65" s="418"/>
      <c r="L65" s="418"/>
      <c r="M65" s="54"/>
      <c r="N65" s="418"/>
      <c r="O65" s="418"/>
      <c r="P65" s="419"/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4</v>
      </c>
      <c r="B66" s="416"/>
      <c r="C66" s="124"/>
      <c r="D66" s="162"/>
      <c r="E66" s="165"/>
      <c r="F66" s="417"/>
      <c r="G66" s="418"/>
      <c r="H66" s="418"/>
      <c r="I66" s="418"/>
      <c r="J66" s="418"/>
      <c r="K66" s="418"/>
      <c r="L66" s="418"/>
      <c r="M66" s="54"/>
      <c r="N66" s="418"/>
      <c r="O66" s="418"/>
      <c r="P66" s="419"/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5</v>
      </c>
      <c r="B67" s="416"/>
      <c r="C67" s="124"/>
      <c r="D67" s="162"/>
      <c r="E67" s="165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6</v>
      </c>
      <c r="B68" s="416"/>
      <c r="C68" s="124"/>
      <c r="D68" s="162"/>
      <c r="E68" s="165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7</v>
      </c>
      <c r="B69" s="416"/>
      <c r="C69" s="124"/>
      <c r="D69" s="162"/>
      <c r="E69" s="165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8</v>
      </c>
      <c r="B70" s="416"/>
      <c r="C70" s="124"/>
      <c r="D70" s="162"/>
      <c r="E70" s="165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6.25" customHeight="1" thickBot="1">
      <c r="A71" s="421" t="s">
        <v>353</v>
      </c>
      <c r="B71" s="421"/>
      <c r="C71" s="421"/>
      <c r="D71" s="421"/>
      <c r="E71" s="42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2" t="s">
        <v>113</v>
      </c>
      <c r="B72" s="423"/>
      <c r="C72" s="164" t="s">
        <v>2</v>
      </c>
      <c r="D72" s="164" t="s">
        <v>37</v>
      </c>
      <c r="E72" s="164" t="s">
        <v>3</v>
      </c>
      <c r="F72" s="423" t="s">
        <v>38</v>
      </c>
      <c r="G72" s="423"/>
      <c r="H72" s="423"/>
      <c r="I72" s="423"/>
      <c r="J72" s="423"/>
      <c r="K72" s="424" t="s">
        <v>58</v>
      </c>
      <c r="L72" s="425"/>
      <c r="M72" s="425"/>
      <c r="N72" s="425"/>
      <c r="O72" s="425"/>
      <c r="P72" s="425"/>
      <c r="Q72" s="425"/>
      <c r="R72" s="425"/>
      <c r="S72" s="426"/>
      <c r="T72" s="423" t="s">
        <v>49</v>
      </c>
      <c r="U72" s="423"/>
      <c r="V72" s="424" t="s">
        <v>50</v>
      </c>
      <c r="W72" s="426"/>
      <c r="X72" s="425" t="s">
        <v>51</v>
      </c>
      <c r="Y72" s="425"/>
      <c r="Z72" s="425"/>
      <c r="AA72" s="425"/>
      <c r="AB72" s="425"/>
      <c r="AC72" s="425"/>
      <c r="AD72" s="427"/>
      <c r="AF72" s="53"/>
    </row>
    <row r="73" spans="1:32" ht="33.75" customHeight="1">
      <c r="A73" s="436">
        <v>1</v>
      </c>
      <c r="B73" s="437"/>
      <c r="C73" s="163" t="s">
        <v>114</v>
      </c>
      <c r="D73" s="163"/>
      <c r="E73" s="71" t="s">
        <v>119</v>
      </c>
      <c r="F73" s="438" t="s">
        <v>120</v>
      </c>
      <c r="G73" s="439"/>
      <c r="H73" s="439"/>
      <c r="I73" s="439"/>
      <c r="J73" s="440"/>
      <c r="K73" s="441" t="s">
        <v>115</v>
      </c>
      <c r="L73" s="442"/>
      <c r="M73" s="442"/>
      <c r="N73" s="442"/>
      <c r="O73" s="442"/>
      <c r="P73" s="442"/>
      <c r="Q73" s="442"/>
      <c r="R73" s="442"/>
      <c r="S73" s="443"/>
      <c r="T73" s="444">
        <v>42901</v>
      </c>
      <c r="U73" s="445"/>
      <c r="V73" s="446"/>
      <c r="W73" s="446"/>
      <c r="X73" s="447"/>
      <c r="Y73" s="447"/>
      <c r="Z73" s="447"/>
      <c r="AA73" s="447"/>
      <c r="AB73" s="447"/>
      <c r="AC73" s="447"/>
      <c r="AD73" s="448"/>
      <c r="AF73" s="53"/>
    </row>
    <row r="74" spans="1:32" ht="30" customHeight="1">
      <c r="A74" s="428">
        <f>A73+1</f>
        <v>2</v>
      </c>
      <c r="B74" s="429"/>
      <c r="C74" s="162" t="s">
        <v>114</v>
      </c>
      <c r="D74" s="162"/>
      <c r="E74" s="35" t="s">
        <v>116</v>
      </c>
      <c r="F74" s="429" t="s">
        <v>117</v>
      </c>
      <c r="G74" s="429"/>
      <c r="H74" s="429"/>
      <c r="I74" s="429"/>
      <c r="J74" s="429"/>
      <c r="K74" s="430" t="s">
        <v>118</v>
      </c>
      <c r="L74" s="431"/>
      <c r="M74" s="431"/>
      <c r="N74" s="431"/>
      <c r="O74" s="431"/>
      <c r="P74" s="431"/>
      <c r="Q74" s="431"/>
      <c r="R74" s="431"/>
      <c r="S74" s="432"/>
      <c r="T74" s="433">
        <v>42867</v>
      </c>
      <c r="U74" s="433"/>
      <c r="V74" s="433"/>
      <c r="W74" s="433"/>
      <c r="X74" s="434"/>
      <c r="Y74" s="434"/>
      <c r="Z74" s="434"/>
      <c r="AA74" s="434"/>
      <c r="AB74" s="434"/>
      <c r="AC74" s="434"/>
      <c r="AD74" s="435"/>
      <c r="AF74" s="53"/>
    </row>
    <row r="75" spans="1:32" ht="30" customHeight="1">
      <c r="A75" s="428">
        <f t="shared" ref="A75:A81" si="12">A74+1</f>
        <v>3</v>
      </c>
      <c r="B75" s="429"/>
      <c r="C75" s="162"/>
      <c r="D75" s="162"/>
      <c r="E75" s="35"/>
      <c r="F75" s="429"/>
      <c r="G75" s="429"/>
      <c r="H75" s="429"/>
      <c r="I75" s="429"/>
      <c r="J75" s="429"/>
      <c r="K75" s="430"/>
      <c r="L75" s="431"/>
      <c r="M75" s="431"/>
      <c r="N75" s="431"/>
      <c r="O75" s="431"/>
      <c r="P75" s="431"/>
      <c r="Q75" s="431"/>
      <c r="R75" s="431"/>
      <c r="S75" s="432"/>
      <c r="T75" s="433"/>
      <c r="U75" s="433"/>
      <c r="V75" s="433"/>
      <c r="W75" s="433"/>
      <c r="X75" s="434"/>
      <c r="Y75" s="434"/>
      <c r="Z75" s="434"/>
      <c r="AA75" s="434"/>
      <c r="AB75" s="434"/>
      <c r="AC75" s="434"/>
      <c r="AD75" s="435"/>
      <c r="AF75" s="53"/>
    </row>
    <row r="76" spans="1:32" ht="30" customHeight="1">
      <c r="A76" s="428">
        <f t="shared" si="12"/>
        <v>4</v>
      </c>
      <c r="B76" s="429"/>
      <c r="C76" s="162"/>
      <c r="D76" s="162"/>
      <c r="E76" s="35"/>
      <c r="F76" s="429"/>
      <c r="G76" s="429"/>
      <c r="H76" s="429"/>
      <c r="I76" s="429"/>
      <c r="J76" s="429"/>
      <c r="K76" s="430"/>
      <c r="L76" s="431"/>
      <c r="M76" s="431"/>
      <c r="N76" s="431"/>
      <c r="O76" s="431"/>
      <c r="P76" s="431"/>
      <c r="Q76" s="431"/>
      <c r="R76" s="431"/>
      <c r="S76" s="432"/>
      <c r="T76" s="433"/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si="12"/>
        <v>5</v>
      </c>
      <c r="B77" s="429"/>
      <c r="C77" s="162"/>
      <c r="D77" s="162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12"/>
        <v>6</v>
      </c>
      <c r="B78" s="429"/>
      <c r="C78" s="162"/>
      <c r="D78" s="162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12"/>
        <v>7</v>
      </c>
      <c r="B79" s="429"/>
      <c r="C79" s="162"/>
      <c r="D79" s="162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12"/>
        <v>8</v>
      </c>
      <c r="B80" s="429"/>
      <c r="C80" s="162"/>
      <c r="D80" s="162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12"/>
        <v>9</v>
      </c>
      <c r="B81" s="429"/>
      <c r="C81" s="162"/>
      <c r="D81" s="162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6" thickBot="1">
      <c r="A82" s="421" t="s">
        <v>354</v>
      </c>
      <c r="B82" s="421"/>
      <c r="C82" s="421"/>
      <c r="D82" s="421"/>
      <c r="E82" s="42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2" t="s">
        <v>113</v>
      </c>
      <c r="B83" s="423"/>
      <c r="C83" s="449" t="s">
        <v>52</v>
      </c>
      <c r="D83" s="449"/>
      <c r="E83" s="449" t="s">
        <v>53</v>
      </c>
      <c r="F83" s="449"/>
      <c r="G83" s="449"/>
      <c r="H83" s="449"/>
      <c r="I83" s="449"/>
      <c r="J83" s="449"/>
      <c r="K83" s="449" t="s">
        <v>54</v>
      </c>
      <c r="L83" s="449"/>
      <c r="M83" s="449"/>
      <c r="N83" s="449"/>
      <c r="O83" s="449"/>
      <c r="P83" s="449"/>
      <c r="Q83" s="449"/>
      <c r="R83" s="449"/>
      <c r="S83" s="449"/>
      <c r="T83" s="449" t="s">
        <v>55</v>
      </c>
      <c r="U83" s="449"/>
      <c r="V83" s="449" t="s">
        <v>56</v>
      </c>
      <c r="W83" s="449"/>
      <c r="X83" s="449"/>
      <c r="Y83" s="449" t="s">
        <v>51</v>
      </c>
      <c r="Z83" s="449"/>
      <c r="AA83" s="449"/>
      <c r="AB83" s="449"/>
      <c r="AC83" s="449"/>
      <c r="AD83" s="450"/>
      <c r="AF83" s="53"/>
    </row>
    <row r="84" spans="1:32" ht="30.75" customHeight="1">
      <c r="A84" s="436">
        <v>1</v>
      </c>
      <c r="B84" s="437"/>
      <c r="C84" s="451"/>
      <c r="D84" s="451"/>
      <c r="E84" s="451"/>
      <c r="F84" s="451"/>
      <c r="G84" s="451"/>
      <c r="H84" s="451"/>
      <c r="I84" s="451"/>
      <c r="J84" s="451"/>
      <c r="K84" s="451"/>
      <c r="L84" s="451"/>
      <c r="M84" s="451"/>
      <c r="N84" s="451"/>
      <c r="O84" s="451"/>
      <c r="P84" s="451"/>
      <c r="Q84" s="451"/>
      <c r="R84" s="451"/>
      <c r="S84" s="451"/>
      <c r="T84" s="451"/>
      <c r="U84" s="451"/>
      <c r="V84" s="452"/>
      <c r="W84" s="452"/>
      <c r="X84" s="452"/>
      <c r="Y84" s="453"/>
      <c r="Z84" s="453"/>
      <c r="AA84" s="453"/>
      <c r="AB84" s="453"/>
      <c r="AC84" s="453"/>
      <c r="AD84" s="454"/>
      <c r="AF84" s="53"/>
    </row>
    <row r="85" spans="1:32" ht="30.75" customHeight="1">
      <c r="A85" s="428">
        <v>2</v>
      </c>
      <c r="B85" s="429"/>
      <c r="C85" s="462"/>
      <c r="D85" s="462"/>
      <c r="E85" s="462"/>
      <c r="F85" s="462"/>
      <c r="G85" s="462"/>
      <c r="H85" s="462"/>
      <c r="I85" s="462"/>
      <c r="J85" s="462"/>
      <c r="K85" s="462"/>
      <c r="L85" s="462"/>
      <c r="M85" s="462"/>
      <c r="N85" s="462"/>
      <c r="O85" s="462"/>
      <c r="P85" s="462"/>
      <c r="Q85" s="462"/>
      <c r="R85" s="462"/>
      <c r="S85" s="462"/>
      <c r="T85" s="463"/>
      <c r="U85" s="463"/>
      <c r="V85" s="464"/>
      <c r="W85" s="464"/>
      <c r="X85" s="464"/>
      <c r="Y85" s="455"/>
      <c r="Z85" s="455"/>
      <c r="AA85" s="455"/>
      <c r="AB85" s="455"/>
      <c r="AC85" s="455"/>
      <c r="AD85" s="456"/>
      <c r="AF85" s="53"/>
    </row>
    <row r="86" spans="1:32" ht="30.75" customHeight="1" thickBot="1">
      <c r="A86" s="457">
        <v>3</v>
      </c>
      <c r="B86" s="458"/>
      <c r="C86" s="459"/>
      <c r="D86" s="459"/>
      <c r="E86" s="459"/>
      <c r="F86" s="459"/>
      <c r="G86" s="459"/>
      <c r="H86" s="459"/>
      <c r="I86" s="459"/>
      <c r="J86" s="459"/>
      <c r="K86" s="459"/>
      <c r="L86" s="459"/>
      <c r="M86" s="459"/>
      <c r="N86" s="459"/>
      <c r="O86" s="459"/>
      <c r="P86" s="459"/>
      <c r="Q86" s="459"/>
      <c r="R86" s="459"/>
      <c r="S86" s="459"/>
      <c r="T86" s="459"/>
      <c r="U86" s="459"/>
      <c r="V86" s="459"/>
      <c r="W86" s="459"/>
      <c r="X86" s="459"/>
      <c r="Y86" s="460"/>
      <c r="Z86" s="460"/>
      <c r="AA86" s="460"/>
      <c r="AB86" s="460"/>
      <c r="AC86" s="460"/>
      <c r="AD86" s="46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A52" sqref="A52:E5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55" t="s">
        <v>355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6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174" t="s">
        <v>17</v>
      </c>
      <c r="L5" s="174" t="s">
        <v>18</v>
      </c>
      <c r="M5" s="174" t="s">
        <v>19</v>
      </c>
      <c r="N5" s="17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6" ht="27" customHeight="1">
      <c r="A6" s="108">
        <v>1</v>
      </c>
      <c r="B6" s="11" t="s">
        <v>57</v>
      </c>
      <c r="C6" s="37" t="s">
        <v>148</v>
      </c>
      <c r="D6" s="55"/>
      <c r="E6" s="57" t="s">
        <v>150</v>
      </c>
      <c r="F6" s="33" t="s">
        <v>125</v>
      </c>
      <c r="G6" s="12">
        <v>1</v>
      </c>
      <c r="H6" s="13">
        <v>28</v>
      </c>
      <c r="I6" s="34">
        <v>10000</v>
      </c>
      <c r="J6" s="5">
        <v>2370</v>
      </c>
      <c r="K6" s="15">
        <f>L6+2004+3701+2366</f>
        <v>8071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0.57745831102279999</v>
      </c>
      <c r="AF6" s="94">
        <f t="shared" ref="AF6:AF21" si="8">A6</f>
        <v>1</v>
      </c>
    </row>
    <row r="7" spans="1:36" ht="27" customHeight="1">
      <c r="A7" s="108">
        <v>2</v>
      </c>
      <c r="B7" s="11" t="s">
        <v>57</v>
      </c>
      <c r="C7" s="37" t="s">
        <v>123</v>
      </c>
      <c r="D7" s="55" t="s">
        <v>156</v>
      </c>
      <c r="E7" s="57" t="s">
        <v>311</v>
      </c>
      <c r="F7" s="33" t="s">
        <v>312</v>
      </c>
      <c r="G7" s="12">
        <v>3</v>
      </c>
      <c r="H7" s="13">
        <v>25</v>
      </c>
      <c r="I7" s="34">
        <v>100000</v>
      </c>
      <c r="J7" s="5">
        <v>14490</v>
      </c>
      <c r="K7" s="15">
        <f>L7+11583</f>
        <v>26067</v>
      </c>
      <c r="L7" s="15">
        <f>2417*3+2411*3</f>
        <v>14484</v>
      </c>
      <c r="M7" s="16">
        <f t="shared" si="0"/>
        <v>14484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0.99958592132505175</v>
      </c>
      <c r="AC7" s="9">
        <f t="shared" si="5"/>
        <v>1</v>
      </c>
      <c r="AD7" s="10">
        <f t="shared" si="6"/>
        <v>0.99958592132505175</v>
      </c>
      <c r="AE7" s="39">
        <f t="shared" si="7"/>
        <v>0.57745831102279999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313</v>
      </c>
      <c r="D8" s="55" t="s">
        <v>127</v>
      </c>
      <c r="E8" s="57" t="s">
        <v>291</v>
      </c>
      <c r="F8" s="33" t="s">
        <v>263</v>
      </c>
      <c r="G8" s="12">
        <v>1</v>
      </c>
      <c r="H8" s="13">
        <v>25</v>
      </c>
      <c r="I8" s="34">
        <v>10000</v>
      </c>
      <c r="J8" s="5">
        <v>5370</v>
      </c>
      <c r="K8" s="15">
        <f>L8+4847</f>
        <v>10216</v>
      </c>
      <c r="L8" s="15">
        <f>2675+2694</f>
        <v>5369</v>
      </c>
      <c r="M8" s="16">
        <f t="shared" si="0"/>
        <v>5369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0.99981378026070766</v>
      </c>
      <c r="AC8" s="9">
        <f t="shared" si="5"/>
        <v>1</v>
      </c>
      <c r="AD8" s="10">
        <f t="shared" si="6"/>
        <v>0.99981378026070766</v>
      </c>
      <c r="AE8" s="39">
        <f t="shared" si="7"/>
        <v>0.57745831102279999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122</v>
      </c>
      <c r="D9" s="55" t="s">
        <v>264</v>
      </c>
      <c r="E9" s="57" t="s">
        <v>315</v>
      </c>
      <c r="F9" s="33" t="s">
        <v>143</v>
      </c>
      <c r="G9" s="36">
        <v>1</v>
      </c>
      <c r="H9" s="38">
        <v>25</v>
      </c>
      <c r="I9" s="7">
        <v>10000</v>
      </c>
      <c r="J9" s="5">
        <v>5050</v>
      </c>
      <c r="K9" s="15">
        <f>L9+4225</f>
        <v>9270</v>
      </c>
      <c r="L9" s="15">
        <f>2518+2527</f>
        <v>5045</v>
      </c>
      <c r="M9" s="16">
        <f t="shared" si="0"/>
        <v>5045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0.99900990099009901</v>
      </c>
      <c r="AC9" s="9">
        <f t="shared" si="5"/>
        <v>1</v>
      </c>
      <c r="AD9" s="10">
        <f t="shared" si="6"/>
        <v>0.99900990099009901</v>
      </c>
      <c r="AE9" s="39">
        <f t="shared" si="7"/>
        <v>0.57745831102279999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146</v>
      </c>
      <c r="D10" s="55" t="s">
        <v>356</v>
      </c>
      <c r="E10" s="57" t="s">
        <v>357</v>
      </c>
      <c r="F10" s="12" t="s">
        <v>358</v>
      </c>
      <c r="G10" s="12" t="s">
        <v>359</v>
      </c>
      <c r="H10" s="13">
        <v>20</v>
      </c>
      <c r="I10" s="34">
        <v>4000</v>
      </c>
      <c r="J10" s="14">
        <v>4731</v>
      </c>
      <c r="K10" s="15">
        <f>L10</f>
        <v>4731</v>
      </c>
      <c r="L10" s="15">
        <f>516+4215</f>
        <v>4731</v>
      </c>
      <c r="M10" s="16">
        <f t="shared" si="0"/>
        <v>4731</v>
      </c>
      <c r="N10" s="16">
        <v>0</v>
      </c>
      <c r="O10" s="62">
        <f t="shared" si="1"/>
        <v>0</v>
      </c>
      <c r="P10" s="42">
        <f t="shared" si="2"/>
        <v>17</v>
      </c>
      <c r="Q10" s="43">
        <f t="shared" si="3"/>
        <v>7</v>
      </c>
      <c r="R10" s="7"/>
      <c r="S10" s="6">
        <v>7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0.70833333333333337</v>
      </c>
      <c r="AD10" s="10">
        <f t="shared" si="6"/>
        <v>0.70833333333333337</v>
      </c>
      <c r="AE10" s="39">
        <f t="shared" si="7"/>
        <v>0.57745831102279999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146</v>
      </c>
      <c r="D11" s="55"/>
      <c r="E11" s="57" t="s">
        <v>178</v>
      </c>
      <c r="F11" s="12" t="s">
        <v>166</v>
      </c>
      <c r="G11" s="12">
        <v>1</v>
      </c>
      <c r="H11" s="13">
        <v>25</v>
      </c>
      <c r="I11" s="34">
        <v>9000</v>
      </c>
      <c r="J11" s="14">
        <v>1140</v>
      </c>
      <c r="K11" s="15">
        <f>L11+1140</f>
        <v>1140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>
        <v>24</v>
      </c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0.57745831102279999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213</v>
      </c>
      <c r="D12" s="55" t="s">
        <v>360</v>
      </c>
      <c r="E12" s="57" t="s">
        <v>361</v>
      </c>
      <c r="F12" s="12">
        <v>7301</v>
      </c>
      <c r="G12" s="12">
        <v>1</v>
      </c>
      <c r="H12" s="13">
        <v>25</v>
      </c>
      <c r="I12" s="7">
        <v>2000</v>
      </c>
      <c r="J12" s="14">
        <v>2360</v>
      </c>
      <c r="K12" s="15">
        <f>L12</f>
        <v>2355</v>
      </c>
      <c r="L12" s="15">
        <f>285+2070</f>
        <v>2355</v>
      </c>
      <c r="M12" s="16">
        <f t="shared" si="0"/>
        <v>2355</v>
      </c>
      <c r="N12" s="16">
        <v>0</v>
      </c>
      <c r="O12" s="62">
        <f t="shared" si="1"/>
        <v>0</v>
      </c>
      <c r="P12" s="42">
        <f t="shared" si="2"/>
        <v>13</v>
      </c>
      <c r="Q12" s="43">
        <f t="shared" si="3"/>
        <v>11</v>
      </c>
      <c r="R12" s="7"/>
      <c r="S12" s="6">
        <v>11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0.9978813559322034</v>
      </c>
      <c r="AC12" s="9">
        <f t="shared" si="5"/>
        <v>0.54166666666666663</v>
      </c>
      <c r="AD12" s="10">
        <f t="shared" si="6"/>
        <v>0.54051906779661019</v>
      </c>
      <c r="AE12" s="39">
        <f t="shared" si="7"/>
        <v>0.57745831102279999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313</v>
      </c>
      <c r="D13" s="55" t="s">
        <v>144</v>
      </c>
      <c r="E13" s="57" t="s">
        <v>293</v>
      </c>
      <c r="F13" s="12">
        <v>7301</v>
      </c>
      <c r="G13" s="12">
        <v>1</v>
      </c>
      <c r="H13" s="13">
        <v>25</v>
      </c>
      <c r="I13" s="7">
        <v>10000</v>
      </c>
      <c r="J13" s="14">
        <v>3060</v>
      </c>
      <c r="K13" s="15">
        <f>L13</f>
        <v>3056</v>
      </c>
      <c r="L13" s="15">
        <f>2706+350</f>
        <v>3056</v>
      </c>
      <c r="M13" s="16">
        <f t="shared" si="0"/>
        <v>3056</v>
      </c>
      <c r="N13" s="16">
        <v>0</v>
      </c>
      <c r="O13" s="62">
        <f t="shared" si="1"/>
        <v>0</v>
      </c>
      <c r="P13" s="42">
        <f t="shared" si="2"/>
        <v>17</v>
      </c>
      <c r="Q13" s="43">
        <f t="shared" si="3"/>
        <v>7</v>
      </c>
      <c r="R13" s="7"/>
      <c r="S13" s="6">
        <v>7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0.99869281045751634</v>
      </c>
      <c r="AC13" s="9">
        <f t="shared" si="5"/>
        <v>0.70833333333333337</v>
      </c>
      <c r="AD13" s="10">
        <f t="shared" si="6"/>
        <v>0.70740740740740748</v>
      </c>
      <c r="AE13" s="39">
        <f t="shared" si="7"/>
        <v>0.57745831102279999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128</v>
      </c>
      <c r="E14" s="57" t="s">
        <v>174</v>
      </c>
      <c r="F14" s="33" t="s">
        <v>181</v>
      </c>
      <c r="G14" s="36">
        <v>1</v>
      </c>
      <c r="H14" s="38">
        <v>25</v>
      </c>
      <c r="I14" s="7">
        <v>200</v>
      </c>
      <c r="J14" s="5">
        <v>206</v>
      </c>
      <c r="K14" s="15">
        <f>L14+190</f>
        <v>396</v>
      </c>
      <c r="L14" s="15">
        <v>206</v>
      </c>
      <c r="M14" s="16">
        <f t="shared" si="0"/>
        <v>206</v>
      </c>
      <c r="N14" s="16">
        <v>0</v>
      </c>
      <c r="O14" s="62">
        <f t="shared" si="1"/>
        <v>0</v>
      </c>
      <c r="P14" s="42">
        <f t="shared" si="2"/>
        <v>5</v>
      </c>
      <c r="Q14" s="43">
        <f t="shared" si="3"/>
        <v>19</v>
      </c>
      <c r="R14" s="7"/>
      <c r="S14" s="6"/>
      <c r="T14" s="17"/>
      <c r="U14" s="17"/>
      <c r="V14" s="18"/>
      <c r="W14" s="19">
        <v>19</v>
      </c>
      <c r="X14" s="17"/>
      <c r="Y14" s="20"/>
      <c r="Z14" s="20"/>
      <c r="AA14" s="21"/>
      <c r="AB14" s="8">
        <f t="shared" si="4"/>
        <v>1</v>
      </c>
      <c r="AC14" s="9">
        <f t="shared" si="5"/>
        <v>0.20833333333333334</v>
      </c>
      <c r="AD14" s="10">
        <f t="shared" si="6"/>
        <v>0.20833333333333334</v>
      </c>
      <c r="AE14" s="39">
        <f t="shared" si="7"/>
        <v>0.57745831102279999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123</v>
      </c>
      <c r="D15" s="55" t="s">
        <v>269</v>
      </c>
      <c r="E15" s="57" t="s">
        <v>270</v>
      </c>
      <c r="F15" s="12" t="s">
        <v>151</v>
      </c>
      <c r="G15" s="12">
        <v>4</v>
      </c>
      <c r="H15" s="13">
        <v>24</v>
      </c>
      <c r="I15" s="34">
        <v>30000</v>
      </c>
      <c r="J15" s="14">
        <v>23320</v>
      </c>
      <c r="K15" s="15">
        <f>L15+21536+23312</f>
        <v>44848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0.57745831102279999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313</v>
      </c>
      <c r="D16" s="55" t="s">
        <v>317</v>
      </c>
      <c r="E16" s="56" t="s">
        <v>318</v>
      </c>
      <c r="F16" s="12">
        <v>7301</v>
      </c>
      <c r="G16" s="36">
        <v>1</v>
      </c>
      <c r="H16" s="38">
        <v>25</v>
      </c>
      <c r="I16" s="7">
        <v>10000</v>
      </c>
      <c r="J16" s="14">
        <v>4410</v>
      </c>
      <c r="K16" s="15">
        <f>L16+2979</f>
        <v>7389</v>
      </c>
      <c r="L16" s="15">
        <f>2588+1822</f>
        <v>4410</v>
      </c>
      <c r="M16" s="16">
        <f t="shared" si="0"/>
        <v>4410</v>
      </c>
      <c r="N16" s="16">
        <v>0</v>
      </c>
      <c r="O16" s="62">
        <f t="shared" si="1"/>
        <v>0</v>
      </c>
      <c r="P16" s="42">
        <f t="shared" si="2"/>
        <v>22</v>
      </c>
      <c r="Q16" s="43">
        <f t="shared" si="3"/>
        <v>2</v>
      </c>
      <c r="R16" s="7"/>
      <c r="S16" s="6">
        <v>2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0.91666666666666663</v>
      </c>
      <c r="AD16" s="10">
        <f t="shared" si="6"/>
        <v>0.91666666666666663</v>
      </c>
      <c r="AE16" s="39">
        <f t="shared" si="7"/>
        <v>0.57745831102279999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213</v>
      </c>
      <c r="D17" s="55" t="s">
        <v>205</v>
      </c>
      <c r="E17" s="56" t="s">
        <v>203</v>
      </c>
      <c r="F17" s="12">
        <v>8301</v>
      </c>
      <c r="G17" s="12">
        <v>1</v>
      </c>
      <c r="H17" s="13">
        <v>25</v>
      </c>
      <c r="I17" s="34">
        <v>150</v>
      </c>
      <c r="J17" s="5">
        <v>220</v>
      </c>
      <c r="K17" s="15">
        <f>L17+219</f>
        <v>219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0.57745831102279999</v>
      </c>
      <c r="AF17" s="94">
        <f t="shared" ref="AF17:AF18" si="9">A17</f>
        <v>12</v>
      </c>
    </row>
    <row r="18" spans="1:32" ht="27" customHeight="1">
      <c r="A18" s="110">
        <v>13</v>
      </c>
      <c r="B18" s="11" t="s">
        <v>57</v>
      </c>
      <c r="C18" s="37" t="s">
        <v>146</v>
      </c>
      <c r="D18" s="55" t="s">
        <v>362</v>
      </c>
      <c r="E18" s="57" t="s">
        <v>307</v>
      </c>
      <c r="F18" s="33" t="s">
        <v>363</v>
      </c>
      <c r="G18" s="36" t="s">
        <v>364</v>
      </c>
      <c r="H18" s="38">
        <v>25</v>
      </c>
      <c r="I18" s="7">
        <v>650</v>
      </c>
      <c r="J18" s="5">
        <v>790</v>
      </c>
      <c r="K18" s="15">
        <f>L18</f>
        <v>790</v>
      </c>
      <c r="L18" s="15">
        <v>790</v>
      </c>
      <c r="M18" s="16">
        <f t="shared" si="0"/>
        <v>790</v>
      </c>
      <c r="N18" s="16">
        <v>0</v>
      </c>
      <c r="O18" s="62">
        <f t="shared" si="1"/>
        <v>0</v>
      </c>
      <c r="P18" s="42">
        <f t="shared" si="2"/>
        <v>5</v>
      </c>
      <c r="Q18" s="43">
        <f t="shared" si="3"/>
        <v>19</v>
      </c>
      <c r="R18" s="7"/>
      <c r="S18" s="6"/>
      <c r="T18" s="17"/>
      <c r="U18" s="17"/>
      <c r="V18" s="18"/>
      <c r="W18" s="19">
        <v>19</v>
      </c>
      <c r="X18" s="17"/>
      <c r="Y18" s="20"/>
      <c r="Z18" s="20"/>
      <c r="AA18" s="21"/>
      <c r="AB18" s="8">
        <f t="shared" si="4"/>
        <v>1</v>
      </c>
      <c r="AC18" s="9">
        <f t="shared" si="5"/>
        <v>0.20833333333333334</v>
      </c>
      <c r="AD18" s="10">
        <f t="shared" si="6"/>
        <v>0.20833333333333334</v>
      </c>
      <c r="AE18" s="39">
        <f t="shared" si="7"/>
        <v>0.57745831102279999</v>
      </c>
      <c r="AF18" s="94">
        <f t="shared" si="9"/>
        <v>13</v>
      </c>
    </row>
    <row r="19" spans="1:32" ht="27" customHeight="1">
      <c r="A19" s="110">
        <v>13</v>
      </c>
      <c r="B19" s="11" t="s">
        <v>57</v>
      </c>
      <c r="C19" s="37" t="s">
        <v>365</v>
      </c>
      <c r="D19" s="55" t="s">
        <v>366</v>
      </c>
      <c r="E19" s="57" t="s">
        <v>367</v>
      </c>
      <c r="F19" s="33" t="s">
        <v>368</v>
      </c>
      <c r="G19" s="36">
        <v>1</v>
      </c>
      <c r="H19" s="38">
        <v>25</v>
      </c>
      <c r="I19" s="7">
        <v>2000</v>
      </c>
      <c r="J19" s="5">
        <v>2050</v>
      </c>
      <c r="K19" s="15">
        <f>L19</f>
        <v>2050</v>
      </c>
      <c r="L19" s="15">
        <v>2050</v>
      </c>
      <c r="M19" s="16">
        <f t="shared" ref="M19" si="10">L19-N19</f>
        <v>2050</v>
      </c>
      <c r="N19" s="16">
        <v>0</v>
      </c>
      <c r="O19" s="62">
        <f t="shared" ref="O19" si="11">IF(L19=0,"0",N19/L19)</f>
        <v>0</v>
      </c>
      <c r="P19" s="42">
        <f t="shared" ref="P19" si="12">IF(L19=0,"0",(24-Q19))</f>
        <v>14</v>
      </c>
      <c r="Q19" s="43">
        <f t="shared" ref="Q19" si="13">SUM(R19:AA19)</f>
        <v>10</v>
      </c>
      <c r="R19" s="7"/>
      <c r="S19" s="6"/>
      <c r="T19" s="17"/>
      <c r="U19" s="17"/>
      <c r="V19" s="18"/>
      <c r="W19" s="19">
        <v>10</v>
      </c>
      <c r="X19" s="17"/>
      <c r="Y19" s="20"/>
      <c r="Z19" s="20"/>
      <c r="AA19" s="21"/>
      <c r="AB19" s="8">
        <f t="shared" ref="AB19" si="14">IF(J19=0,"0",(L19/J19))</f>
        <v>1</v>
      </c>
      <c r="AC19" s="9">
        <f t="shared" ref="AC19" si="15">IF(P19=0,"0",(P19/24))</f>
        <v>0.58333333333333337</v>
      </c>
      <c r="AD19" s="10">
        <f t="shared" ref="AD19" si="16">AC19*AB19*(1-O19)</f>
        <v>0.58333333333333337</v>
      </c>
      <c r="AE19" s="39">
        <f t="shared" si="7"/>
        <v>0.57745831102279999</v>
      </c>
      <c r="AF19" s="94">
        <f t="shared" ref="AF19" si="17">A19</f>
        <v>13</v>
      </c>
    </row>
    <row r="20" spans="1:32" ht="27" customHeight="1">
      <c r="A20" s="110">
        <v>14</v>
      </c>
      <c r="B20" s="11" t="s">
        <v>57</v>
      </c>
      <c r="C20" s="11" t="s">
        <v>146</v>
      </c>
      <c r="D20" s="55" t="s">
        <v>169</v>
      </c>
      <c r="E20" s="57" t="s">
        <v>168</v>
      </c>
      <c r="F20" s="12" t="s">
        <v>138</v>
      </c>
      <c r="G20" s="12" t="s">
        <v>170</v>
      </c>
      <c r="H20" s="13">
        <v>25</v>
      </c>
      <c r="I20" s="7">
        <v>130000</v>
      </c>
      <c r="J20" s="14">
        <v>4570</v>
      </c>
      <c r="K20" s="15">
        <f>L20+3258+4398+5144+3460+6323</f>
        <v>27147</v>
      </c>
      <c r="L20" s="15">
        <f>2979+1585</f>
        <v>4564</v>
      </c>
      <c r="M20" s="16">
        <f t="shared" si="0"/>
        <v>4564</v>
      </c>
      <c r="N20" s="16">
        <v>0</v>
      </c>
      <c r="O20" s="62">
        <f t="shared" si="1"/>
        <v>0</v>
      </c>
      <c r="P20" s="42">
        <f t="shared" si="2"/>
        <v>19</v>
      </c>
      <c r="Q20" s="43">
        <f t="shared" si="3"/>
        <v>5</v>
      </c>
      <c r="R20" s="7"/>
      <c r="S20" s="6">
        <v>5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0.9986870897155361</v>
      </c>
      <c r="AC20" s="9">
        <f t="shared" si="5"/>
        <v>0.79166666666666663</v>
      </c>
      <c r="AD20" s="10">
        <f t="shared" si="6"/>
        <v>0.79062727935813271</v>
      </c>
      <c r="AE20" s="39">
        <f t="shared" si="7"/>
        <v>0.57745831102279999</v>
      </c>
      <c r="AF20" s="94">
        <f t="shared" si="8"/>
        <v>14</v>
      </c>
    </row>
    <row r="21" spans="1:32" ht="27" customHeight="1" thickBot="1">
      <c r="A21" s="110">
        <v>15</v>
      </c>
      <c r="B21" s="11" t="s">
        <v>57</v>
      </c>
      <c r="C21" s="11" t="s">
        <v>124</v>
      </c>
      <c r="D21" s="55"/>
      <c r="E21" s="56" t="s">
        <v>274</v>
      </c>
      <c r="F21" s="12" t="s">
        <v>125</v>
      </c>
      <c r="G21" s="12">
        <v>4</v>
      </c>
      <c r="H21" s="38">
        <v>20</v>
      </c>
      <c r="I21" s="7">
        <v>800000</v>
      </c>
      <c r="J21" s="14">
        <v>45100</v>
      </c>
      <c r="K21" s="15">
        <f>L21+29128+42972</f>
        <v>117196</v>
      </c>
      <c r="L21" s="15">
        <f>5594*4+5680*4</f>
        <v>45096</v>
      </c>
      <c r="M21" s="16">
        <f t="shared" si="0"/>
        <v>45096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0.9999113082039911</v>
      </c>
      <c r="AC21" s="9">
        <f t="shared" si="5"/>
        <v>1</v>
      </c>
      <c r="AD21" s="10">
        <f t="shared" si="6"/>
        <v>0.9999113082039911</v>
      </c>
      <c r="AE21" s="39">
        <f t="shared" si="7"/>
        <v>0.57745831102279999</v>
      </c>
      <c r="AF21" s="94">
        <f t="shared" si="8"/>
        <v>15</v>
      </c>
    </row>
    <row r="22" spans="1:32" ht="31.5" customHeight="1" thickBot="1">
      <c r="A22" s="369" t="s">
        <v>34</v>
      </c>
      <c r="B22" s="370"/>
      <c r="C22" s="370"/>
      <c r="D22" s="370"/>
      <c r="E22" s="370"/>
      <c r="F22" s="370"/>
      <c r="G22" s="370"/>
      <c r="H22" s="371"/>
      <c r="I22" s="25">
        <f t="shared" ref="I22:N22" si="18">SUM(I6:I21)</f>
        <v>1128000</v>
      </c>
      <c r="J22" s="22">
        <f t="shared" si="18"/>
        <v>119237</v>
      </c>
      <c r="K22" s="23">
        <f t="shared" si="18"/>
        <v>264941</v>
      </c>
      <c r="L22" s="24">
        <f t="shared" si="18"/>
        <v>92156</v>
      </c>
      <c r="M22" s="23">
        <f t="shared" si="18"/>
        <v>92156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208</v>
      </c>
      <c r="Q22" s="46">
        <f t="shared" si="19"/>
        <v>176</v>
      </c>
      <c r="R22" s="26">
        <f t="shared" si="19"/>
        <v>0</v>
      </c>
      <c r="S22" s="27">
        <f t="shared" si="19"/>
        <v>32</v>
      </c>
      <c r="T22" s="27">
        <f t="shared" si="19"/>
        <v>0</v>
      </c>
      <c r="U22" s="27">
        <f t="shared" si="19"/>
        <v>0</v>
      </c>
      <c r="V22" s="28">
        <f t="shared" si="19"/>
        <v>24</v>
      </c>
      <c r="W22" s="29">
        <f t="shared" si="19"/>
        <v>120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0</v>
      </c>
      <c r="AB22" s="31">
        <f>SUM(AB6:AB21)/15</f>
        <v>0.79957214445900715</v>
      </c>
      <c r="AC22" s="4">
        <f>SUM(AC6:AC21)/15</f>
        <v>0.57777777777777772</v>
      </c>
      <c r="AD22" s="4">
        <f>SUM(AD6:AD21)/15</f>
        <v>0.57745831102279999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72" t="s">
        <v>45</v>
      </c>
      <c r="B49" s="372"/>
      <c r="C49" s="372"/>
      <c r="D49" s="372"/>
      <c r="E49" s="37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73" t="s">
        <v>369</v>
      </c>
      <c r="B50" s="374"/>
      <c r="C50" s="374"/>
      <c r="D50" s="374"/>
      <c r="E50" s="374"/>
      <c r="F50" s="374"/>
      <c r="G50" s="374"/>
      <c r="H50" s="374"/>
      <c r="I50" s="374"/>
      <c r="J50" s="374"/>
      <c r="K50" s="374"/>
      <c r="L50" s="374"/>
      <c r="M50" s="375"/>
      <c r="N50" s="376" t="s">
        <v>384</v>
      </c>
      <c r="O50" s="377"/>
      <c r="P50" s="377"/>
      <c r="Q50" s="377"/>
      <c r="R50" s="377"/>
      <c r="S50" s="377"/>
      <c r="T50" s="377"/>
      <c r="U50" s="377"/>
      <c r="V50" s="377"/>
      <c r="W50" s="377"/>
      <c r="X50" s="377"/>
      <c r="Y50" s="377"/>
      <c r="Z50" s="377"/>
      <c r="AA50" s="377"/>
      <c r="AB50" s="377"/>
      <c r="AC50" s="377"/>
      <c r="AD50" s="378"/>
    </row>
    <row r="51" spans="1:32" ht="27" customHeight="1">
      <c r="A51" s="379" t="s">
        <v>2</v>
      </c>
      <c r="B51" s="380"/>
      <c r="C51" s="175" t="s">
        <v>46</v>
      </c>
      <c r="D51" s="175" t="s">
        <v>47</v>
      </c>
      <c r="E51" s="175" t="s">
        <v>108</v>
      </c>
      <c r="F51" s="380" t="s">
        <v>107</v>
      </c>
      <c r="G51" s="380"/>
      <c r="H51" s="380"/>
      <c r="I51" s="380"/>
      <c r="J51" s="380"/>
      <c r="K51" s="380"/>
      <c r="L51" s="380"/>
      <c r="M51" s="381"/>
      <c r="N51" s="73" t="s">
        <v>112</v>
      </c>
      <c r="O51" s="175" t="s">
        <v>46</v>
      </c>
      <c r="P51" s="382" t="s">
        <v>47</v>
      </c>
      <c r="Q51" s="383"/>
      <c r="R51" s="382" t="s">
        <v>38</v>
      </c>
      <c r="S51" s="384"/>
      <c r="T51" s="384"/>
      <c r="U51" s="383"/>
      <c r="V51" s="382" t="s">
        <v>48</v>
      </c>
      <c r="W51" s="384"/>
      <c r="X51" s="384"/>
      <c r="Y51" s="384"/>
      <c r="Z51" s="384"/>
      <c r="AA51" s="384"/>
      <c r="AB51" s="384"/>
      <c r="AC51" s="384"/>
      <c r="AD51" s="385"/>
    </row>
    <row r="52" spans="1:32" ht="27" customHeight="1">
      <c r="A52" s="396" t="s">
        <v>146</v>
      </c>
      <c r="B52" s="397"/>
      <c r="C52" s="176" t="s">
        <v>131</v>
      </c>
      <c r="D52" s="177" t="s">
        <v>169</v>
      </c>
      <c r="E52" s="176" t="s">
        <v>168</v>
      </c>
      <c r="F52" s="398" t="s">
        <v>370</v>
      </c>
      <c r="G52" s="398"/>
      <c r="H52" s="398"/>
      <c r="I52" s="398"/>
      <c r="J52" s="398"/>
      <c r="K52" s="398"/>
      <c r="L52" s="398"/>
      <c r="M52" s="399"/>
      <c r="N52" s="181" t="s">
        <v>167</v>
      </c>
      <c r="O52" s="74" t="s">
        <v>338</v>
      </c>
      <c r="P52" s="400" t="s">
        <v>264</v>
      </c>
      <c r="Q52" s="401"/>
      <c r="R52" s="402" t="s">
        <v>340</v>
      </c>
      <c r="S52" s="402"/>
      <c r="T52" s="402"/>
      <c r="U52" s="402"/>
      <c r="V52" s="398" t="s">
        <v>341</v>
      </c>
      <c r="W52" s="398"/>
      <c r="X52" s="398"/>
      <c r="Y52" s="398"/>
      <c r="Z52" s="398"/>
      <c r="AA52" s="398"/>
      <c r="AB52" s="398"/>
      <c r="AC52" s="398"/>
      <c r="AD52" s="399"/>
    </row>
    <row r="53" spans="1:32" ht="27" customHeight="1">
      <c r="A53" s="396" t="s">
        <v>371</v>
      </c>
      <c r="B53" s="397"/>
      <c r="C53" s="176" t="s">
        <v>281</v>
      </c>
      <c r="D53" s="177" t="s">
        <v>360</v>
      </c>
      <c r="E53" s="176" t="s">
        <v>361</v>
      </c>
      <c r="F53" s="398" t="s">
        <v>372</v>
      </c>
      <c r="G53" s="398"/>
      <c r="H53" s="398"/>
      <c r="I53" s="398"/>
      <c r="J53" s="398"/>
      <c r="K53" s="398"/>
      <c r="L53" s="398"/>
      <c r="M53" s="399"/>
      <c r="N53" s="181" t="s">
        <v>122</v>
      </c>
      <c r="O53" s="74" t="s">
        <v>386</v>
      </c>
      <c r="P53" s="400" t="s">
        <v>381</v>
      </c>
      <c r="Q53" s="401"/>
      <c r="R53" s="402" t="s">
        <v>385</v>
      </c>
      <c r="S53" s="402"/>
      <c r="T53" s="402"/>
      <c r="U53" s="402"/>
      <c r="V53" s="398" t="s">
        <v>387</v>
      </c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 t="s">
        <v>146</v>
      </c>
      <c r="B54" s="397"/>
      <c r="C54" s="176" t="s">
        <v>373</v>
      </c>
      <c r="D54" s="177" t="s">
        <v>374</v>
      </c>
      <c r="E54" s="176" t="s">
        <v>357</v>
      </c>
      <c r="F54" s="398" t="s">
        <v>375</v>
      </c>
      <c r="G54" s="398"/>
      <c r="H54" s="398"/>
      <c r="I54" s="398"/>
      <c r="J54" s="398"/>
      <c r="K54" s="398"/>
      <c r="L54" s="398"/>
      <c r="M54" s="399"/>
      <c r="N54" s="181" t="s">
        <v>167</v>
      </c>
      <c r="O54" s="74" t="s">
        <v>281</v>
      </c>
      <c r="P54" s="402" t="s">
        <v>388</v>
      </c>
      <c r="Q54" s="402"/>
      <c r="R54" s="402" t="s">
        <v>389</v>
      </c>
      <c r="S54" s="402"/>
      <c r="T54" s="402"/>
      <c r="U54" s="402"/>
      <c r="V54" s="398" t="s">
        <v>383</v>
      </c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 t="s">
        <v>321</v>
      </c>
      <c r="B55" s="397"/>
      <c r="C55" s="176" t="s">
        <v>325</v>
      </c>
      <c r="D55" s="177" t="s">
        <v>326</v>
      </c>
      <c r="E55" s="176" t="s">
        <v>293</v>
      </c>
      <c r="F55" s="398" t="s">
        <v>376</v>
      </c>
      <c r="G55" s="398"/>
      <c r="H55" s="398"/>
      <c r="I55" s="398"/>
      <c r="J55" s="398"/>
      <c r="K55" s="398"/>
      <c r="L55" s="398"/>
      <c r="M55" s="399"/>
      <c r="N55" s="181" t="s">
        <v>391</v>
      </c>
      <c r="O55" s="74" t="s">
        <v>380</v>
      </c>
      <c r="P55" s="400" t="s">
        <v>392</v>
      </c>
      <c r="Q55" s="401"/>
      <c r="R55" s="402" t="s">
        <v>390</v>
      </c>
      <c r="S55" s="402"/>
      <c r="T55" s="402"/>
      <c r="U55" s="402"/>
      <c r="V55" s="398" t="s">
        <v>383</v>
      </c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 t="s">
        <v>377</v>
      </c>
      <c r="B56" s="397"/>
      <c r="C56" s="176" t="s">
        <v>378</v>
      </c>
      <c r="D56" s="177" t="s">
        <v>169</v>
      </c>
      <c r="E56" s="176" t="s">
        <v>379</v>
      </c>
      <c r="F56" s="398" t="s">
        <v>190</v>
      </c>
      <c r="G56" s="398"/>
      <c r="H56" s="398"/>
      <c r="I56" s="398"/>
      <c r="J56" s="398"/>
      <c r="K56" s="398"/>
      <c r="L56" s="398"/>
      <c r="M56" s="399"/>
      <c r="N56" s="181"/>
      <c r="O56" s="74"/>
      <c r="P56" s="400"/>
      <c r="Q56" s="401"/>
      <c r="R56" s="402"/>
      <c r="S56" s="402"/>
      <c r="T56" s="402"/>
      <c r="U56" s="402"/>
      <c r="V56" s="398"/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 t="s">
        <v>167</v>
      </c>
      <c r="B57" s="397"/>
      <c r="C57" s="176" t="s">
        <v>380</v>
      </c>
      <c r="D57" s="177" t="s">
        <v>381</v>
      </c>
      <c r="E57" s="176" t="s">
        <v>382</v>
      </c>
      <c r="F57" s="398" t="s">
        <v>383</v>
      </c>
      <c r="G57" s="398"/>
      <c r="H57" s="398"/>
      <c r="I57" s="398"/>
      <c r="J57" s="398"/>
      <c r="K57" s="398"/>
      <c r="L57" s="398"/>
      <c r="M57" s="399"/>
      <c r="N57" s="181"/>
      <c r="O57" s="74"/>
      <c r="P57" s="402"/>
      <c r="Q57" s="402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/>
      <c r="B58" s="397"/>
      <c r="C58" s="176"/>
      <c r="D58" s="177"/>
      <c r="E58" s="176"/>
      <c r="F58" s="398"/>
      <c r="G58" s="398"/>
      <c r="H58" s="398"/>
      <c r="I58" s="398"/>
      <c r="J58" s="398"/>
      <c r="K58" s="398"/>
      <c r="L58" s="398"/>
      <c r="M58" s="399"/>
      <c r="N58" s="181"/>
      <c r="O58" s="74"/>
      <c r="P58" s="400"/>
      <c r="Q58" s="401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396"/>
      <c r="B59" s="397"/>
      <c r="C59" s="176"/>
      <c r="D59" s="177"/>
      <c r="E59" s="176"/>
      <c r="F59" s="398"/>
      <c r="G59" s="398"/>
      <c r="H59" s="398"/>
      <c r="I59" s="398"/>
      <c r="J59" s="398"/>
      <c r="K59" s="398"/>
      <c r="L59" s="398"/>
      <c r="M59" s="399"/>
      <c r="N59" s="181"/>
      <c r="O59" s="74"/>
      <c r="P59" s="400"/>
      <c r="Q59" s="401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</row>
    <row r="60" spans="1:32" ht="27" customHeight="1">
      <c r="A60" s="412"/>
      <c r="B60" s="402"/>
      <c r="C60" s="177"/>
      <c r="D60" s="177"/>
      <c r="E60" s="177"/>
      <c r="F60" s="398"/>
      <c r="G60" s="398"/>
      <c r="H60" s="398"/>
      <c r="I60" s="398"/>
      <c r="J60" s="398"/>
      <c r="K60" s="398"/>
      <c r="L60" s="398"/>
      <c r="M60" s="399"/>
      <c r="N60" s="181"/>
      <c r="O60" s="74"/>
      <c r="P60" s="402"/>
      <c r="Q60" s="402"/>
      <c r="R60" s="402"/>
      <c r="S60" s="402"/>
      <c r="T60" s="402"/>
      <c r="U60" s="402"/>
      <c r="V60" s="398"/>
      <c r="W60" s="398"/>
      <c r="X60" s="398"/>
      <c r="Y60" s="398"/>
      <c r="Z60" s="398"/>
      <c r="AA60" s="398"/>
      <c r="AB60" s="398"/>
      <c r="AC60" s="398"/>
      <c r="AD60" s="399"/>
      <c r="AF60" s="94">
        <f>8*3000</f>
        <v>24000</v>
      </c>
    </row>
    <row r="61" spans="1:32" ht="27" customHeight="1" thickBot="1">
      <c r="A61" s="403"/>
      <c r="B61" s="404"/>
      <c r="C61" s="179"/>
      <c r="D61" s="179"/>
      <c r="E61" s="179"/>
      <c r="F61" s="405"/>
      <c r="G61" s="405"/>
      <c r="H61" s="405"/>
      <c r="I61" s="405"/>
      <c r="J61" s="405"/>
      <c r="K61" s="405"/>
      <c r="L61" s="405"/>
      <c r="M61" s="406"/>
      <c r="N61" s="178"/>
      <c r="O61" s="121"/>
      <c r="P61" s="404"/>
      <c r="Q61" s="404"/>
      <c r="R61" s="404"/>
      <c r="S61" s="404"/>
      <c r="T61" s="404"/>
      <c r="U61" s="404"/>
      <c r="V61" s="405"/>
      <c r="W61" s="405"/>
      <c r="X61" s="405"/>
      <c r="Y61" s="405"/>
      <c r="Z61" s="405"/>
      <c r="AA61" s="405"/>
      <c r="AB61" s="405"/>
      <c r="AC61" s="405"/>
      <c r="AD61" s="406"/>
      <c r="AF61" s="94">
        <f>16*3000</f>
        <v>48000</v>
      </c>
    </row>
    <row r="62" spans="1:32" ht="27.75" thickBot="1">
      <c r="A62" s="407" t="s">
        <v>393</v>
      </c>
      <c r="B62" s="407"/>
      <c r="C62" s="407"/>
      <c r="D62" s="407"/>
      <c r="E62" s="40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08" t="s">
        <v>113</v>
      </c>
      <c r="B63" s="409"/>
      <c r="C63" s="180" t="s">
        <v>2</v>
      </c>
      <c r="D63" s="180" t="s">
        <v>37</v>
      </c>
      <c r="E63" s="180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180" t="s">
        <v>40</v>
      </c>
      <c r="N63" s="409" t="s">
        <v>41</v>
      </c>
      <c r="O63" s="409"/>
      <c r="P63" s="410" t="s">
        <v>42</v>
      </c>
      <c r="Q63" s="411"/>
      <c r="R63" s="410" t="s">
        <v>43</v>
      </c>
      <c r="S63" s="413"/>
      <c r="T63" s="413"/>
      <c r="U63" s="413"/>
      <c r="V63" s="413"/>
      <c r="W63" s="413"/>
      <c r="X63" s="413"/>
      <c r="Y63" s="413"/>
      <c r="Z63" s="413"/>
      <c r="AA63" s="411"/>
      <c r="AB63" s="409" t="s">
        <v>44</v>
      </c>
      <c r="AC63" s="409"/>
      <c r="AD63" s="414"/>
      <c r="AF63" s="94">
        <f>SUM(AF60:AF62)</f>
        <v>96000</v>
      </c>
    </row>
    <row r="64" spans="1:32" ht="25.5" customHeight="1">
      <c r="A64" s="415">
        <v>1</v>
      </c>
      <c r="B64" s="416"/>
      <c r="C64" s="124" t="s">
        <v>394</v>
      </c>
      <c r="D64" s="184"/>
      <c r="E64" s="182" t="s">
        <v>395</v>
      </c>
      <c r="F64" s="417" t="s">
        <v>396</v>
      </c>
      <c r="G64" s="418"/>
      <c r="H64" s="418"/>
      <c r="I64" s="418"/>
      <c r="J64" s="418"/>
      <c r="K64" s="418" t="s">
        <v>350</v>
      </c>
      <c r="L64" s="418"/>
      <c r="M64" s="54" t="s">
        <v>397</v>
      </c>
      <c r="N64" s="418">
        <v>13</v>
      </c>
      <c r="O64" s="418"/>
      <c r="P64" s="419">
        <v>50</v>
      </c>
      <c r="Q64" s="419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418"/>
      <c r="AC64" s="418"/>
      <c r="AD64" s="420"/>
      <c r="AF64" s="53"/>
    </row>
    <row r="65" spans="1:32" ht="25.5" customHeight="1">
      <c r="A65" s="415">
        <v>2</v>
      </c>
      <c r="B65" s="416"/>
      <c r="C65" s="124"/>
      <c r="D65" s="184"/>
      <c r="E65" s="182"/>
      <c r="F65" s="417"/>
      <c r="G65" s="418"/>
      <c r="H65" s="418"/>
      <c r="I65" s="418"/>
      <c r="J65" s="418"/>
      <c r="K65" s="418"/>
      <c r="L65" s="418"/>
      <c r="M65" s="54"/>
      <c r="N65" s="418"/>
      <c r="O65" s="418"/>
      <c r="P65" s="419"/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3</v>
      </c>
      <c r="B66" s="416"/>
      <c r="C66" s="124"/>
      <c r="D66" s="184"/>
      <c r="E66" s="182"/>
      <c r="F66" s="417"/>
      <c r="G66" s="418"/>
      <c r="H66" s="418"/>
      <c r="I66" s="418"/>
      <c r="J66" s="418"/>
      <c r="K66" s="418"/>
      <c r="L66" s="418"/>
      <c r="M66" s="54"/>
      <c r="N66" s="418"/>
      <c r="O66" s="418"/>
      <c r="P66" s="419"/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4</v>
      </c>
      <c r="B67" s="416"/>
      <c r="C67" s="124"/>
      <c r="D67" s="184"/>
      <c r="E67" s="182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5</v>
      </c>
      <c r="B68" s="416"/>
      <c r="C68" s="124"/>
      <c r="D68" s="184"/>
      <c r="E68" s="182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6</v>
      </c>
      <c r="B69" s="416"/>
      <c r="C69" s="124"/>
      <c r="D69" s="184"/>
      <c r="E69" s="182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7</v>
      </c>
      <c r="B70" s="416"/>
      <c r="C70" s="124"/>
      <c r="D70" s="184"/>
      <c r="E70" s="182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5.5" customHeight="1">
      <c r="A71" s="415">
        <v>8</v>
      </c>
      <c r="B71" s="416"/>
      <c r="C71" s="124"/>
      <c r="D71" s="184"/>
      <c r="E71" s="182"/>
      <c r="F71" s="417"/>
      <c r="G71" s="418"/>
      <c r="H71" s="418"/>
      <c r="I71" s="418"/>
      <c r="J71" s="418"/>
      <c r="K71" s="418"/>
      <c r="L71" s="418"/>
      <c r="M71" s="54"/>
      <c r="N71" s="418"/>
      <c r="O71" s="418"/>
      <c r="P71" s="419"/>
      <c r="Q71" s="419"/>
      <c r="R71" s="398"/>
      <c r="S71" s="398"/>
      <c r="T71" s="398"/>
      <c r="U71" s="398"/>
      <c r="V71" s="398"/>
      <c r="W71" s="398"/>
      <c r="X71" s="398"/>
      <c r="Y71" s="398"/>
      <c r="Z71" s="398"/>
      <c r="AA71" s="398"/>
      <c r="AB71" s="418"/>
      <c r="AC71" s="418"/>
      <c r="AD71" s="420"/>
      <c r="AF71" s="53"/>
    </row>
    <row r="72" spans="1:32" ht="26.25" customHeight="1" thickBot="1">
      <c r="A72" s="421" t="s">
        <v>398</v>
      </c>
      <c r="B72" s="421"/>
      <c r="C72" s="421"/>
      <c r="D72" s="421"/>
      <c r="E72" s="421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2" t="s">
        <v>113</v>
      </c>
      <c r="B73" s="423"/>
      <c r="C73" s="183" t="s">
        <v>2</v>
      </c>
      <c r="D73" s="183" t="s">
        <v>37</v>
      </c>
      <c r="E73" s="183" t="s">
        <v>3</v>
      </c>
      <c r="F73" s="423" t="s">
        <v>38</v>
      </c>
      <c r="G73" s="423"/>
      <c r="H73" s="423"/>
      <c r="I73" s="423"/>
      <c r="J73" s="423"/>
      <c r="K73" s="424" t="s">
        <v>58</v>
      </c>
      <c r="L73" s="425"/>
      <c r="M73" s="425"/>
      <c r="N73" s="425"/>
      <c r="O73" s="425"/>
      <c r="P73" s="425"/>
      <c r="Q73" s="425"/>
      <c r="R73" s="425"/>
      <c r="S73" s="426"/>
      <c r="T73" s="423" t="s">
        <v>49</v>
      </c>
      <c r="U73" s="423"/>
      <c r="V73" s="424" t="s">
        <v>50</v>
      </c>
      <c r="W73" s="426"/>
      <c r="X73" s="425" t="s">
        <v>51</v>
      </c>
      <c r="Y73" s="425"/>
      <c r="Z73" s="425"/>
      <c r="AA73" s="425"/>
      <c r="AB73" s="425"/>
      <c r="AC73" s="425"/>
      <c r="AD73" s="427"/>
      <c r="AF73" s="53"/>
    </row>
    <row r="74" spans="1:32" ht="33.75" customHeight="1">
      <c r="A74" s="436">
        <v>1</v>
      </c>
      <c r="B74" s="437"/>
      <c r="C74" s="185" t="s">
        <v>114</v>
      </c>
      <c r="D74" s="185"/>
      <c r="E74" s="71" t="s">
        <v>119</v>
      </c>
      <c r="F74" s="438" t="s">
        <v>120</v>
      </c>
      <c r="G74" s="439"/>
      <c r="H74" s="439"/>
      <c r="I74" s="439"/>
      <c r="J74" s="440"/>
      <c r="K74" s="441" t="s">
        <v>115</v>
      </c>
      <c r="L74" s="442"/>
      <c r="M74" s="442"/>
      <c r="N74" s="442"/>
      <c r="O74" s="442"/>
      <c r="P74" s="442"/>
      <c r="Q74" s="442"/>
      <c r="R74" s="442"/>
      <c r="S74" s="443"/>
      <c r="T74" s="444">
        <v>42901</v>
      </c>
      <c r="U74" s="445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28">
        <f>A74+1</f>
        <v>2</v>
      </c>
      <c r="B75" s="429"/>
      <c r="C75" s="184" t="s">
        <v>114</v>
      </c>
      <c r="D75" s="184"/>
      <c r="E75" s="35" t="s">
        <v>116</v>
      </c>
      <c r="F75" s="429" t="s">
        <v>117</v>
      </c>
      <c r="G75" s="429"/>
      <c r="H75" s="429"/>
      <c r="I75" s="429"/>
      <c r="J75" s="429"/>
      <c r="K75" s="430" t="s">
        <v>118</v>
      </c>
      <c r="L75" s="431"/>
      <c r="M75" s="431"/>
      <c r="N75" s="431"/>
      <c r="O75" s="431"/>
      <c r="P75" s="431"/>
      <c r="Q75" s="431"/>
      <c r="R75" s="431"/>
      <c r="S75" s="432"/>
      <c r="T75" s="433">
        <v>42867</v>
      </c>
      <c r="U75" s="433"/>
      <c r="V75" s="433"/>
      <c r="W75" s="433"/>
      <c r="X75" s="434"/>
      <c r="Y75" s="434"/>
      <c r="Z75" s="434"/>
      <c r="AA75" s="434"/>
      <c r="AB75" s="434"/>
      <c r="AC75" s="434"/>
      <c r="AD75" s="435"/>
      <c r="AF75" s="53"/>
    </row>
    <row r="76" spans="1:32" ht="30" customHeight="1">
      <c r="A76" s="428">
        <f t="shared" ref="A76:A82" si="20">A75+1</f>
        <v>3</v>
      </c>
      <c r="B76" s="429"/>
      <c r="C76" s="184"/>
      <c r="D76" s="184"/>
      <c r="E76" s="35"/>
      <c r="F76" s="429"/>
      <c r="G76" s="429"/>
      <c r="H76" s="429"/>
      <c r="I76" s="429"/>
      <c r="J76" s="429"/>
      <c r="K76" s="430"/>
      <c r="L76" s="431"/>
      <c r="M76" s="431"/>
      <c r="N76" s="431"/>
      <c r="O76" s="431"/>
      <c r="P76" s="431"/>
      <c r="Q76" s="431"/>
      <c r="R76" s="431"/>
      <c r="S76" s="432"/>
      <c r="T76" s="433"/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si="20"/>
        <v>4</v>
      </c>
      <c r="B77" s="429"/>
      <c r="C77" s="184"/>
      <c r="D77" s="184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20"/>
        <v>5</v>
      </c>
      <c r="B78" s="429"/>
      <c r="C78" s="184"/>
      <c r="D78" s="184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20"/>
        <v>6</v>
      </c>
      <c r="B79" s="429"/>
      <c r="C79" s="184"/>
      <c r="D79" s="184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20"/>
        <v>7</v>
      </c>
      <c r="B80" s="429"/>
      <c r="C80" s="184"/>
      <c r="D80" s="184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20"/>
        <v>8</v>
      </c>
      <c r="B81" s="429"/>
      <c r="C81" s="184"/>
      <c r="D81" s="184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0" customHeight="1">
      <c r="A82" s="428">
        <f t="shared" si="20"/>
        <v>9</v>
      </c>
      <c r="B82" s="429"/>
      <c r="C82" s="184"/>
      <c r="D82" s="184"/>
      <c r="E82" s="35"/>
      <c r="F82" s="429"/>
      <c r="G82" s="429"/>
      <c r="H82" s="429"/>
      <c r="I82" s="429"/>
      <c r="J82" s="429"/>
      <c r="K82" s="430"/>
      <c r="L82" s="431"/>
      <c r="M82" s="431"/>
      <c r="N82" s="431"/>
      <c r="O82" s="431"/>
      <c r="P82" s="431"/>
      <c r="Q82" s="431"/>
      <c r="R82" s="431"/>
      <c r="S82" s="432"/>
      <c r="T82" s="433"/>
      <c r="U82" s="433"/>
      <c r="V82" s="433"/>
      <c r="W82" s="433"/>
      <c r="X82" s="434"/>
      <c r="Y82" s="434"/>
      <c r="Z82" s="434"/>
      <c r="AA82" s="434"/>
      <c r="AB82" s="434"/>
      <c r="AC82" s="434"/>
      <c r="AD82" s="435"/>
      <c r="AF82" s="53"/>
    </row>
    <row r="83" spans="1:32" ht="36" thickBot="1">
      <c r="A83" s="421" t="s">
        <v>399</v>
      </c>
      <c r="B83" s="421"/>
      <c r="C83" s="421"/>
      <c r="D83" s="421"/>
      <c r="E83" s="421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22" t="s">
        <v>113</v>
      </c>
      <c r="B84" s="423"/>
      <c r="C84" s="449" t="s">
        <v>52</v>
      </c>
      <c r="D84" s="449"/>
      <c r="E84" s="449" t="s">
        <v>53</v>
      </c>
      <c r="F84" s="449"/>
      <c r="G84" s="449"/>
      <c r="H84" s="449"/>
      <c r="I84" s="449"/>
      <c r="J84" s="449"/>
      <c r="K84" s="449" t="s">
        <v>54</v>
      </c>
      <c r="L84" s="449"/>
      <c r="M84" s="449"/>
      <c r="N84" s="449"/>
      <c r="O84" s="449"/>
      <c r="P84" s="449"/>
      <c r="Q84" s="449"/>
      <c r="R84" s="449"/>
      <c r="S84" s="449"/>
      <c r="T84" s="449" t="s">
        <v>55</v>
      </c>
      <c r="U84" s="449"/>
      <c r="V84" s="449" t="s">
        <v>56</v>
      </c>
      <c r="W84" s="449"/>
      <c r="X84" s="449"/>
      <c r="Y84" s="449" t="s">
        <v>51</v>
      </c>
      <c r="Z84" s="449"/>
      <c r="AA84" s="449"/>
      <c r="AB84" s="449"/>
      <c r="AC84" s="449"/>
      <c r="AD84" s="450"/>
      <c r="AF84" s="53"/>
    </row>
    <row r="85" spans="1:32" ht="30.75" customHeight="1">
      <c r="A85" s="436">
        <v>1</v>
      </c>
      <c r="B85" s="437"/>
      <c r="C85" s="451"/>
      <c r="D85" s="451"/>
      <c r="E85" s="451"/>
      <c r="F85" s="451"/>
      <c r="G85" s="451"/>
      <c r="H85" s="451"/>
      <c r="I85" s="451"/>
      <c r="J85" s="451"/>
      <c r="K85" s="451"/>
      <c r="L85" s="451"/>
      <c r="M85" s="451"/>
      <c r="N85" s="451"/>
      <c r="O85" s="451"/>
      <c r="P85" s="451"/>
      <c r="Q85" s="451"/>
      <c r="R85" s="451"/>
      <c r="S85" s="451"/>
      <c r="T85" s="451"/>
      <c r="U85" s="451"/>
      <c r="V85" s="452"/>
      <c r="W85" s="452"/>
      <c r="X85" s="452"/>
      <c r="Y85" s="453"/>
      <c r="Z85" s="453"/>
      <c r="AA85" s="453"/>
      <c r="AB85" s="453"/>
      <c r="AC85" s="453"/>
      <c r="AD85" s="454"/>
      <c r="AF85" s="53"/>
    </row>
    <row r="86" spans="1:32" ht="30.75" customHeight="1">
      <c r="A86" s="428">
        <v>2</v>
      </c>
      <c r="B86" s="429"/>
      <c r="C86" s="462"/>
      <c r="D86" s="462"/>
      <c r="E86" s="462"/>
      <c r="F86" s="462"/>
      <c r="G86" s="462"/>
      <c r="H86" s="462"/>
      <c r="I86" s="462"/>
      <c r="J86" s="462"/>
      <c r="K86" s="462"/>
      <c r="L86" s="462"/>
      <c r="M86" s="462"/>
      <c r="N86" s="462"/>
      <c r="O86" s="462"/>
      <c r="P86" s="462"/>
      <c r="Q86" s="462"/>
      <c r="R86" s="462"/>
      <c r="S86" s="462"/>
      <c r="T86" s="463"/>
      <c r="U86" s="463"/>
      <c r="V86" s="464"/>
      <c r="W86" s="464"/>
      <c r="X86" s="464"/>
      <c r="Y86" s="455"/>
      <c r="Z86" s="455"/>
      <c r="AA86" s="455"/>
      <c r="AB86" s="455"/>
      <c r="AC86" s="455"/>
      <c r="AD86" s="456"/>
      <c r="AF86" s="53"/>
    </row>
    <row r="87" spans="1:32" ht="30.75" customHeight="1" thickBot="1">
      <c r="A87" s="457">
        <v>3</v>
      </c>
      <c r="B87" s="458"/>
      <c r="C87" s="459"/>
      <c r="D87" s="459"/>
      <c r="E87" s="459"/>
      <c r="F87" s="459"/>
      <c r="G87" s="459"/>
      <c r="H87" s="459"/>
      <c r="I87" s="459"/>
      <c r="J87" s="459"/>
      <c r="K87" s="459"/>
      <c r="L87" s="459"/>
      <c r="M87" s="459"/>
      <c r="N87" s="459"/>
      <c r="O87" s="459"/>
      <c r="P87" s="459"/>
      <c r="Q87" s="459"/>
      <c r="R87" s="459"/>
      <c r="S87" s="459"/>
      <c r="T87" s="459"/>
      <c r="U87" s="459"/>
      <c r="V87" s="459"/>
      <c r="W87" s="459"/>
      <c r="X87" s="459"/>
      <c r="Y87" s="460"/>
      <c r="Z87" s="460"/>
      <c r="AA87" s="460"/>
      <c r="AB87" s="460"/>
      <c r="AC87" s="460"/>
      <c r="AD87" s="461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22" zoomScale="72" zoomScaleNormal="72" zoomScaleSheetLayoutView="70" workbookViewId="0">
      <selection activeCell="A12" sqref="A12:XFD1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55" t="s">
        <v>400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6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197" t="s">
        <v>17</v>
      </c>
      <c r="L5" s="197" t="s">
        <v>18</v>
      </c>
      <c r="M5" s="197" t="s">
        <v>19</v>
      </c>
      <c r="N5" s="19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6" ht="27" customHeight="1">
      <c r="A6" s="108">
        <v>1</v>
      </c>
      <c r="B6" s="11" t="s">
        <v>57</v>
      </c>
      <c r="C6" s="37" t="s">
        <v>365</v>
      </c>
      <c r="D6" s="55" t="s">
        <v>366</v>
      </c>
      <c r="E6" s="57" t="s">
        <v>367</v>
      </c>
      <c r="F6" s="33" t="s">
        <v>368</v>
      </c>
      <c r="G6" s="36">
        <v>1</v>
      </c>
      <c r="H6" s="38">
        <v>25</v>
      </c>
      <c r="I6" s="7">
        <v>11000</v>
      </c>
      <c r="J6" s="5">
        <v>4100</v>
      </c>
      <c r="K6" s="15">
        <f>L6</f>
        <v>4098</v>
      </c>
      <c r="L6" s="15">
        <f>2375+1723</f>
        <v>4098</v>
      </c>
      <c r="M6" s="16">
        <f t="shared" ref="M6" si="0">L6-N6</f>
        <v>4098</v>
      </c>
      <c r="N6" s="16">
        <v>0</v>
      </c>
      <c r="O6" s="62">
        <f t="shared" ref="O6" si="1">IF(L6=0,"0",N6/L6)</f>
        <v>0</v>
      </c>
      <c r="P6" s="42">
        <f t="shared" ref="P6" si="2">IF(L6=0,"0",(24-Q6))</f>
        <v>23</v>
      </c>
      <c r="Q6" s="43">
        <f t="shared" ref="Q6" si="3">SUM(R6:AA6)</f>
        <v>1</v>
      </c>
      <c r="R6" s="7"/>
      <c r="S6" s="6"/>
      <c r="T6" s="17">
        <v>1</v>
      </c>
      <c r="U6" s="17"/>
      <c r="V6" s="18"/>
      <c r="W6" s="19"/>
      <c r="X6" s="17"/>
      <c r="Y6" s="20"/>
      <c r="Z6" s="20"/>
      <c r="AA6" s="21"/>
      <c r="AB6" s="8">
        <f t="shared" ref="AB6" si="4">IF(J6=0,"0",(L6/J6))</f>
        <v>0.99951219512195122</v>
      </c>
      <c r="AC6" s="9">
        <f t="shared" ref="AC6" si="5">IF(P6=0,"0",(P6/24))</f>
        <v>0.95833333333333337</v>
      </c>
      <c r="AD6" s="10">
        <f t="shared" ref="AD6" si="6">AC6*AB6*(1-O6)</f>
        <v>0.9578658536585366</v>
      </c>
      <c r="AE6" s="39">
        <f t="shared" ref="AE6:AE20" si="7">$AD$21</f>
        <v>0.59124148782448682</v>
      </c>
      <c r="AF6" s="94">
        <f t="shared" ref="AF6" si="8">A6</f>
        <v>1</v>
      </c>
    </row>
    <row r="7" spans="1:36" ht="27" customHeight="1">
      <c r="A7" s="108">
        <v>2</v>
      </c>
      <c r="B7" s="11" t="s">
        <v>57</v>
      </c>
      <c r="C7" s="37" t="s">
        <v>123</v>
      </c>
      <c r="D7" s="55" t="s">
        <v>156</v>
      </c>
      <c r="E7" s="57" t="s">
        <v>311</v>
      </c>
      <c r="F7" s="33" t="s">
        <v>312</v>
      </c>
      <c r="G7" s="12">
        <v>3</v>
      </c>
      <c r="H7" s="13">
        <v>25</v>
      </c>
      <c r="I7" s="34">
        <v>100000</v>
      </c>
      <c r="J7" s="5">
        <v>15560</v>
      </c>
      <c r="K7" s="15">
        <f>L7+11583+14484</f>
        <v>41625</v>
      </c>
      <c r="L7" s="15">
        <f>3185*3+2001*3</f>
        <v>15558</v>
      </c>
      <c r="M7" s="16">
        <f t="shared" ref="M7:M20" si="9">L7-N7</f>
        <v>15558</v>
      </c>
      <c r="N7" s="16">
        <v>0</v>
      </c>
      <c r="O7" s="62">
        <f t="shared" ref="O7:O21" si="10">IF(L7=0,"0",N7/L7)</f>
        <v>0</v>
      </c>
      <c r="P7" s="42">
        <f t="shared" ref="P7:P20" si="11">IF(L7=0,"0",(24-Q7))</f>
        <v>24</v>
      </c>
      <c r="Q7" s="43">
        <f t="shared" ref="Q7:Q20" si="12">SUM(R7:AA7)</f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ref="AB7:AB20" si="13">IF(J7=0,"0",(L7/J7))</f>
        <v>0.99987146529562987</v>
      </c>
      <c r="AC7" s="9">
        <f t="shared" ref="AC7:AC20" si="14">IF(P7=0,"0",(P7/24))</f>
        <v>1</v>
      </c>
      <c r="AD7" s="10">
        <f t="shared" ref="AD7:AD20" si="15">AC7*AB7*(1-O7)</f>
        <v>0.99987146529562987</v>
      </c>
      <c r="AE7" s="39">
        <f t="shared" si="7"/>
        <v>0.59124148782448682</v>
      </c>
      <c r="AF7" s="94">
        <f t="shared" ref="AF7:AF20" si="16">A7</f>
        <v>2</v>
      </c>
    </row>
    <row r="8" spans="1:36" ht="27" customHeight="1">
      <c r="A8" s="109">
        <v>3</v>
      </c>
      <c r="B8" s="11" t="s">
        <v>57</v>
      </c>
      <c r="C8" s="37" t="s">
        <v>313</v>
      </c>
      <c r="D8" s="55" t="s">
        <v>127</v>
      </c>
      <c r="E8" s="57" t="s">
        <v>291</v>
      </c>
      <c r="F8" s="33" t="s">
        <v>263</v>
      </c>
      <c r="G8" s="12">
        <v>1</v>
      </c>
      <c r="H8" s="13">
        <v>25</v>
      </c>
      <c r="I8" s="34">
        <v>10000</v>
      </c>
      <c r="J8" s="5">
        <v>5210</v>
      </c>
      <c r="K8" s="15">
        <f>L8+4847+5369</f>
        <v>15422</v>
      </c>
      <c r="L8" s="15">
        <f>2695+2511</f>
        <v>5206</v>
      </c>
      <c r="M8" s="16">
        <f t="shared" si="9"/>
        <v>5206</v>
      </c>
      <c r="N8" s="16">
        <v>0</v>
      </c>
      <c r="O8" s="62">
        <f t="shared" si="10"/>
        <v>0</v>
      </c>
      <c r="P8" s="42">
        <f t="shared" si="11"/>
        <v>24</v>
      </c>
      <c r="Q8" s="43">
        <f t="shared" si="12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13"/>
        <v>0.99923224568138191</v>
      </c>
      <c r="AC8" s="9">
        <f t="shared" si="14"/>
        <v>1</v>
      </c>
      <c r="AD8" s="10">
        <f t="shared" si="15"/>
        <v>0.99923224568138191</v>
      </c>
      <c r="AE8" s="39">
        <f t="shared" si="7"/>
        <v>0.59124148782448682</v>
      </c>
      <c r="AF8" s="94">
        <f t="shared" si="16"/>
        <v>3</v>
      </c>
    </row>
    <row r="9" spans="1:36" ht="27" customHeight="1">
      <c r="A9" s="110">
        <v>4</v>
      </c>
      <c r="B9" s="11" t="s">
        <v>57</v>
      </c>
      <c r="C9" s="37" t="s">
        <v>122</v>
      </c>
      <c r="D9" s="55" t="s">
        <v>264</v>
      </c>
      <c r="E9" s="57" t="s">
        <v>315</v>
      </c>
      <c r="F9" s="33" t="s">
        <v>143</v>
      </c>
      <c r="G9" s="36">
        <v>1</v>
      </c>
      <c r="H9" s="38">
        <v>25</v>
      </c>
      <c r="I9" s="7">
        <v>10000</v>
      </c>
      <c r="J9" s="5">
        <v>3580</v>
      </c>
      <c r="K9" s="15">
        <f>L9+4225+5045</f>
        <v>12850</v>
      </c>
      <c r="L9" s="15">
        <f>2438+1142</f>
        <v>3580</v>
      </c>
      <c r="M9" s="16">
        <f t="shared" si="9"/>
        <v>3580</v>
      </c>
      <c r="N9" s="16">
        <v>0</v>
      </c>
      <c r="O9" s="62">
        <f t="shared" si="10"/>
        <v>0</v>
      </c>
      <c r="P9" s="42">
        <f t="shared" si="11"/>
        <v>19</v>
      </c>
      <c r="Q9" s="43">
        <f t="shared" si="12"/>
        <v>5</v>
      </c>
      <c r="R9" s="7"/>
      <c r="S9" s="6">
        <v>5</v>
      </c>
      <c r="T9" s="17"/>
      <c r="U9" s="17"/>
      <c r="V9" s="18"/>
      <c r="W9" s="19"/>
      <c r="X9" s="17"/>
      <c r="Y9" s="20"/>
      <c r="Z9" s="20"/>
      <c r="AA9" s="21"/>
      <c r="AB9" s="8">
        <f t="shared" si="13"/>
        <v>1</v>
      </c>
      <c r="AC9" s="9">
        <f t="shared" si="14"/>
        <v>0.79166666666666663</v>
      </c>
      <c r="AD9" s="10">
        <f t="shared" si="15"/>
        <v>0.79166666666666663</v>
      </c>
      <c r="AE9" s="39">
        <f t="shared" si="7"/>
        <v>0.59124148782448682</v>
      </c>
      <c r="AF9" s="94">
        <f t="shared" si="16"/>
        <v>4</v>
      </c>
    </row>
    <row r="10" spans="1:36" ht="27" customHeight="1">
      <c r="A10" s="110">
        <v>5</v>
      </c>
      <c r="B10" s="11" t="s">
        <v>57</v>
      </c>
      <c r="C10" s="11" t="s">
        <v>146</v>
      </c>
      <c r="D10" s="55" t="s">
        <v>356</v>
      </c>
      <c r="E10" s="57" t="s">
        <v>357</v>
      </c>
      <c r="F10" s="12" t="s">
        <v>358</v>
      </c>
      <c r="G10" s="12" t="s">
        <v>359</v>
      </c>
      <c r="H10" s="13">
        <v>20</v>
      </c>
      <c r="I10" s="34">
        <v>4000</v>
      </c>
      <c r="J10" s="14">
        <v>4731</v>
      </c>
      <c r="K10" s="15">
        <f>L10+4731</f>
        <v>4731</v>
      </c>
      <c r="L10" s="15"/>
      <c r="M10" s="16">
        <f t="shared" si="9"/>
        <v>0</v>
      </c>
      <c r="N10" s="16">
        <v>0</v>
      </c>
      <c r="O10" s="62" t="str">
        <f t="shared" si="10"/>
        <v>0</v>
      </c>
      <c r="P10" s="42" t="str">
        <f t="shared" si="11"/>
        <v>0</v>
      </c>
      <c r="Q10" s="43">
        <f t="shared" si="12"/>
        <v>24</v>
      </c>
      <c r="R10" s="7"/>
      <c r="S10" s="6">
        <v>24</v>
      </c>
      <c r="T10" s="17"/>
      <c r="U10" s="17"/>
      <c r="V10" s="18"/>
      <c r="W10" s="19"/>
      <c r="X10" s="17"/>
      <c r="Y10" s="20"/>
      <c r="Z10" s="20"/>
      <c r="AA10" s="21"/>
      <c r="AB10" s="8">
        <f t="shared" si="13"/>
        <v>0</v>
      </c>
      <c r="AC10" s="9">
        <f t="shared" si="14"/>
        <v>0</v>
      </c>
      <c r="AD10" s="10">
        <f t="shared" si="15"/>
        <v>0</v>
      </c>
      <c r="AE10" s="39">
        <f t="shared" si="7"/>
        <v>0.59124148782448682</v>
      </c>
      <c r="AF10" s="94">
        <f t="shared" si="16"/>
        <v>5</v>
      </c>
    </row>
    <row r="11" spans="1:36" ht="27" customHeight="1">
      <c r="A11" s="110">
        <v>6</v>
      </c>
      <c r="B11" s="11" t="s">
        <v>57</v>
      </c>
      <c r="C11" s="11" t="s">
        <v>146</v>
      </c>
      <c r="D11" s="55"/>
      <c r="E11" s="57" t="s">
        <v>178</v>
      </c>
      <c r="F11" s="12" t="s">
        <v>166</v>
      </c>
      <c r="G11" s="12">
        <v>1</v>
      </c>
      <c r="H11" s="13">
        <v>25</v>
      </c>
      <c r="I11" s="34">
        <v>9000</v>
      </c>
      <c r="J11" s="14">
        <v>1140</v>
      </c>
      <c r="K11" s="15">
        <f>L11+1140</f>
        <v>1140</v>
      </c>
      <c r="L11" s="15"/>
      <c r="M11" s="16">
        <f t="shared" si="9"/>
        <v>0</v>
      </c>
      <c r="N11" s="16">
        <v>0</v>
      </c>
      <c r="O11" s="62" t="str">
        <f t="shared" si="10"/>
        <v>0</v>
      </c>
      <c r="P11" s="42" t="str">
        <f t="shared" si="11"/>
        <v>0</v>
      </c>
      <c r="Q11" s="43">
        <f t="shared" si="12"/>
        <v>24</v>
      </c>
      <c r="R11" s="7"/>
      <c r="S11" s="6"/>
      <c r="T11" s="17"/>
      <c r="U11" s="17"/>
      <c r="V11" s="18">
        <v>24</v>
      </c>
      <c r="W11" s="19"/>
      <c r="X11" s="17"/>
      <c r="Y11" s="20"/>
      <c r="Z11" s="20"/>
      <c r="AA11" s="21"/>
      <c r="AB11" s="8">
        <f t="shared" si="13"/>
        <v>0</v>
      </c>
      <c r="AC11" s="9">
        <f t="shared" si="14"/>
        <v>0</v>
      </c>
      <c r="AD11" s="10">
        <f t="shared" si="15"/>
        <v>0</v>
      </c>
      <c r="AE11" s="39">
        <f t="shared" si="7"/>
        <v>0.59124148782448682</v>
      </c>
      <c r="AF11" s="94">
        <f t="shared" si="16"/>
        <v>6</v>
      </c>
    </row>
    <row r="12" spans="1:36" ht="27" customHeight="1">
      <c r="A12" s="110">
        <v>7</v>
      </c>
      <c r="B12" s="11" t="s">
        <v>57</v>
      </c>
      <c r="C12" s="11" t="s">
        <v>122</v>
      </c>
      <c r="D12" s="55" t="s">
        <v>133</v>
      </c>
      <c r="E12" s="57" t="s">
        <v>401</v>
      </c>
      <c r="F12" s="12" t="s">
        <v>402</v>
      </c>
      <c r="G12" s="12">
        <v>1</v>
      </c>
      <c r="H12" s="13">
        <v>25</v>
      </c>
      <c r="I12" s="7">
        <v>4000</v>
      </c>
      <c r="J12" s="14">
        <v>2610</v>
      </c>
      <c r="K12" s="15">
        <f>L12</f>
        <v>2605</v>
      </c>
      <c r="L12" s="15">
        <f>1423+1182</f>
        <v>2605</v>
      </c>
      <c r="M12" s="16">
        <f t="shared" si="9"/>
        <v>2605</v>
      </c>
      <c r="N12" s="16">
        <v>0</v>
      </c>
      <c r="O12" s="62">
        <f t="shared" si="10"/>
        <v>0</v>
      </c>
      <c r="P12" s="42">
        <f t="shared" si="11"/>
        <v>17</v>
      </c>
      <c r="Q12" s="43">
        <f t="shared" si="12"/>
        <v>7</v>
      </c>
      <c r="R12" s="7"/>
      <c r="S12" s="6">
        <v>7</v>
      </c>
      <c r="T12" s="17"/>
      <c r="U12" s="17"/>
      <c r="V12" s="18"/>
      <c r="W12" s="19"/>
      <c r="X12" s="17"/>
      <c r="Y12" s="20"/>
      <c r="Z12" s="20"/>
      <c r="AA12" s="21"/>
      <c r="AB12" s="8">
        <f t="shared" si="13"/>
        <v>0.99808429118773945</v>
      </c>
      <c r="AC12" s="9">
        <f t="shared" si="14"/>
        <v>0.70833333333333337</v>
      </c>
      <c r="AD12" s="10">
        <f t="shared" si="15"/>
        <v>0.70697637292464877</v>
      </c>
      <c r="AE12" s="39">
        <f t="shared" si="7"/>
        <v>0.59124148782448682</v>
      </c>
      <c r="AF12" s="94">
        <f t="shared" si="16"/>
        <v>7</v>
      </c>
    </row>
    <row r="13" spans="1:36" ht="27" customHeight="1">
      <c r="A13" s="110">
        <v>8</v>
      </c>
      <c r="B13" s="11" t="s">
        <v>57</v>
      </c>
      <c r="C13" s="11" t="s">
        <v>313</v>
      </c>
      <c r="D13" s="55" t="s">
        <v>144</v>
      </c>
      <c r="E13" s="57" t="s">
        <v>293</v>
      </c>
      <c r="F13" s="12">
        <v>7301</v>
      </c>
      <c r="G13" s="12">
        <v>1</v>
      </c>
      <c r="H13" s="13">
        <v>25</v>
      </c>
      <c r="I13" s="7">
        <v>10000</v>
      </c>
      <c r="J13" s="14">
        <v>5360</v>
      </c>
      <c r="K13" s="15">
        <f>L13+3056</f>
        <v>8416</v>
      </c>
      <c r="L13" s="15">
        <f>2665+2695</f>
        <v>5360</v>
      </c>
      <c r="M13" s="16">
        <f t="shared" si="9"/>
        <v>5360</v>
      </c>
      <c r="N13" s="16">
        <v>0</v>
      </c>
      <c r="O13" s="62">
        <f t="shared" si="10"/>
        <v>0</v>
      </c>
      <c r="P13" s="42">
        <f t="shared" si="11"/>
        <v>24</v>
      </c>
      <c r="Q13" s="43">
        <f t="shared" si="12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13"/>
        <v>1</v>
      </c>
      <c r="AC13" s="9">
        <f t="shared" si="14"/>
        <v>1</v>
      </c>
      <c r="AD13" s="10">
        <f t="shared" si="15"/>
        <v>1</v>
      </c>
      <c r="AE13" s="39">
        <f t="shared" si="7"/>
        <v>0.59124148782448682</v>
      </c>
      <c r="AF13" s="94">
        <f t="shared" si="16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128</v>
      </c>
      <c r="E14" s="57" t="s">
        <v>174</v>
      </c>
      <c r="F14" s="33" t="s">
        <v>181</v>
      </c>
      <c r="G14" s="36">
        <v>1</v>
      </c>
      <c r="H14" s="38">
        <v>25</v>
      </c>
      <c r="I14" s="7">
        <v>200</v>
      </c>
      <c r="J14" s="5">
        <v>206</v>
      </c>
      <c r="K14" s="15">
        <f>L14+190+206</f>
        <v>396</v>
      </c>
      <c r="L14" s="15"/>
      <c r="M14" s="16">
        <f t="shared" si="9"/>
        <v>0</v>
      </c>
      <c r="N14" s="16">
        <v>0</v>
      </c>
      <c r="O14" s="62" t="str">
        <f t="shared" si="10"/>
        <v>0</v>
      </c>
      <c r="P14" s="42" t="str">
        <f t="shared" si="11"/>
        <v>0</v>
      </c>
      <c r="Q14" s="43">
        <f t="shared" si="12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13"/>
        <v>0</v>
      </c>
      <c r="AC14" s="9">
        <f t="shared" si="14"/>
        <v>0</v>
      </c>
      <c r="AD14" s="10">
        <f t="shared" si="15"/>
        <v>0</v>
      </c>
      <c r="AE14" s="39">
        <f t="shared" si="7"/>
        <v>0.59124148782448682</v>
      </c>
      <c r="AF14" s="94">
        <f t="shared" si="16"/>
        <v>9</v>
      </c>
    </row>
    <row r="15" spans="1:36" ht="27" customHeight="1">
      <c r="A15" s="109">
        <v>10</v>
      </c>
      <c r="B15" s="11" t="s">
        <v>57</v>
      </c>
      <c r="C15" s="11" t="s">
        <v>123</v>
      </c>
      <c r="D15" s="55" t="s">
        <v>269</v>
      </c>
      <c r="E15" s="57" t="s">
        <v>270</v>
      </c>
      <c r="F15" s="12" t="s">
        <v>151</v>
      </c>
      <c r="G15" s="12">
        <v>4</v>
      </c>
      <c r="H15" s="13">
        <v>24</v>
      </c>
      <c r="I15" s="34">
        <v>30000</v>
      </c>
      <c r="J15" s="14">
        <v>23320</v>
      </c>
      <c r="K15" s="15">
        <f>L15+21536+23312</f>
        <v>44848</v>
      </c>
      <c r="L15" s="15"/>
      <c r="M15" s="16">
        <f t="shared" si="9"/>
        <v>0</v>
      </c>
      <c r="N15" s="16">
        <v>0</v>
      </c>
      <c r="O15" s="62" t="str">
        <f t="shared" si="10"/>
        <v>0</v>
      </c>
      <c r="P15" s="42" t="str">
        <f t="shared" si="11"/>
        <v>0</v>
      </c>
      <c r="Q15" s="43">
        <f t="shared" si="12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13"/>
        <v>0</v>
      </c>
      <c r="AC15" s="9">
        <f t="shared" si="14"/>
        <v>0</v>
      </c>
      <c r="AD15" s="10">
        <f t="shared" si="15"/>
        <v>0</v>
      </c>
      <c r="AE15" s="39">
        <f t="shared" si="7"/>
        <v>0.59124148782448682</v>
      </c>
      <c r="AF15" s="94">
        <f t="shared" si="16"/>
        <v>10</v>
      </c>
    </row>
    <row r="16" spans="1:36" ht="27.75" customHeight="1">
      <c r="A16" s="109">
        <v>11</v>
      </c>
      <c r="B16" s="11" t="s">
        <v>57</v>
      </c>
      <c r="C16" s="11" t="s">
        <v>313</v>
      </c>
      <c r="D16" s="55" t="s">
        <v>317</v>
      </c>
      <c r="E16" s="56" t="s">
        <v>318</v>
      </c>
      <c r="F16" s="12">
        <v>7301</v>
      </c>
      <c r="G16" s="36">
        <v>1</v>
      </c>
      <c r="H16" s="38">
        <v>25</v>
      </c>
      <c r="I16" s="7">
        <v>10000</v>
      </c>
      <c r="J16" s="14">
        <v>4140</v>
      </c>
      <c r="K16" s="15">
        <f>L16+2979+4410</f>
        <v>11521</v>
      </c>
      <c r="L16" s="15">
        <f>1558+2574</f>
        <v>4132</v>
      </c>
      <c r="M16" s="16">
        <f t="shared" si="9"/>
        <v>4132</v>
      </c>
      <c r="N16" s="16">
        <v>0</v>
      </c>
      <c r="O16" s="62">
        <f t="shared" si="10"/>
        <v>0</v>
      </c>
      <c r="P16" s="42">
        <f t="shared" si="11"/>
        <v>20</v>
      </c>
      <c r="Q16" s="43">
        <f t="shared" si="12"/>
        <v>4</v>
      </c>
      <c r="R16" s="7"/>
      <c r="S16" s="6"/>
      <c r="T16" s="17"/>
      <c r="U16" s="17"/>
      <c r="V16" s="18"/>
      <c r="W16" s="19">
        <v>4</v>
      </c>
      <c r="X16" s="17"/>
      <c r="Y16" s="20"/>
      <c r="Z16" s="20"/>
      <c r="AA16" s="21"/>
      <c r="AB16" s="8">
        <f t="shared" si="13"/>
        <v>0.99806763285024158</v>
      </c>
      <c r="AC16" s="9">
        <f t="shared" si="14"/>
        <v>0.83333333333333337</v>
      </c>
      <c r="AD16" s="10">
        <f t="shared" si="15"/>
        <v>0.83172302737520132</v>
      </c>
      <c r="AE16" s="39">
        <f t="shared" si="7"/>
        <v>0.59124148782448682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403</v>
      </c>
      <c r="D17" s="55" t="s">
        <v>404</v>
      </c>
      <c r="E17" s="57" t="s">
        <v>405</v>
      </c>
      <c r="F17" s="12">
        <v>8301</v>
      </c>
      <c r="G17" s="12">
        <v>1</v>
      </c>
      <c r="H17" s="13">
        <v>25</v>
      </c>
      <c r="I17" s="34">
        <v>650</v>
      </c>
      <c r="J17" s="5">
        <v>1140</v>
      </c>
      <c r="K17" s="15">
        <f>L17</f>
        <v>1140</v>
      </c>
      <c r="L17" s="15">
        <v>1140</v>
      </c>
      <c r="M17" s="16">
        <f t="shared" si="9"/>
        <v>1140</v>
      </c>
      <c r="N17" s="16">
        <v>0</v>
      </c>
      <c r="O17" s="62">
        <f t="shared" si="10"/>
        <v>0</v>
      </c>
      <c r="P17" s="42">
        <f t="shared" si="11"/>
        <v>6</v>
      </c>
      <c r="Q17" s="43">
        <f t="shared" si="12"/>
        <v>18</v>
      </c>
      <c r="R17" s="7"/>
      <c r="S17" s="6"/>
      <c r="T17" s="17"/>
      <c r="U17" s="17"/>
      <c r="V17" s="18"/>
      <c r="W17" s="19">
        <v>18</v>
      </c>
      <c r="X17" s="17"/>
      <c r="Y17" s="20"/>
      <c r="Z17" s="20"/>
      <c r="AA17" s="21"/>
      <c r="AB17" s="8">
        <f t="shared" si="13"/>
        <v>1</v>
      </c>
      <c r="AC17" s="9">
        <f t="shared" si="14"/>
        <v>0.25</v>
      </c>
      <c r="AD17" s="10">
        <f t="shared" si="15"/>
        <v>0.25</v>
      </c>
      <c r="AE17" s="39">
        <f t="shared" si="7"/>
        <v>0.59124148782448682</v>
      </c>
      <c r="AF17" s="94">
        <f t="shared" ref="AF17:AF18" si="17">A17</f>
        <v>12</v>
      </c>
    </row>
    <row r="18" spans="1:32" ht="27" customHeight="1">
      <c r="A18" s="110">
        <v>13</v>
      </c>
      <c r="B18" s="11" t="s">
        <v>57</v>
      </c>
      <c r="C18" s="37" t="s">
        <v>406</v>
      </c>
      <c r="D18" s="55" t="s">
        <v>407</v>
      </c>
      <c r="E18" s="57" t="s">
        <v>408</v>
      </c>
      <c r="F18" s="33" t="s">
        <v>409</v>
      </c>
      <c r="G18" s="36">
        <v>1</v>
      </c>
      <c r="H18" s="38">
        <v>25</v>
      </c>
      <c r="I18" s="7">
        <v>10000</v>
      </c>
      <c r="J18" s="5">
        <v>1860</v>
      </c>
      <c r="K18" s="15">
        <f>L18</f>
        <v>1856</v>
      </c>
      <c r="L18" s="15">
        <v>1856</v>
      </c>
      <c r="M18" s="16">
        <f t="shared" si="9"/>
        <v>1856</v>
      </c>
      <c r="N18" s="16">
        <v>0</v>
      </c>
      <c r="O18" s="62">
        <f t="shared" si="10"/>
        <v>0</v>
      </c>
      <c r="P18" s="42">
        <f t="shared" si="11"/>
        <v>12</v>
      </c>
      <c r="Q18" s="43">
        <f t="shared" si="12"/>
        <v>12</v>
      </c>
      <c r="R18" s="7"/>
      <c r="S18" s="6"/>
      <c r="T18" s="17">
        <v>12</v>
      </c>
      <c r="U18" s="17"/>
      <c r="V18" s="18"/>
      <c r="W18" s="19"/>
      <c r="X18" s="17"/>
      <c r="Y18" s="20"/>
      <c r="Z18" s="20"/>
      <c r="AA18" s="21"/>
      <c r="AB18" s="8">
        <f t="shared" si="13"/>
        <v>0.99784946236559136</v>
      </c>
      <c r="AC18" s="9">
        <f t="shared" si="14"/>
        <v>0.5</v>
      </c>
      <c r="AD18" s="10">
        <f t="shared" si="15"/>
        <v>0.49892473118279568</v>
      </c>
      <c r="AE18" s="39">
        <f t="shared" si="7"/>
        <v>0.59124148782448682</v>
      </c>
      <c r="AF18" s="94">
        <f t="shared" si="17"/>
        <v>13</v>
      </c>
    </row>
    <row r="19" spans="1:32" ht="27" customHeight="1">
      <c r="A19" s="110">
        <v>14</v>
      </c>
      <c r="B19" s="11" t="s">
        <v>57</v>
      </c>
      <c r="C19" s="11" t="s">
        <v>146</v>
      </c>
      <c r="D19" s="55" t="s">
        <v>169</v>
      </c>
      <c r="E19" s="57" t="s">
        <v>168</v>
      </c>
      <c r="F19" s="12" t="s">
        <v>138</v>
      </c>
      <c r="G19" s="12" t="s">
        <v>170</v>
      </c>
      <c r="H19" s="13">
        <v>25</v>
      </c>
      <c r="I19" s="7">
        <v>130000</v>
      </c>
      <c r="J19" s="14">
        <v>5390</v>
      </c>
      <c r="K19" s="15">
        <f>L19+3258+4398+5144+3460+6323+4564</f>
        <v>32531</v>
      </c>
      <c r="L19" s="15">
        <f>2364+3020</f>
        <v>5384</v>
      </c>
      <c r="M19" s="16">
        <f t="shared" si="9"/>
        <v>5384</v>
      </c>
      <c r="N19" s="16">
        <v>0</v>
      </c>
      <c r="O19" s="62">
        <f t="shared" si="10"/>
        <v>0</v>
      </c>
      <c r="P19" s="42">
        <f t="shared" si="11"/>
        <v>20</v>
      </c>
      <c r="Q19" s="43">
        <f t="shared" si="12"/>
        <v>4</v>
      </c>
      <c r="R19" s="7"/>
      <c r="S19" s="6">
        <v>4</v>
      </c>
      <c r="T19" s="17"/>
      <c r="U19" s="17"/>
      <c r="V19" s="18"/>
      <c r="W19" s="19"/>
      <c r="X19" s="17"/>
      <c r="Y19" s="20"/>
      <c r="Z19" s="20"/>
      <c r="AA19" s="21"/>
      <c r="AB19" s="8">
        <f t="shared" si="13"/>
        <v>0.99888682745825608</v>
      </c>
      <c r="AC19" s="9">
        <f t="shared" si="14"/>
        <v>0.83333333333333337</v>
      </c>
      <c r="AD19" s="10">
        <f t="shared" si="15"/>
        <v>0.83240568954854677</v>
      </c>
      <c r="AE19" s="39">
        <f t="shared" si="7"/>
        <v>0.59124148782448682</v>
      </c>
      <c r="AF19" s="94">
        <f t="shared" si="16"/>
        <v>14</v>
      </c>
    </row>
    <row r="20" spans="1:32" ht="27" customHeight="1" thickBot="1">
      <c r="A20" s="110">
        <v>15</v>
      </c>
      <c r="B20" s="11" t="s">
        <v>57</v>
      </c>
      <c r="C20" s="11" t="s">
        <v>124</v>
      </c>
      <c r="D20" s="55"/>
      <c r="E20" s="56" t="s">
        <v>274</v>
      </c>
      <c r="F20" s="12" t="s">
        <v>125</v>
      </c>
      <c r="G20" s="12">
        <v>4</v>
      </c>
      <c r="H20" s="38">
        <v>20</v>
      </c>
      <c r="I20" s="7">
        <v>800000</v>
      </c>
      <c r="J20" s="14">
        <v>45730</v>
      </c>
      <c r="K20" s="15">
        <f>L20+29128+42972+45096</f>
        <v>162924</v>
      </c>
      <c r="L20" s="15">
        <f>5730*4+5702*4</f>
        <v>45728</v>
      </c>
      <c r="M20" s="16">
        <f t="shared" si="9"/>
        <v>45728</v>
      </c>
      <c r="N20" s="16">
        <v>0</v>
      </c>
      <c r="O20" s="62">
        <f t="shared" si="10"/>
        <v>0</v>
      </c>
      <c r="P20" s="42">
        <f t="shared" si="11"/>
        <v>24</v>
      </c>
      <c r="Q20" s="43">
        <f t="shared" si="12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13"/>
        <v>0.99995626503389456</v>
      </c>
      <c r="AC20" s="9">
        <f t="shared" si="14"/>
        <v>1</v>
      </c>
      <c r="AD20" s="10">
        <f t="shared" si="15"/>
        <v>0.99995626503389456</v>
      </c>
      <c r="AE20" s="39">
        <f t="shared" si="7"/>
        <v>0.59124148782448682</v>
      </c>
      <c r="AF20" s="94">
        <f t="shared" si="16"/>
        <v>15</v>
      </c>
    </row>
    <row r="21" spans="1:32" ht="31.5" customHeight="1" thickBot="1">
      <c r="A21" s="369" t="s">
        <v>34</v>
      </c>
      <c r="B21" s="370"/>
      <c r="C21" s="370"/>
      <c r="D21" s="370"/>
      <c r="E21" s="370"/>
      <c r="F21" s="370"/>
      <c r="G21" s="370"/>
      <c r="H21" s="371"/>
      <c r="I21" s="25">
        <f t="shared" ref="I21:N21" si="18">SUM(I6:I20)</f>
        <v>1138850</v>
      </c>
      <c r="J21" s="22">
        <f t="shared" si="18"/>
        <v>124077</v>
      </c>
      <c r="K21" s="23">
        <f t="shared" si="18"/>
        <v>346103</v>
      </c>
      <c r="L21" s="24">
        <f t="shared" si="18"/>
        <v>94647</v>
      </c>
      <c r="M21" s="23">
        <f t="shared" si="18"/>
        <v>94647</v>
      </c>
      <c r="N21" s="24">
        <f t="shared" si="18"/>
        <v>0</v>
      </c>
      <c r="O21" s="44">
        <f t="shared" si="10"/>
        <v>0</v>
      </c>
      <c r="P21" s="45">
        <f t="shared" ref="P21:AA21" si="19">SUM(P6:P20)</f>
        <v>213</v>
      </c>
      <c r="Q21" s="46">
        <f t="shared" si="19"/>
        <v>147</v>
      </c>
      <c r="R21" s="26">
        <f t="shared" si="19"/>
        <v>0</v>
      </c>
      <c r="S21" s="27">
        <f t="shared" si="19"/>
        <v>40</v>
      </c>
      <c r="T21" s="27">
        <f t="shared" si="19"/>
        <v>13</v>
      </c>
      <c r="U21" s="27">
        <f t="shared" si="19"/>
        <v>0</v>
      </c>
      <c r="V21" s="28">
        <f t="shared" si="19"/>
        <v>24</v>
      </c>
      <c r="W21" s="29">
        <f t="shared" si="19"/>
        <v>70</v>
      </c>
      <c r="X21" s="30">
        <f t="shared" si="19"/>
        <v>0</v>
      </c>
      <c r="Y21" s="30">
        <f t="shared" si="19"/>
        <v>0</v>
      </c>
      <c r="Z21" s="30">
        <f t="shared" si="19"/>
        <v>0</v>
      </c>
      <c r="AA21" s="30">
        <f t="shared" si="19"/>
        <v>0</v>
      </c>
      <c r="AB21" s="31">
        <f>SUM(AB6:AB20)/15</f>
        <v>0.73276402566631238</v>
      </c>
      <c r="AC21" s="4">
        <f>SUM(AC6:AC20)/15</f>
        <v>0.59166666666666667</v>
      </c>
      <c r="AD21" s="4">
        <f>SUM(AD6:AD20)/15</f>
        <v>0.59124148782448682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2" t="s">
        <v>45</v>
      </c>
      <c r="B48" s="372"/>
      <c r="C48" s="372"/>
      <c r="D48" s="372"/>
      <c r="E48" s="37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3" t="s">
        <v>410</v>
      </c>
      <c r="B49" s="374"/>
      <c r="C49" s="374"/>
      <c r="D49" s="374"/>
      <c r="E49" s="374"/>
      <c r="F49" s="374"/>
      <c r="G49" s="374"/>
      <c r="H49" s="374"/>
      <c r="I49" s="374"/>
      <c r="J49" s="374"/>
      <c r="K49" s="374"/>
      <c r="L49" s="374"/>
      <c r="M49" s="375"/>
      <c r="N49" s="376" t="s">
        <v>431</v>
      </c>
      <c r="O49" s="377"/>
      <c r="P49" s="377"/>
      <c r="Q49" s="377"/>
      <c r="R49" s="377"/>
      <c r="S49" s="377"/>
      <c r="T49" s="377"/>
      <c r="U49" s="377"/>
      <c r="V49" s="377"/>
      <c r="W49" s="377"/>
      <c r="X49" s="377"/>
      <c r="Y49" s="377"/>
      <c r="Z49" s="377"/>
      <c r="AA49" s="377"/>
      <c r="AB49" s="377"/>
      <c r="AC49" s="377"/>
      <c r="AD49" s="378"/>
    </row>
    <row r="50" spans="1:32" ht="27" customHeight="1">
      <c r="A50" s="379" t="s">
        <v>2</v>
      </c>
      <c r="B50" s="380"/>
      <c r="C50" s="196" t="s">
        <v>46</v>
      </c>
      <c r="D50" s="196" t="s">
        <v>47</v>
      </c>
      <c r="E50" s="196" t="s">
        <v>108</v>
      </c>
      <c r="F50" s="380" t="s">
        <v>107</v>
      </c>
      <c r="G50" s="380"/>
      <c r="H50" s="380"/>
      <c r="I50" s="380"/>
      <c r="J50" s="380"/>
      <c r="K50" s="380"/>
      <c r="L50" s="380"/>
      <c r="M50" s="381"/>
      <c r="N50" s="73" t="s">
        <v>112</v>
      </c>
      <c r="O50" s="196" t="s">
        <v>46</v>
      </c>
      <c r="P50" s="382" t="s">
        <v>47</v>
      </c>
      <c r="Q50" s="383"/>
      <c r="R50" s="382" t="s">
        <v>38</v>
      </c>
      <c r="S50" s="384"/>
      <c r="T50" s="384"/>
      <c r="U50" s="383"/>
      <c r="V50" s="382" t="s">
        <v>48</v>
      </c>
      <c r="W50" s="384"/>
      <c r="X50" s="384"/>
      <c r="Y50" s="384"/>
      <c r="Z50" s="384"/>
      <c r="AA50" s="384"/>
      <c r="AB50" s="384"/>
      <c r="AC50" s="384"/>
      <c r="AD50" s="385"/>
    </row>
    <row r="51" spans="1:32" ht="27" customHeight="1">
      <c r="A51" s="396" t="s">
        <v>146</v>
      </c>
      <c r="B51" s="397"/>
      <c r="C51" s="195" t="s">
        <v>131</v>
      </c>
      <c r="D51" s="192" t="s">
        <v>169</v>
      </c>
      <c r="E51" s="195" t="s">
        <v>168</v>
      </c>
      <c r="F51" s="398" t="s">
        <v>411</v>
      </c>
      <c r="G51" s="398"/>
      <c r="H51" s="398"/>
      <c r="I51" s="398"/>
      <c r="J51" s="398"/>
      <c r="K51" s="398"/>
      <c r="L51" s="398"/>
      <c r="M51" s="399"/>
      <c r="N51" s="191" t="s">
        <v>167</v>
      </c>
      <c r="O51" s="74" t="s">
        <v>338</v>
      </c>
      <c r="P51" s="400" t="s">
        <v>264</v>
      </c>
      <c r="Q51" s="401"/>
      <c r="R51" s="402" t="s">
        <v>432</v>
      </c>
      <c r="S51" s="402"/>
      <c r="T51" s="402"/>
      <c r="U51" s="402"/>
      <c r="V51" s="398" t="s">
        <v>426</v>
      </c>
      <c r="W51" s="398"/>
      <c r="X51" s="398"/>
      <c r="Y51" s="398"/>
      <c r="Z51" s="398"/>
      <c r="AA51" s="398"/>
      <c r="AB51" s="398"/>
      <c r="AC51" s="398"/>
      <c r="AD51" s="399"/>
    </row>
    <row r="52" spans="1:32" ht="27" customHeight="1">
      <c r="A52" s="396" t="s">
        <v>412</v>
      </c>
      <c r="B52" s="397"/>
      <c r="C52" s="195" t="s">
        <v>281</v>
      </c>
      <c r="D52" s="192" t="s">
        <v>413</v>
      </c>
      <c r="E52" s="195" t="s">
        <v>401</v>
      </c>
      <c r="F52" s="398" t="s">
        <v>414</v>
      </c>
      <c r="G52" s="398"/>
      <c r="H52" s="398"/>
      <c r="I52" s="398"/>
      <c r="J52" s="398"/>
      <c r="K52" s="398"/>
      <c r="L52" s="398"/>
      <c r="M52" s="399"/>
      <c r="N52" s="191" t="s">
        <v>122</v>
      </c>
      <c r="O52" s="74" t="s">
        <v>433</v>
      </c>
      <c r="P52" s="400" t="s">
        <v>434</v>
      </c>
      <c r="Q52" s="401"/>
      <c r="R52" s="402" t="s">
        <v>435</v>
      </c>
      <c r="S52" s="402"/>
      <c r="T52" s="402"/>
      <c r="U52" s="402"/>
      <c r="V52" s="398" t="s">
        <v>426</v>
      </c>
      <c r="W52" s="398"/>
      <c r="X52" s="398"/>
      <c r="Y52" s="398"/>
      <c r="Z52" s="398"/>
      <c r="AA52" s="398"/>
      <c r="AB52" s="398"/>
      <c r="AC52" s="398"/>
      <c r="AD52" s="399"/>
    </row>
    <row r="53" spans="1:32" ht="27" customHeight="1">
      <c r="A53" s="396" t="s">
        <v>146</v>
      </c>
      <c r="B53" s="397"/>
      <c r="C53" s="195" t="s">
        <v>373</v>
      </c>
      <c r="D53" s="192" t="s">
        <v>441</v>
      </c>
      <c r="E53" s="195" t="s">
        <v>439</v>
      </c>
      <c r="F53" s="398" t="s">
        <v>415</v>
      </c>
      <c r="G53" s="398"/>
      <c r="H53" s="398"/>
      <c r="I53" s="398"/>
      <c r="J53" s="398"/>
      <c r="K53" s="398"/>
      <c r="L53" s="398"/>
      <c r="M53" s="399"/>
      <c r="N53" s="191" t="s">
        <v>167</v>
      </c>
      <c r="O53" s="74" t="s">
        <v>281</v>
      </c>
      <c r="P53" s="402" t="s">
        <v>388</v>
      </c>
      <c r="Q53" s="402"/>
      <c r="R53" s="402" t="s">
        <v>389</v>
      </c>
      <c r="S53" s="402"/>
      <c r="T53" s="402"/>
      <c r="U53" s="402"/>
      <c r="V53" s="398" t="s">
        <v>436</v>
      </c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 t="s">
        <v>377</v>
      </c>
      <c r="B54" s="397"/>
      <c r="C54" s="195" t="s">
        <v>378</v>
      </c>
      <c r="D54" s="192" t="s">
        <v>169</v>
      </c>
      <c r="E54" s="195" t="s">
        <v>379</v>
      </c>
      <c r="F54" s="398" t="s">
        <v>416</v>
      </c>
      <c r="G54" s="398"/>
      <c r="H54" s="398"/>
      <c r="I54" s="398"/>
      <c r="J54" s="398"/>
      <c r="K54" s="398"/>
      <c r="L54" s="398"/>
      <c r="M54" s="399"/>
      <c r="N54" s="191" t="s">
        <v>437</v>
      </c>
      <c r="O54" s="74" t="s">
        <v>438</v>
      </c>
      <c r="P54" s="400" t="s">
        <v>442</v>
      </c>
      <c r="Q54" s="401"/>
      <c r="R54" s="402" t="s">
        <v>440</v>
      </c>
      <c r="S54" s="402"/>
      <c r="T54" s="402"/>
      <c r="U54" s="402"/>
      <c r="V54" s="398" t="s">
        <v>436</v>
      </c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 t="s">
        <v>167</v>
      </c>
      <c r="B55" s="397"/>
      <c r="C55" s="195" t="s">
        <v>417</v>
      </c>
      <c r="D55" s="192" t="s">
        <v>381</v>
      </c>
      <c r="E55" s="195" t="s">
        <v>382</v>
      </c>
      <c r="F55" s="398" t="s">
        <v>418</v>
      </c>
      <c r="G55" s="398"/>
      <c r="H55" s="398"/>
      <c r="I55" s="398"/>
      <c r="J55" s="398"/>
      <c r="K55" s="398"/>
      <c r="L55" s="398"/>
      <c r="M55" s="399"/>
      <c r="N55" s="191"/>
      <c r="O55" s="74"/>
      <c r="P55" s="400"/>
      <c r="Q55" s="401"/>
      <c r="R55" s="402"/>
      <c r="S55" s="402"/>
      <c r="T55" s="402"/>
      <c r="U55" s="402"/>
      <c r="V55" s="398"/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 t="s">
        <v>122</v>
      </c>
      <c r="B56" s="397"/>
      <c r="C56" s="195" t="s">
        <v>419</v>
      </c>
      <c r="D56" s="192" t="s">
        <v>420</v>
      </c>
      <c r="E56" s="195" t="s">
        <v>421</v>
      </c>
      <c r="F56" s="398" t="s">
        <v>422</v>
      </c>
      <c r="G56" s="398"/>
      <c r="H56" s="398"/>
      <c r="I56" s="398"/>
      <c r="J56" s="398"/>
      <c r="K56" s="398"/>
      <c r="L56" s="398"/>
      <c r="M56" s="399"/>
      <c r="N56" s="191"/>
      <c r="O56" s="74"/>
      <c r="P56" s="402"/>
      <c r="Q56" s="402"/>
      <c r="R56" s="402"/>
      <c r="S56" s="402"/>
      <c r="T56" s="402"/>
      <c r="U56" s="402"/>
      <c r="V56" s="398"/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 t="s">
        <v>403</v>
      </c>
      <c r="B57" s="397"/>
      <c r="C57" s="195" t="s">
        <v>423</v>
      </c>
      <c r="D57" s="192" t="s">
        <v>424</v>
      </c>
      <c r="E57" s="195" t="s">
        <v>425</v>
      </c>
      <c r="F57" s="398" t="s">
        <v>426</v>
      </c>
      <c r="G57" s="398"/>
      <c r="H57" s="398"/>
      <c r="I57" s="398"/>
      <c r="J57" s="398"/>
      <c r="K57" s="398"/>
      <c r="L57" s="398"/>
      <c r="M57" s="399"/>
      <c r="N57" s="191"/>
      <c r="O57" s="74"/>
      <c r="P57" s="400"/>
      <c r="Q57" s="401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 t="s">
        <v>427</v>
      </c>
      <c r="B58" s="397"/>
      <c r="C58" s="195" t="s">
        <v>428</v>
      </c>
      <c r="D58" s="192" t="s">
        <v>429</v>
      </c>
      <c r="E58" s="195" t="s">
        <v>430</v>
      </c>
      <c r="F58" s="398" t="s">
        <v>426</v>
      </c>
      <c r="G58" s="398"/>
      <c r="H58" s="398"/>
      <c r="I58" s="398"/>
      <c r="J58" s="398"/>
      <c r="K58" s="398"/>
      <c r="L58" s="398"/>
      <c r="M58" s="399"/>
      <c r="N58" s="191"/>
      <c r="O58" s="74"/>
      <c r="P58" s="400"/>
      <c r="Q58" s="401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412"/>
      <c r="B59" s="402"/>
      <c r="C59" s="192"/>
      <c r="D59" s="192"/>
      <c r="E59" s="192"/>
      <c r="F59" s="398"/>
      <c r="G59" s="398"/>
      <c r="H59" s="398"/>
      <c r="I59" s="398"/>
      <c r="J59" s="398"/>
      <c r="K59" s="398"/>
      <c r="L59" s="398"/>
      <c r="M59" s="399"/>
      <c r="N59" s="191"/>
      <c r="O59" s="74"/>
      <c r="P59" s="402"/>
      <c r="Q59" s="402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  <c r="AF59" s="94">
        <f>8*3000</f>
        <v>24000</v>
      </c>
    </row>
    <row r="60" spans="1:32" ht="27" customHeight="1" thickBot="1">
      <c r="A60" s="403"/>
      <c r="B60" s="404"/>
      <c r="C60" s="194"/>
      <c r="D60" s="194"/>
      <c r="E60" s="194"/>
      <c r="F60" s="405"/>
      <c r="G60" s="405"/>
      <c r="H60" s="405"/>
      <c r="I60" s="405"/>
      <c r="J60" s="405"/>
      <c r="K60" s="405"/>
      <c r="L60" s="405"/>
      <c r="M60" s="406"/>
      <c r="N60" s="193"/>
      <c r="O60" s="121"/>
      <c r="P60" s="404"/>
      <c r="Q60" s="404"/>
      <c r="R60" s="404"/>
      <c r="S60" s="404"/>
      <c r="T60" s="404"/>
      <c r="U60" s="404"/>
      <c r="V60" s="405"/>
      <c r="W60" s="405"/>
      <c r="X60" s="405"/>
      <c r="Y60" s="405"/>
      <c r="Z60" s="405"/>
      <c r="AA60" s="405"/>
      <c r="AB60" s="405"/>
      <c r="AC60" s="405"/>
      <c r="AD60" s="406"/>
      <c r="AF60" s="94">
        <f>16*3000</f>
        <v>48000</v>
      </c>
    </row>
    <row r="61" spans="1:32" ht="27.75" thickBot="1">
      <c r="A61" s="407" t="s">
        <v>443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190" t="s">
        <v>2</v>
      </c>
      <c r="D62" s="190" t="s">
        <v>37</v>
      </c>
      <c r="E62" s="190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190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3"/>
      <c r="T62" s="413"/>
      <c r="U62" s="413"/>
      <c r="V62" s="413"/>
      <c r="W62" s="413"/>
      <c r="X62" s="413"/>
      <c r="Y62" s="413"/>
      <c r="Z62" s="413"/>
      <c r="AA62" s="411"/>
      <c r="AB62" s="409" t="s">
        <v>44</v>
      </c>
      <c r="AC62" s="409"/>
      <c r="AD62" s="414"/>
      <c r="AF62" s="94">
        <f>SUM(AF59:AF61)</f>
        <v>96000</v>
      </c>
    </row>
    <row r="63" spans="1:32" ht="25.5" customHeight="1">
      <c r="A63" s="415">
        <v>1</v>
      </c>
      <c r="B63" s="416"/>
      <c r="C63" s="124" t="s">
        <v>437</v>
      </c>
      <c r="D63" s="186"/>
      <c r="E63" s="189" t="s">
        <v>444</v>
      </c>
      <c r="F63" s="417" t="s">
        <v>445</v>
      </c>
      <c r="G63" s="418"/>
      <c r="H63" s="418"/>
      <c r="I63" s="418"/>
      <c r="J63" s="418"/>
      <c r="K63" s="418" t="s">
        <v>350</v>
      </c>
      <c r="L63" s="418"/>
      <c r="M63" s="54" t="s">
        <v>397</v>
      </c>
      <c r="N63" s="418">
        <v>5</v>
      </c>
      <c r="O63" s="418"/>
      <c r="P63" s="419">
        <v>100</v>
      </c>
      <c r="Q63" s="419"/>
      <c r="R63" s="398" t="s">
        <v>446</v>
      </c>
      <c r="S63" s="398"/>
      <c r="T63" s="398"/>
      <c r="U63" s="398"/>
      <c r="V63" s="398"/>
      <c r="W63" s="398"/>
      <c r="X63" s="398"/>
      <c r="Y63" s="398"/>
      <c r="Z63" s="398"/>
      <c r="AA63" s="398"/>
      <c r="AB63" s="418"/>
      <c r="AC63" s="418"/>
      <c r="AD63" s="420"/>
      <c r="AF63" s="53"/>
    </row>
    <row r="64" spans="1:32" ht="25.5" customHeight="1">
      <c r="A64" s="415">
        <v>2</v>
      </c>
      <c r="B64" s="416"/>
      <c r="C64" s="124"/>
      <c r="D64" s="186"/>
      <c r="E64" s="189"/>
      <c r="F64" s="417"/>
      <c r="G64" s="418"/>
      <c r="H64" s="418"/>
      <c r="I64" s="418"/>
      <c r="J64" s="418"/>
      <c r="K64" s="418"/>
      <c r="L64" s="418"/>
      <c r="M64" s="54"/>
      <c r="N64" s="418"/>
      <c r="O64" s="418"/>
      <c r="P64" s="419"/>
      <c r="Q64" s="419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418"/>
      <c r="AC64" s="418"/>
      <c r="AD64" s="420"/>
      <c r="AF64" s="53"/>
    </row>
    <row r="65" spans="1:32" ht="25.5" customHeight="1">
      <c r="A65" s="415">
        <v>3</v>
      </c>
      <c r="B65" s="416"/>
      <c r="C65" s="124"/>
      <c r="D65" s="186"/>
      <c r="E65" s="189"/>
      <c r="F65" s="417"/>
      <c r="G65" s="418"/>
      <c r="H65" s="418"/>
      <c r="I65" s="418"/>
      <c r="J65" s="418"/>
      <c r="K65" s="418"/>
      <c r="L65" s="418"/>
      <c r="M65" s="54"/>
      <c r="N65" s="418"/>
      <c r="O65" s="418"/>
      <c r="P65" s="419"/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4</v>
      </c>
      <c r="B66" s="416"/>
      <c r="C66" s="124"/>
      <c r="D66" s="186"/>
      <c r="E66" s="189"/>
      <c r="F66" s="417"/>
      <c r="G66" s="418"/>
      <c r="H66" s="418"/>
      <c r="I66" s="418"/>
      <c r="J66" s="418"/>
      <c r="K66" s="418"/>
      <c r="L66" s="418"/>
      <c r="M66" s="54"/>
      <c r="N66" s="418"/>
      <c r="O66" s="418"/>
      <c r="P66" s="419"/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5</v>
      </c>
      <c r="B67" s="416"/>
      <c r="C67" s="124"/>
      <c r="D67" s="186"/>
      <c r="E67" s="189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6</v>
      </c>
      <c r="B68" s="416"/>
      <c r="C68" s="124"/>
      <c r="D68" s="186"/>
      <c r="E68" s="189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7</v>
      </c>
      <c r="B69" s="416"/>
      <c r="C69" s="124"/>
      <c r="D69" s="186"/>
      <c r="E69" s="189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8</v>
      </c>
      <c r="B70" s="416"/>
      <c r="C70" s="124"/>
      <c r="D70" s="186"/>
      <c r="E70" s="189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6.25" customHeight="1" thickBot="1">
      <c r="A71" s="421" t="s">
        <v>447</v>
      </c>
      <c r="B71" s="421"/>
      <c r="C71" s="421"/>
      <c r="D71" s="421"/>
      <c r="E71" s="42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2" t="s">
        <v>113</v>
      </c>
      <c r="B72" s="423"/>
      <c r="C72" s="188" t="s">
        <v>2</v>
      </c>
      <c r="D72" s="188" t="s">
        <v>37</v>
      </c>
      <c r="E72" s="188" t="s">
        <v>3</v>
      </c>
      <c r="F72" s="423" t="s">
        <v>38</v>
      </c>
      <c r="G72" s="423"/>
      <c r="H72" s="423"/>
      <c r="I72" s="423"/>
      <c r="J72" s="423"/>
      <c r="K72" s="424" t="s">
        <v>58</v>
      </c>
      <c r="L72" s="425"/>
      <c r="M72" s="425"/>
      <c r="N72" s="425"/>
      <c r="O72" s="425"/>
      <c r="P72" s="425"/>
      <c r="Q72" s="425"/>
      <c r="R72" s="425"/>
      <c r="S72" s="426"/>
      <c r="T72" s="423" t="s">
        <v>49</v>
      </c>
      <c r="U72" s="423"/>
      <c r="V72" s="424" t="s">
        <v>50</v>
      </c>
      <c r="W72" s="426"/>
      <c r="X72" s="425" t="s">
        <v>51</v>
      </c>
      <c r="Y72" s="425"/>
      <c r="Z72" s="425"/>
      <c r="AA72" s="425"/>
      <c r="AB72" s="425"/>
      <c r="AC72" s="425"/>
      <c r="AD72" s="427"/>
      <c r="AF72" s="53"/>
    </row>
    <row r="73" spans="1:32" ht="33.75" customHeight="1">
      <c r="A73" s="436">
        <v>1</v>
      </c>
      <c r="B73" s="437"/>
      <c r="C73" s="187" t="s">
        <v>114</v>
      </c>
      <c r="D73" s="187"/>
      <c r="E73" s="71" t="s">
        <v>119</v>
      </c>
      <c r="F73" s="438" t="s">
        <v>120</v>
      </c>
      <c r="G73" s="439"/>
      <c r="H73" s="439"/>
      <c r="I73" s="439"/>
      <c r="J73" s="440"/>
      <c r="K73" s="441" t="s">
        <v>115</v>
      </c>
      <c r="L73" s="442"/>
      <c r="M73" s="442"/>
      <c r="N73" s="442"/>
      <c r="O73" s="442"/>
      <c r="P73" s="442"/>
      <c r="Q73" s="442"/>
      <c r="R73" s="442"/>
      <c r="S73" s="443"/>
      <c r="T73" s="444">
        <v>42901</v>
      </c>
      <c r="U73" s="445"/>
      <c r="V73" s="446"/>
      <c r="W73" s="446"/>
      <c r="X73" s="447"/>
      <c r="Y73" s="447"/>
      <c r="Z73" s="447"/>
      <c r="AA73" s="447"/>
      <c r="AB73" s="447"/>
      <c r="AC73" s="447"/>
      <c r="AD73" s="448"/>
      <c r="AF73" s="53"/>
    </row>
    <row r="74" spans="1:32" ht="30" customHeight="1">
      <c r="A74" s="428">
        <f>A73+1</f>
        <v>2</v>
      </c>
      <c r="B74" s="429"/>
      <c r="C74" s="186" t="s">
        <v>114</v>
      </c>
      <c r="D74" s="186"/>
      <c r="E74" s="35" t="s">
        <v>116</v>
      </c>
      <c r="F74" s="429" t="s">
        <v>117</v>
      </c>
      <c r="G74" s="429"/>
      <c r="H74" s="429"/>
      <c r="I74" s="429"/>
      <c r="J74" s="429"/>
      <c r="K74" s="430" t="s">
        <v>118</v>
      </c>
      <c r="L74" s="431"/>
      <c r="M74" s="431"/>
      <c r="N74" s="431"/>
      <c r="O74" s="431"/>
      <c r="P74" s="431"/>
      <c r="Q74" s="431"/>
      <c r="R74" s="431"/>
      <c r="S74" s="432"/>
      <c r="T74" s="433">
        <v>42867</v>
      </c>
      <c r="U74" s="433"/>
      <c r="V74" s="433"/>
      <c r="W74" s="433"/>
      <c r="X74" s="434"/>
      <c r="Y74" s="434"/>
      <c r="Z74" s="434"/>
      <c r="AA74" s="434"/>
      <c r="AB74" s="434"/>
      <c r="AC74" s="434"/>
      <c r="AD74" s="435"/>
      <c r="AF74" s="53"/>
    </row>
    <row r="75" spans="1:32" ht="30" customHeight="1">
      <c r="A75" s="428">
        <f t="shared" ref="A75:A81" si="20">A74+1</f>
        <v>3</v>
      </c>
      <c r="B75" s="429"/>
      <c r="C75" s="186"/>
      <c r="D75" s="186"/>
      <c r="E75" s="35"/>
      <c r="F75" s="429"/>
      <c r="G75" s="429"/>
      <c r="H75" s="429"/>
      <c r="I75" s="429"/>
      <c r="J75" s="429"/>
      <c r="K75" s="430"/>
      <c r="L75" s="431"/>
      <c r="M75" s="431"/>
      <c r="N75" s="431"/>
      <c r="O75" s="431"/>
      <c r="P75" s="431"/>
      <c r="Q75" s="431"/>
      <c r="R75" s="431"/>
      <c r="S75" s="432"/>
      <c r="T75" s="433"/>
      <c r="U75" s="433"/>
      <c r="V75" s="433"/>
      <c r="W75" s="433"/>
      <c r="X75" s="434"/>
      <c r="Y75" s="434"/>
      <c r="Z75" s="434"/>
      <c r="AA75" s="434"/>
      <c r="AB75" s="434"/>
      <c r="AC75" s="434"/>
      <c r="AD75" s="435"/>
      <c r="AF75" s="53"/>
    </row>
    <row r="76" spans="1:32" ht="30" customHeight="1">
      <c r="A76" s="428">
        <f t="shared" si="20"/>
        <v>4</v>
      </c>
      <c r="B76" s="429"/>
      <c r="C76" s="186"/>
      <c r="D76" s="186"/>
      <c r="E76" s="35"/>
      <c r="F76" s="429"/>
      <c r="G76" s="429"/>
      <c r="H76" s="429"/>
      <c r="I76" s="429"/>
      <c r="J76" s="429"/>
      <c r="K76" s="430"/>
      <c r="L76" s="431"/>
      <c r="M76" s="431"/>
      <c r="N76" s="431"/>
      <c r="O76" s="431"/>
      <c r="P76" s="431"/>
      <c r="Q76" s="431"/>
      <c r="R76" s="431"/>
      <c r="S76" s="432"/>
      <c r="T76" s="433"/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si="20"/>
        <v>5</v>
      </c>
      <c r="B77" s="429"/>
      <c r="C77" s="186"/>
      <c r="D77" s="186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20"/>
        <v>6</v>
      </c>
      <c r="B78" s="429"/>
      <c r="C78" s="186"/>
      <c r="D78" s="186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20"/>
        <v>7</v>
      </c>
      <c r="B79" s="429"/>
      <c r="C79" s="186"/>
      <c r="D79" s="186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20"/>
        <v>8</v>
      </c>
      <c r="B80" s="429"/>
      <c r="C80" s="186"/>
      <c r="D80" s="186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20"/>
        <v>9</v>
      </c>
      <c r="B81" s="429"/>
      <c r="C81" s="186"/>
      <c r="D81" s="186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6" thickBot="1">
      <c r="A82" s="421" t="s">
        <v>448</v>
      </c>
      <c r="B82" s="421"/>
      <c r="C82" s="421"/>
      <c r="D82" s="421"/>
      <c r="E82" s="42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2" t="s">
        <v>113</v>
      </c>
      <c r="B83" s="423"/>
      <c r="C83" s="449" t="s">
        <v>52</v>
      </c>
      <c r="D83" s="449"/>
      <c r="E83" s="449" t="s">
        <v>53</v>
      </c>
      <c r="F83" s="449"/>
      <c r="G83" s="449"/>
      <c r="H83" s="449"/>
      <c r="I83" s="449"/>
      <c r="J83" s="449"/>
      <c r="K83" s="449" t="s">
        <v>54</v>
      </c>
      <c r="L83" s="449"/>
      <c r="M83" s="449"/>
      <c r="N83" s="449"/>
      <c r="O83" s="449"/>
      <c r="P83" s="449"/>
      <c r="Q83" s="449"/>
      <c r="R83" s="449"/>
      <c r="S83" s="449"/>
      <c r="T83" s="449" t="s">
        <v>55</v>
      </c>
      <c r="U83" s="449"/>
      <c r="V83" s="449" t="s">
        <v>56</v>
      </c>
      <c r="W83" s="449"/>
      <c r="X83" s="449"/>
      <c r="Y83" s="449" t="s">
        <v>51</v>
      </c>
      <c r="Z83" s="449"/>
      <c r="AA83" s="449"/>
      <c r="AB83" s="449"/>
      <c r="AC83" s="449"/>
      <c r="AD83" s="450"/>
      <c r="AF83" s="53"/>
    </row>
    <row r="84" spans="1:32" ht="30.75" customHeight="1">
      <c r="A84" s="436">
        <v>1</v>
      </c>
      <c r="B84" s="437"/>
      <c r="C84" s="451"/>
      <c r="D84" s="451"/>
      <c r="E84" s="451"/>
      <c r="F84" s="451"/>
      <c r="G84" s="451"/>
      <c r="H84" s="451"/>
      <c r="I84" s="451"/>
      <c r="J84" s="451"/>
      <c r="K84" s="451"/>
      <c r="L84" s="451"/>
      <c r="M84" s="451"/>
      <c r="N84" s="451"/>
      <c r="O84" s="451"/>
      <c r="P84" s="451"/>
      <c r="Q84" s="451"/>
      <c r="R84" s="451"/>
      <c r="S84" s="451"/>
      <c r="T84" s="451"/>
      <c r="U84" s="451"/>
      <c r="V84" s="452"/>
      <c r="W84" s="452"/>
      <c r="X84" s="452"/>
      <c r="Y84" s="453"/>
      <c r="Z84" s="453"/>
      <c r="AA84" s="453"/>
      <c r="AB84" s="453"/>
      <c r="AC84" s="453"/>
      <c r="AD84" s="454"/>
      <c r="AF84" s="53"/>
    </row>
    <row r="85" spans="1:32" ht="30.75" customHeight="1">
      <c r="A85" s="428">
        <v>2</v>
      </c>
      <c r="B85" s="429"/>
      <c r="C85" s="462"/>
      <c r="D85" s="462"/>
      <c r="E85" s="462"/>
      <c r="F85" s="462"/>
      <c r="G85" s="462"/>
      <c r="H85" s="462"/>
      <c r="I85" s="462"/>
      <c r="J85" s="462"/>
      <c r="K85" s="462"/>
      <c r="L85" s="462"/>
      <c r="M85" s="462"/>
      <c r="N85" s="462"/>
      <c r="O85" s="462"/>
      <c r="P85" s="462"/>
      <c r="Q85" s="462"/>
      <c r="R85" s="462"/>
      <c r="S85" s="462"/>
      <c r="T85" s="463"/>
      <c r="U85" s="463"/>
      <c r="V85" s="464"/>
      <c r="W85" s="464"/>
      <c r="X85" s="464"/>
      <c r="Y85" s="455"/>
      <c r="Z85" s="455"/>
      <c r="AA85" s="455"/>
      <c r="AB85" s="455"/>
      <c r="AC85" s="455"/>
      <c r="AD85" s="456"/>
      <c r="AF85" s="53"/>
    </row>
    <row r="86" spans="1:32" ht="30.75" customHeight="1" thickBot="1">
      <c r="A86" s="457">
        <v>3</v>
      </c>
      <c r="B86" s="458"/>
      <c r="C86" s="459"/>
      <c r="D86" s="459"/>
      <c r="E86" s="459"/>
      <c r="F86" s="459"/>
      <c r="G86" s="459"/>
      <c r="H86" s="459"/>
      <c r="I86" s="459"/>
      <c r="J86" s="459"/>
      <c r="K86" s="459"/>
      <c r="L86" s="459"/>
      <c r="M86" s="459"/>
      <c r="N86" s="459"/>
      <c r="O86" s="459"/>
      <c r="P86" s="459"/>
      <c r="Q86" s="459"/>
      <c r="R86" s="459"/>
      <c r="S86" s="459"/>
      <c r="T86" s="459"/>
      <c r="U86" s="459"/>
      <c r="V86" s="459"/>
      <c r="W86" s="459"/>
      <c r="X86" s="459"/>
      <c r="Y86" s="460"/>
      <c r="Z86" s="460"/>
      <c r="AA86" s="460"/>
      <c r="AB86" s="460"/>
      <c r="AC86" s="460"/>
      <c r="AD86" s="46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8"/>
  <sheetViews>
    <sheetView topLeftCell="A40" zoomScale="72" zoomScaleNormal="72" zoomScaleSheetLayoutView="70" workbookViewId="0">
      <selection activeCell="F58" sqref="F58:M5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5" t="s">
        <v>449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2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198" t="s">
        <v>17</v>
      </c>
      <c r="L5" s="198" t="s">
        <v>18</v>
      </c>
      <c r="M5" s="198" t="s">
        <v>19</v>
      </c>
      <c r="N5" s="19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2" ht="27" customHeight="1">
      <c r="A6" s="108">
        <v>1</v>
      </c>
      <c r="B6" s="11" t="s">
        <v>57</v>
      </c>
      <c r="C6" s="37" t="s">
        <v>122</v>
      </c>
      <c r="D6" s="55" t="s">
        <v>127</v>
      </c>
      <c r="E6" s="57" t="s">
        <v>367</v>
      </c>
      <c r="F6" s="33" t="s">
        <v>368</v>
      </c>
      <c r="G6" s="36">
        <v>1</v>
      </c>
      <c r="H6" s="38">
        <v>25</v>
      </c>
      <c r="I6" s="7">
        <v>11000</v>
      </c>
      <c r="J6" s="5">
        <v>4720</v>
      </c>
      <c r="K6" s="15">
        <f>L6+4098</f>
        <v>8818</v>
      </c>
      <c r="L6" s="15">
        <f>2400+2320</f>
        <v>4720</v>
      </c>
      <c r="M6" s="16">
        <f t="shared" ref="M6:M22" si="0">L6-N6</f>
        <v>4720</v>
      </c>
      <c r="N6" s="16">
        <v>0</v>
      </c>
      <c r="O6" s="62">
        <f t="shared" ref="O6:O23" si="1">IF(L6=0,"0",N6/L6)</f>
        <v>0</v>
      </c>
      <c r="P6" s="42">
        <f t="shared" ref="P6:P22" si="2">IF(L6=0,"0",(24-Q6))</f>
        <v>24</v>
      </c>
      <c r="Q6" s="43">
        <f t="shared" ref="Q6:Q22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2" si="4">IF(J6=0,"0",(L6/J6))</f>
        <v>1</v>
      </c>
      <c r="AC6" s="9">
        <f t="shared" ref="AC6:AC22" si="5">IF(P6=0,"0",(P6/24))</f>
        <v>1</v>
      </c>
      <c r="AD6" s="10">
        <f t="shared" ref="AD6:AD22" si="6">AC6*AB6*(1-O6)</f>
        <v>1</v>
      </c>
      <c r="AE6" s="39">
        <f t="shared" ref="AE6:AE22" si="7">$AD$23</f>
        <v>0.45809745173082406</v>
      </c>
      <c r="AF6" s="94">
        <f t="shared" ref="AF6:AF22" si="8">A6</f>
        <v>1</v>
      </c>
    </row>
    <row r="7" spans="1:32" ht="27" customHeight="1">
      <c r="A7" s="108">
        <v>2</v>
      </c>
      <c r="B7" s="11" t="s">
        <v>57</v>
      </c>
      <c r="C7" s="37" t="s">
        <v>123</v>
      </c>
      <c r="D7" s="55" t="s">
        <v>156</v>
      </c>
      <c r="E7" s="57" t="s">
        <v>311</v>
      </c>
      <c r="F7" s="33" t="s">
        <v>312</v>
      </c>
      <c r="G7" s="12">
        <v>3</v>
      </c>
      <c r="H7" s="13">
        <v>25</v>
      </c>
      <c r="I7" s="34">
        <v>100000</v>
      </c>
      <c r="J7" s="5">
        <v>15560</v>
      </c>
      <c r="K7" s="15">
        <f>L7+11583+14484+15558</f>
        <v>41625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0.45809745173082406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122</v>
      </c>
      <c r="D8" s="55" t="s">
        <v>127</v>
      </c>
      <c r="E8" s="57" t="s">
        <v>291</v>
      </c>
      <c r="F8" s="33" t="s">
        <v>263</v>
      </c>
      <c r="G8" s="12">
        <v>1</v>
      </c>
      <c r="H8" s="13">
        <v>25</v>
      </c>
      <c r="I8" s="34">
        <v>10000</v>
      </c>
      <c r="J8" s="5">
        <v>2440</v>
      </c>
      <c r="K8" s="15">
        <f>L8+4847+5369+5206</f>
        <v>17859</v>
      </c>
      <c r="L8" s="15">
        <v>2437</v>
      </c>
      <c r="M8" s="16">
        <f t="shared" si="0"/>
        <v>2437</v>
      </c>
      <c r="N8" s="16">
        <v>0</v>
      </c>
      <c r="O8" s="62">
        <f t="shared" si="1"/>
        <v>0</v>
      </c>
      <c r="P8" s="42">
        <f t="shared" si="2"/>
        <v>14</v>
      </c>
      <c r="Q8" s="43">
        <f t="shared" si="3"/>
        <v>10</v>
      </c>
      <c r="R8" s="7"/>
      <c r="S8" s="6"/>
      <c r="T8" s="17"/>
      <c r="U8" s="17"/>
      <c r="V8" s="18"/>
      <c r="W8" s="19">
        <v>10</v>
      </c>
      <c r="X8" s="17"/>
      <c r="Y8" s="20"/>
      <c r="Z8" s="20"/>
      <c r="AA8" s="21"/>
      <c r="AB8" s="8">
        <f t="shared" si="4"/>
        <v>0.9987704918032787</v>
      </c>
      <c r="AC8" s="9">
        <f t="shared" si="5"/>
        <v>0.58333333333333337</v>
      </c>
      <c r="AD8" s="10">
        <f t="shared" si="6"/>
        <v>0.58261612021857923</v>
      </c>
      <c r="AE8" s="39">
        <f t="shared" si="7"/>
        <v>0.45809745173082406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122</v>
      </c>
      <c r="D9" s="55" t="s">
        <v>264</v>
      </c>
      <c r="E9" s="57" t="s">
        <v>450</v>
      </c>
      <c r="F9" s="33" t="s">
        <v>263</v>
      </c>
      <c r="G9" s="36">
        <v>1</v>
      </c>
      <c r="H9" s="38">
        <v>25</v>
      </c>
      <c r="I9" s="7">
        <v>500</v>
      </c>
      <c r="J9" s="5">
        <v>627</v>
      </c>
      <c r="K9" s="15">
        <f>L9</f>
        <v>627</v>
      </c>
      <c r="L9" s="15">
        <v>627</v>
      </c>
      <c r="M9" s="16">
        <f t="shared" si="0"/>
        <v>627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9">
        <f t="shared" si="7"/>
        <v>0.45809745173082406</v>
      </c>
      <c r="AF9" s="94">
        <f t="shared" si="8"/>
        <v>4</v>
      </c>
    </row>
    <row r="10" spans="1:32" ht="27" customHeight="1">
      <c r="A10" s="110">
        <v>4</v>
      </c>
      <c r="B10" s="11" t="s">
        <v>57</v>
      </c>
      <c r="C10" s="37" t="s">
        <v>122</v>
      </c>
      <c r="D10" s="55" t="s">
        <v>264</v>
      </c>
      <c r="E10" s="57" t="s">
        <v>451</v>
      </c>
      <c r="F10" s="33" t="s">
        <v>452</v>
      </c>
      <c r="G10" s="36">
        <v>1</v>
      </c>
      <c r="H10" s="38">
        <v>25</v>
      </c>
      <c r="I10" s="7">
        <v>16000</v>
      </c>
      <c r="J10" s="5">
        <v>4020</v>
      </c>
      <c r="K10" s="15">
        <f>L10</f>
        <v>4011</v>
      </c>
      <c r="L10" s="15">
        <f>2776+1235</f>
        <v>4011</v>
      </c>
      <c r="M10" s="16">
        <f t="shared" ref="M10" si="9">L10-N10</f>
        <v>4011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19</v>
      </c>
      <c r="Q10" s="43">
        <f t="shared" ref="Q10" si="12">SUM(R10:AA10)</f>
        <v>5</v>
      </c>
      <c r="R10" s="7"/>
      <c r="S10" s="6"/>
      <c r="T10" s="17">
        <v>5</v>
      </c>
      <c r="U10" s="17"/>
      <c r="V10" s="18"/>
      <c r="W10" s="19"/>
      <c r="X10" s="17"/>
      <c r="Y10" s="20"/>
      <c r="Z10" s="20"/>
      <c r="AA10" s="21"/>
      <c r="AB10" s="8">
        <f t="shared" ref="AB10" si="13">IF(J10=0,"0",(L10/J10))</f>
        <v>0.99776119402985075</v>
      </c>
      <c r="AC10" s="9">
        <f t="shared" ref="AC10" si="14">IF(P10=0,"0",(P10/24))</f>
        <v>0.79166666666666663</v>
      </c>
      <c r="AD10" s="10">
        <f t="shared" ref="AD10" si="15">AC10*AB10*(1-O10)</f>
        <v>0.78989427860696515</v>
      </c>
      <c r="AE10" s="39">
        <f t="shared" si="7"/>
        <v>0.45809745173082406</v>
      </c>
      <c r="AF10" s="94">
        <f t="shared" ref="AF10" si="16">A10</f>
        <v>4</v>
      </c>
    </row>
    <row r="11" spans="1:32" ht="27" customHeight="1">
      <c r="A11" s="110">
        <v>5</v>
      </c>
      <c r="B11" s="11" t="s">
        <v>57</v>
      </c>
      <c r="C11" s="11" t="s">
        <v>146</v>
      </c>
      <c r="D11" s="55" t="s">
        <v>356</v>
      </c>
      <c r="E11" s="57" t="s">
        <v>357</v>
      </c>
      <c r="F11" s="12" t="s">
        <v>358</v>
      </c>
      <c r="G11" s="12" t="s">
        <v>273</v>
      </c>
      <c r="H11" s="13">
        <v>20</v>
      </c>
      <c r="I11" s="34">
        <v>4000</v>
      </c>
      <c r="J11" s="14">
        <v>3680</v>
      </c>
      <c r="K11" s="15">
        <f>L11+4731</f>
        <v>8410</v>
      </c>
      <c r="L11" s="15">
        <f>2725+954</f>
        <v>3679</v>
      </c>
      <c r="M11" s="16">
        <f t="shared" si="0"/>
        <v>3679</v>
      </c>
      <c r="N11" s="16">
        <v>0</v>
      </c>
      <c r="O11" s="62">
        <f t="shared" si="1"/>
        <v>0</v>
      </c>
      <c r="P11" s="42">
        <f t="shared" si="2"/>
        <v>16</v>
      </c>
      <c r="Q11" s="43">
        <f t="shared" si="3"/>
        <v>8</v>
      </c>
      <c r="R11" s="7"/>
      <c r="S11" s="6">
        <v>8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0.99972826086956523</v>
      </c>
      <c r="AC11" s="9">
        <f t="shared" si="5"/>
        <v>0.66666666666666663</v>
      </c>
      <c r="AD11" s="10">
        <f t="shared" si="6"/>
        <v>0.66648550724637678</v>
      </c>
      <c r="AE11" s="39">
        <f t="shared" si="7"/>
        <v>0.45809745173082406</v>
      </c>
      <c r="AF11" s="94">
        <f t="shared" si="8"/>
        <v>5</v>
      </c>
    </row>
    <row r="12" spans="1:32" ht="27" customHeight="1">
      <c r="A12" s="110">
        <v>6</v>
      </c>
      <c r="B12" s="11" t="s">
        <v>57</v>
      </c>
      <c r="C12" s="11" t="s">
        <v>146</v>
      </c>
      <c r="D12" s="55"/>
      <c r="E12" s="57" t="s">
        <v>178</v>
      </c>
      <c r="F12" s="12" t="s">
        <v>166</v>
      </c>
      <c r="G12" s="12">
        <v>1</v>
      </c>
      <c r="H12" s="13">
        <v>25</v>
      </c>
      <c r="I12" s="34">
        <v>9000</v>
      </c>
      <c r="J12" s="14">
        <v>1140</v>
      </c>
      <c r="K12" s="15">
        <f>L12+1140</f>
        <v>1140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>
        <v>24</v>
      </c>
      <c r="W12" s="19"/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0.45809745173082406</v>
      </c>
      <c r="AF12" s="94">
        <f t="shared" si="8"/>
        <v>6</v>
      </c>
    </row>
    <row r="13" spans="1:32" ht="27" customHeight="1">
      <c r="A13" s="110">
        <v>7</v>
      </c>
      <c r="B13" s="11" t="s">
        <v>57</v>
      </c>
      <c r="C13" s="11" t="s">
        <v>122</v>
      </c>
      <c r="D13" s="55" t="s">
        <v>133</v>
      </c>
      <c r="E13" s="57" t="s">
        <v>401</v>
      </c>
      <c r="F13" s="12" t="s">
        <v>402</v>
      </c>
      <c r="G13" s="12">
        <v>1</v>
      </c>
      <c r="H13" s="13">
        <v>25</v>
      </c>
      <c r="I13" s="7">
        <v>4000</v>
      </c>
      <c r="J13" s="14">
        <v>2610</v>
      </c>
      <c r="K13" s="15">
        <f>L13+2605</f>
        <v>2605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>
        <v>24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0.45809745173082406</v>
      </c>
      <c r="AF13" s="94">
        <f t="shared" si="8"/>
        <v>7</v>
      </c>
    </row>
    <row r="14" spans="1:32" ht="27" customHeight="1">
      <c r="A14" s="110">
        <v>8</v>
      </c>
      <c r="B14" s="11" t="s">
        <v>57</v>
      </c>
      <c r="C14" s="11" t="s">
        <v>122</v>
      </c>
      <c r="D14" s="55" t="s">
        <v>144</v>
      </c>
      <c r="E14" s="57" t="s">
        <v>293</v>
      </c>
      <c r="F14" s="12">
        <v>7301</v>
      </c>
      <c r="G14" s="12">
        <v>1</v>
      </c>
      <c r="H14" s="13">
        <v>25</v>
      </c>
      <c r="I14" s="7">
        <v>10000</v>
      </c>
      <c r="J14" s="14">
        <v>3290</v>
      </c>
      <c r="K14" s="15">
        <f>L14+3056+5360</f>
        <v>11706</v>
      </c>
      <c r="L14" s="15">
        <f>2470+820</f>
        <v>3290</v>
      </c>
      <c r="M14" s="16">
        <f t="shared" si="0"/>
        <v>3290</v>
      </c>
      <c r="N14" s="16">
        <v>0</v>
      </c>
      <c r="O14" s="62">
        <f t="shared" si="1"/>
        <v>0</v>
      </c>
      <c r="P14" s="42">
        <f t="shared" si="2"/>
        <v>17</v>
      </c>
      <c r="Q14" s="43">
        <f t="shared" si="3"/>
        <v>7</v>
      </c>
      <c r="R14" s="7"/>
      <c r="S14" s="6">
        <v>7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0.70833333333333337</v>
      </c>
      <c r="AD14" s="10">
        <f t="shared" si="6"/>
        <v>0.70833333333333337</v>
      </c>
      <c r="AE14" s="39">
        <f t="shared" si="7"/>
        <v>0.45809745173082406</v>
      </c>
      <c r="AF14" s="94">
        <f t="shared" si="8"/>
        <v>8</v>
      </c>
    </row>
    <row r="15" spans="1:32" ht="27" customHeight="1">
      <c r="A15" s="109">
        <v>9</v>
      </c>
      <c r="B15" s="11" t="s">
        <v>57</v>
      </c>
      <c r="C15" s="37" t="s">
        <v>114</v>
      </c>
      <c r="D15" s="55" t="s">
        <v>128</v>
      </c>
      <c r="E15" s="57" t="s">
        <v>174</v>
      </c>
      <c r="F15" s="33" t="s">
        <v>181</v>
      </c>
      <c r="G15" s="36">
        <v>1</v>
      </c>
      <c r="H15" s="38">
        <v>25</v>
      </c>
      <c r="I15" s="7">
        <v>200</v>
      </c>
      <c r="J15" s="5">
        <v>206</v>
      </c>
      <c r="K15" s="15">
        <f>L15+190+206</f>
        <v>396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0.45809745173082406</v>
      </c>
      <c r="AF15" s="94">
        <f t="shared" si="8"/>
        <v>9</v>
      </c>
    </row>
    <row r="16" spans="1:32" ht="27" customHeight="1">
      <c r="A16" s="109">
        <v>10</v>
      </c>
      <c r="B16" s="11" t="s">
        <v>57</v>
      </c>
      <c r="C16" s="11" t="s">
        <v>123</v>
      </c>
      <c r="D16" s="55" t="s">
        <v>269</v>
      </c>
      <c r="E16" s="57" t="s">
        <v>270</v>
      </c>
      <c r="F16" s="12" t="s">
        <v>151</v>
      </c>
      <c r="G16" s="12">
        <v>4</v>
      </c>
      <c r="H16" s="13">
        <v>24</v>
      </c>
      <c r="I16" s="34">
        <v>30000</v>
      </c>
      <c r="J16" s="14">
        <v>23320</v>
      </c>
      <c r="K16" s="15">
        <f>L16+21536+23312</f>
        <v>44848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0.45809745173082406</v>
      </c>
      <c r="AF16" s="94">
        <f t="shared" si="8"/>
        <v>10</v>
      </c>
    </row>
    <row r="17" spans="1:36" ht="27.75" customHeight="1">
      <c r="A17" s="109">
        <v>11</v>
      </c>
      <c r="B17" s="11" t="s">
        <v>57</v>
      </c>
      <c r="C17" s="11" t="s">
        <v>122</v>
      </c>
      <c r="D17" s="55" t="s">
        <v>317</v>
      </c>
      <c r="E17" s="56" t="s">
        <v>318</v>
      </c>
      <c r="F17" s="12">
        <v>7301</v>
      </c>
      <c r="G17" s="36">
        <v>1</v>
      </c>
      <c r="H17" s="38">
        <v>25</v>
      </c>
      <c r="I17" s="7">
        <v>10000</v>
      </c>
      <c r="J17" s="14">
        <v>4140</v>
      </c>
      <c r="K17" s="15">
        <f>L17+2979+4410+4132</f>
        <v>11521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0.45809745173082406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57</v>
      </c>
      <c r="C18" s="37" t="s">
        <v>403</v>
      </c>
      <c r="D18" s="55" t="s">
        <v>404</v>
      </c>
      <c r="E18" s="57" t="s">
        <v>405</v>
      </c>
      <c r="F18" s="12">
        <v>8301</v>
      </c>
      <c r="G18" s="12">
        <v>1</v>
      </c>
      <c r="H18" s="13">
        <v>25</v>
      </c>
      <c r="I18" s="34">
        <v>650</v>
      </c>
      <c r="J18" s="5">
        <v>1140</v>
      </c>
      <c r="K18" s="15">
        <f>L18+1140</f>
        <v>1140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0.45809745173082406</v>
      </c>
      <c r="AF18" s="94">
        <f t="shared" ref="AF18:AF19" si="17">A18</f>
        <v>12</v>
      </c>
    </row>
    <row r="19" spans="1:36" ht="27" customHeight="1">
      <c r="A19" s="110">
        <v>13</v>
      </c>
      <c r="B19" s="11" t="s">
        <v>57</v>
      </c>
      <c r="C19" s="37" t="s">
        <v>406</v>
      </c>
      <c r="D19" s="55" t="s">
        <v>407</v>
      </c>
      <c r="E19" s="57" t="s">
        <v>408</v>
      </c>
      <c r="F19" s="33" t="s">
        <v>409</v>
      </c>
      <c r="G19" s="36">
        <v>1</v>
      </c>
      <c r="H19" s="38">
        <v>25</v>
      </c>
      <c r="I19" s="7">
        <v>10000</v>
      </c>
      <c r="J19" s="5">
        <v>831</v>
      </c>
      <c r="K19" s="15">
        <f>L19+1856</f>
        <v>2687</v>
      </c>
      <c r="L19" s="15">
        <v>831</v>
      </c>
      <c r="M19" s="16">
        <f t="shared" si="0"/>
        <v>831</v>
      </c>
      <c r="N19" s="16">
        <v>0</v>
      </c>
      <c r="O19" s="62">
        <f t="shared" si="1"/>
        <v>0</v>
      </c>
      <c r="P19" s="42">
        <f t="shared" si="2"/>
        <v>5</v>
      </c>
      <c r="Q19" s="43">
        <f t="shared" si="3"/>
        <v>19</v>
      </c>
      <c r="R19" s="7"/>
      <c r="S19" s="6"/>
      <c r="T19" s="17"/>
      <c r="U19" s="17"/>
      <c r="V19" s="18"/>
      <c r="W19" s="19">
        <v>19</v>
      </c>
      <c r="X19" s="17"/>
      <c r="Y19" s="20"/>
      <c r="Z19" s="20"/>
      <c r="AA19" s="21"/>
      <c r="AB19" s="8">
        <f t="shared" si="4"/>
        <v>1</v>
      </c>
      <c r="AC19" s="9">
        <f t="shared" si="5"/>
        <v>0.20833333333333334</v>
      </c>
      <c r="AD19" s="10">
        <f t="shared" si="6"/>
        <v>0.20833333333333334</v>
      </c>
      <c r="AE19" s="39">
        <f t="shared" si="7"/>
        <v>0.45809745173082406</v>
      </c>
      <c r="AF19" s="94">
        <f t="shared" si="17"/>
        <v>13</v>
      </c>
    </row>
    <row r="20" spans="1:36" ht="27" customHeight="1">
      <c r="A20" s="110">
        <v>13</v>
      </c>
      <c r="B20" s="11" t="s">
        <v>57</v>
      </c>
      <c r="C20" s="37" t="s">
        <v>122</v>
      </c>
      <c r="D20" s="55" t="s">
        <v>453</v>
      </c>
      <c r="E20" s="57" t="s">
        <v>454</v>
      </c>
      <c r="F20" s="33" t="s">
        <v>455</v>
      </c>
      <c r="G20" s="36">
        <v>1</v>
      </c>
      <c r="H20" s="38">
        <v>25</v>
      </c>
      <c r="I20" s="7">
        <v>16000</v>
      </c>
      <c r="J20" s="5">
        <v>4120</v>
      </c>
      <c r="K20" s="15">
        <f>L20</f>
        <v>4116</v>
      </c>
      <c r="L20" s="15">
        <f>1416+2700</f>
        <v>4116</v>
      </c>
      <c r="M20" s="16">
        <f t="shared" ref="M20" si="18">L20-N20</f>
        <v>4116</v>
      </c>
      <c r="N20" s="16">
        <v>0</v>
      </c>
      <c r="O20" s="62">
        <f t="shared" ref="O20" si="19">IF(L20=0,"0",N20/L20)</f>
        <v>0</v>
      </c>
      <c r="P20" s="42">
        <f t="shared" ref="P20" si="20">IF(L20=0,"0",(24-Q20))</f>
        <v>18</v>
      </c>
      <c r="Q20" s="43">
        <f t="shared" ref="Q20" si="21">SUM(R20:AA20)</f>
        <v>6</v>
      </c>
      <c r="R20" s="7"/>
      <c r="S20" s="6"/>
      <c r="T20" s="17">
        <v>6</v>
      </c>
      <c r="U20" s="17"/>
      <c r="V20" s="18"/>
      <c r="W20" s="19"/>
      <c r="X20" s="17"/>
      <c r="Y20" s="20"/>
      <c r="Z20" s="20"/>
      <c r="AA20" s="21"/>
      <c r="AB20" s="8">
        <f t="shared" ref="AB20" si="22">IF(J20=0,"0",(L20/J20))</f>
        <v>0.99902912621359219</v>
      </c>
      <c r="AC20" s="9">
        <f t="shared" ref="AC20" si="23">IF(P20=0,"0",(P20/24))</f>
        <v>0.75</v>
      </c>
      <c r="AD20" s="10">
        <f t="shared" ref="AD20" si="24">AC20*AB20*(1-O20)</f>
        <v>0.74927184466019414</v>
      </c>
      <c r="AE20" s="39">
        <f t="shared" si="7"/>
        <v>0.45809745173082406</v>
      </c>
      <c r="AF20" s="94">
        <f t="shared" ref="AF20" si="25">A20</f>
        <v>13</v>
      </c>
    </row>
    <row r="21" spans="1:36" ht="27" customHeight="1">
      <c r="A21" s="110">
        <v>14</v>
      </c>
      <c r="B21" s="11" t="s">
        <v>57</v>
      </c>
      <c r="C21" s="11" t="s">
        <v>146</v>
      </c>
      <c r="D21" s="55" t="s">
        <v>169</v>
      </c>
      <c r="E21" s="57" t="s">
        <v>168</v>
      </c>
      <c r="F21" s="12" t="s">
        <v>138</v>
      </c>
      <c r="G21" s="12" t="s">
        <v>170</v>
      </c>
      <c r="H21" s="13">
        <v>25</v>
      </c>
      <c r="I21" s="7">
        <v>130000</v>
      </c>
      <c r="J21" s="14">
        <v>7161</v>
      </c>
      <c r="K21" s="15">
        <f>L21+3258+4398+5144+3460+6323+4564+5384</f>
        <v>39692</v>
      </c>
      <c r="L21" s="15">
        <f>3656+3505</f>
        <v>7161</v>
      </c>
      <c r="M21" s="16">
        <f t="shared" si="0"/>
        <v>7161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1</v>
      </c>
      <c r="AC21" s="9">
        <f t="shared" si="5"/>
        <v>1</v>
      </c>
      <c r="AD21" s="10">
        <f t="shared" si="6"/>
        <v>1</v>
      </c>
      <c r="AE21" s="39">
        <f t="shared" si="7"/>
        <v>0.45809745173082406</v>
      </c>
      <c r="AF21" s="94">
        <f t="shared" si="8"/>
        <v>14</v>
      </c>
    </row>
    <row r="22" spans="1:36" ht="27" customHeight="1" thickBot="1">
      <c r="A22" s="110">
        <v>15</v>
      </c>
      <c r="B22" s="11" t="s">
        <v>57</v>
      </c>
      <c r="C22" s="11" t="s">
        <v>124</v>
      </c>
      <c r="D22" s="55"/>
      <c r="E22" s="56" t="s">
        <v>274</v>
      </c>
      <c r="F22" s="12" t="s">
        <v>125</v>
      </c>
      <c r="G22" s="12">
        <v>4</v>
      </c>
      <c r="H22" s="38">
        <v>20</v>
      </c>
      <c r="I22" s="7">
        <v>800000</v>
      </c>
      <c r="J22" s="14">
        <v>43070</v>
      </c>
      <c r="K22" s="15">
        <f>L22+29128+42972+45096+45728</f>
        <v>205988</v>
      </c>
      <c r="L22" s="15">
        <f>5201*4+5565*4</f>
        <v>43064</v>
      </c>
      <c r="M22" s="16">
        <f t="shared" si="0"/>
        <v>43064</v>
      </c>
      <c r="N22" s="16">
        <v>0</v>
      </c>
      <c r="O22" s="62">
        <f t="shared" si="1"/>
        <v>0</v>
      </c>
      <c r="P22" s="42">
        <f t="shared" si="2"/>
        <v>24</v>
      </c>
      <c r="Q22" s="43">
        <f t="shared" si="3"/>
        <v>0</v>
      </c>
      <c r="R22" s="7"/>
      <c r="S22" s="6"/>
      <c r="T22" s="17"/>
      <c r="U22" s="17"/>
      <c r="V22" s="18"/>
      <c r="W22" s="19"/>
      <c r="X22" s="17"/>
      <c r="Y22" s="20"/>
      <c r="Z22" s="20"/>
      <c r="AA22" s="21"/>
      <c r="AB22" s="8">
        <f t="shared" si="4"/>
        <v>0.99986069189691196</v>
      </c>
      <c r="AC22" s="9">
        <f t="shared" si="5"/>
        <v>1</v>
      </c>
      <c r="AD22" s="10">
        <f t="shared" si="6"/>
        <v>0.99986069189691196</v>
      </c>
      <c r="AE22" s="39">
        <f t="shared" si="7"/>
        <v>0.45809745173082406</v>
      </c>
      <c r="AF22" s="94">
        <f t="shared" si="8"/>
        <v>15</v>
      </c>
    </row>
    <row r="23" spans="1:36" ht="31.5" customHeight="1" thickBot="1">
      <c r="A23" s="369" t="s">
        <v>34</v>
      </c>
      <c r="B23" s="370"/>
      <c r="C23" s="370"/>
      <c r="D23" s="370"/>
      <c r="E23" s="370"/>
      <c r="F23" s="370"/>
      <c r="G23" s="370"/>
      <c r="H23" s="371"/>
      <c r="I23" s="25">
        <f t="shared" ref="I23:N23" si="26">SUM(I6:I22)</f>
        <v>1161350</v>
      </c>
      <c r="J23" s="22">
        <f t="shared" si="26"/>
        <v>122075</v>
      </c>
      <c r="K23" s="23">
        <f t="shared" si="26"/>
        <v>407189</v>
      </c>
      <c r="L23" s="24">
        <f t="shared" si="26"/>
        <v>73936</v>
      </c>
      <c r="M23" s="23">
        <f t="shared" si="26"/>
        <v>73936</v>
      </c>
      <c r="N23" s="24">
        <f t="shared" si="26"/>
        <v>0</v>
      </c>
      <c r="O23" s="44">
        <f t="shared" si="1"/>
        <v>0</v>
      </c>
      <c r="P23" s="45">
        <f t="shared" ref="P23:AA23" si="27">SUM(P6:P22)</f>
        <v>165</v>
      </c>
      <c r="Q23" s="46">
        <f t="shared" si="27"/>
        <v>243</v>
      </c>
      <c r="R23" s="26">
        <f t="shared" si="27"/>
        <v>0</v>
      </c>
      <c r="S23" s="27">
        <f t="shared" si="27"/>
        <v>39</v>
      </c>
      <c r="T23" s="27">
        <f t="shared" si="27"/>
        <v>11</v>
      </c>
      <c r="U23" s="27">
        <f t="shared" si="27"/>
        <v>0</v>
      </c>
      <c r="V23" s="28">
        <f t="shared" si="27"/>
        <v>24</v>
      </c>
      <c r="W23" s="29">
        <f t="shared" si="27"/>
        <v>169</v>
      </c>
      <c r="X23" s="30">
        <f t="shared" si="27"/>
        <v>0</v>
      </c>
      <c r="Y23" s="30">
        <f t="shared" si="27"/>
        <v>0</v>
      </c>
      <c r="Z23" s="30">
        <f t="shared" si="27"/>
        <v>0</v>
      </c>
      <c r="AA23" s="30">
        <f t="shared" si="27"/>
        <v>0</v>
      </c>
      <c r="AB23" s="31">
        <f>SUM(AB6:AB22)/15</f>
        <v>0.66634331765421317</v>
      </c>
      <c r="AC23" s="4">
        <f>SUM(AC6:AC22)/15</f>
        <v>0.45833333333333331</v>
      </c>
      <c r="AD23" s="4">
        <f>SUM(AD6:AD22)/15</f>
        <v>0.45809745173082406</v>
      </c>
      <c r="AE23" s="32"/>
    </row>
    <row r="25" spans="1:36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5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372" t="s">
        <v>45</v>
      </c>
      <c r="B50" s="372"/>
      <c r="C50" s="372"/>
      <c r="D50" s="372"/>
      <c r="E50" s="37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373" t="s">
        <v>456</v>
      </c>
      <c r="B51" s="374"/>
      <c r="C51" s="374"/>
      <c r="D51" s="374"/>
      <c r="E51" s="374"/>
      <c r="F51" s="374"/>
      <c r="G51" s="374"/>
      <c r="H51" s="374"/>
      <c r="I51" s="374"/>
      <c r="J51" s="374"/>
      <c r="K51" s="374"/>
      <c r="L51" s="374"/>
      <c r="M51" s="375"/>
      <c r="N51" s="376" t="s">
        <v>467</v>
      </c>
      <c r="O51" s="377"/>
      <c r="P51" s="377"/>
      <c r="Q51" s="377"/>
      <c r="R51" s="377"/>
      <c r="S51" s="377"/>
      <c r="T51" s="377"/>
      <c r="U51" s="377"/>
      <c r="V51" s="377"/>
      <c r="W51" s="377"/>
      <c r="X51" s="377"/>
      <c r="Y51" s="377"/>
      <c r="Z51" s="377"/>
      <c r="AA51" s="377"/>
      <c r="AB51" s="377"/>
      <c r="AC51" s="377"/>
      <c r="AD51" s="378"/>
    </row>
    <row r="52" spans="1:32" ht="27" customHeight="1">
      <c r="A52" s="379" t="s">
        <v>2</v>
      </c>
      <c r="B52" s="380"/>
      <c r="C52" s="199" t="s">
        <v>46</v>
      </c>
      <c r="D52" s="199" t="s">
        <v>47</v>
      </c>
      <c r="E52" s="199" t="s">
        <v>108</v>
      </c>
      <c r="F52" s="380" t="s">
        <v>107</v>
      </c>
      <c r="G52" s="380"/>
      <c r="H52" s="380"/>
      <c r="I52" s="380"/>
      <c r="J52" s="380"/>
      <c r="K52" s="380"/>
      <c r="L52" s="380"/>
      <c r="M52" s="381"/>
      <c r="N52" s="73" t="s">
        <v>112</v>
      </c>
      <c r="O52" s="199" t="s">
        <v>46</v>
      </c>
      <c r="P52" s="382" t="s">
        <v>47</v>
      </c>
      <c r="Q52" s="383"/>
      <c r="R52" s="382" t="s">
        <v>38</v>
      </c>
      <c r="S52" s="384"/>
      <c r="T52" s="384"/>
      <c r="U52" s="383"/>
      <c r="V52" s="382" t="s">
        <v>48</v>
      </c>
      <c r="W52" s="384"/>
      <c r="X52" s="384"/>
      <c r="Y52" s="384"/>
      <c r="Z52" s="384"/>
      <c r="AA52" s="384"/>
      <c r="AB52" s="384"/>
      <c r="AC52" s="384"/>
      <c r="AD52" s="385"/>
    </row>
    <row r="53" spans="1:32" ht="27" customHeight="1">
      <c r="A53" s="396" t="s">
        <v>457</v>
      </c>
      <c r="B53" s="397"/>
      <c r="C53" s="200" t="s">
        <v>278</v>
      </c>
      <c r="D53" s="201" t="s">
        <v>458</v>
      </c>
      <c r="E53" s="200" t="s">
        <v>459</v>
      </c>
      <c r="F53" s="398" t="s">
        <v>460</v>
      </c>
      <c r="G53" s="398"/>
      <c r="H53" s="398"/>
      <c r="I53" s="398"/>
      <c r="J53" s="398"/>
      <c r="K53" s="398"/>
      <c r="L53" s="398"/>
      <c r="M53" s="399"/>
      <c r="N53" s="205" t="s">
        <v>122</v>
      </c>
      <c r="O53" s="74" t="s">
        <v>278</v>
      </c>
      <c r="P53" s="400" t="s">
        <v>264</v>
      </c>
      <c r="Q53" s="401"/>
      <c r="R53" s="402" t="s">
        <v>468</v>
      </c>
      <c r="S53" s="402"/>
      <c r="T53" s="402"/>
      <c r="U53" s="402"/>
      <c r="V53" s="398" t="s">
        <v>426</v>
      </c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 t="s">
        <v>412</v>
      </c>
      <c r="B54" s="397"/>
      <c r="C54" s="200" t="s">
        <v>281</v>
      </c>
      <c r="D54" s="201" t="s">
        <v>413</v>
      </c>
      <c r="E54" s="200" t="s">
        <v>498</v>
      </c>
      <c r="F54" s="398" t="s">
        <v>461</v>
      </c>
      <c r="G54" s="398"/>
      <c r="H54" s="398"/>
      <c r="I54" s="398"/>
      <c r="J54" s="398"/>
      <c r="K54" s="398"/>
      <c r="L54" s="398"/>
      <c r="M54" s="399"/>
      <c r="N54" s="205" t="s">
        <v>122</v>
      </c>
      <c r="O54" s="74" t="s">
        <v>281</v>
      </c>
      <c r="P54" s="400" t="s">
        <v>463</v>
      </c>
      <c r="Q54" s="401"/>
      <c r="R54" s="402" t="s">
        <v>469</v>
      </c>
      <c r="S54" s="402"/>
      <c r="T54" s="402"/>
      <c r="U54" s="402"/>
      <c r="V54" s="398" t="s">
        <v>426</v>
      </c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 t="s">
        <v>146</v>
      </c>
      <c r="B55" s="397"/>
      <c r="C55" s="200" t="s">
        <v>373</v>
      </c>
      <c r="D55" s="201" t="s">
        <v>441</v>
      </c>
      <c r="E55" s="200" t="s">
        <v>439</v>
      </c>
      <c r="F55" s="398" t="s">
        <v>462</v>
      </c>
      <c r="G55" s="398"/>
      <c r="H55" s="398"/>
      <c r="I55" s="398"/>
      <c r="J55" s="398"/>
      <c r="K55" s="398"/>
      <c r="L55" s="398"/>
      <c r="M55" s="399"/>
      <c r="N55" s="205"/>
      <c r="O55" s="74"/>
      <c r="P55" s="402"/>
      <c r="Q55" s="402"/>
      <c r="R55" s="402"/>
      <c r="S55" s="402"/>
      <c r="T55" s="402"/>
      <c r="U55" s="402"/>
      <c r="V55" s="398"/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 t="s">
        <v>457</v>
      </c>
      <c r="B56" s="397"/>
      <c r="C56" s="200" t="s">
        <v>378</v>
      </c>
      <c r="D56" s="201" t="s">
        <v>463</v>
      </c>
      <c r="E56" s="200" t="s">
        <v>464</v>
      </c>
      <c r="F56" s="398" t="s">
        <v>465</v>
      </c>
      <c r="G56" s="398"/>
      <c r="H56" s="398"/>
      <c r="I56" s="398"/>
      <c r="J56" s="398"/>
      <c r="K56" s="398"/>
      <c r="L56" s="398"/>
      <c r="M56" s="399"/>
      <c r="N56" s="205"/>
      <c r="O56" s="74"/>
      <c r="P56" s="400"/>
      <c r="Q56" s="401"/>
      <c r="R56" s="402"/>
      <c r="S56" s="402"/>
      <c r="T56" s="402"/>
      <c r="U56" s="402"/>
      <c r="V56" s="398"/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 t="s">
        <v>122</v>
      </c>
      <c r="B57" s="397"/>
      <c r="C57" s="200" t="s">
        <v>278</v>
      </c>
      <c r="D57" s="201" t="s">
        <v>466</v>
      </c>
      <c r="E57" s="200" t="s">
        <v>451</v>
      </c>
      <c r="F57" s="398" t="s">
        <v>460</v>
      </c>
      <c r="G57" s="398"/>
      <c r="H57" s="398"/>
      <c r="I57" s="398"/>
      <c r="J57" s="398"/>
      <c r="K57" s="398"/>
      <c r="L57" s="398"/>
      <c r="M57" s="399"/>
      <c r="N57" s="205"/>
      <c r="O57" s="74"/>
      <c r="P57" s="400"/>
      <c r="Q57" s="401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/>
      <c r="B58" s="397"/>
      <c r="C58" s="200"/>
      <c r="D58" s="201"/>
      <c r="E58" s="200"/>
      <c r="F58" s="398"/>
      <c r="G58" s="398"/>
      <c r="H58" s="398"/>
      <c r="I58" s="398"/>
      <c r="J58" s="398"/>
      <c r="K58" s="398"/>
      <c r="L58" s="398"/>
      <c r="M58" s="399"/>
      <c r="N58" s="205"/>
      <c r="O58" s="74"/>
      <c r="P58" s="402"/>
      <c r="Q58" s="402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396"/>
      <c r="B59" s="397"/>
      <c r="C59" s="200"/>
      <c r="D59" s="201"/>
      <c r="E59" s="200"/>
      <c r="F59" s="398"/>
      <c r="G59" s="398"/>
      <c r="H59" s="398"/>
      <c r="I59" s="398"/>
      <c r="J59" s="398"/>
      <c r="K59" s="398"/>
      <c r="L59" s="398"/>
      <c r="M59" s="399"/>
      <c r="N59" s="205"/>
      <c r="O59" s="74"/>
      <c r="P59" s="400"/>
      <c r="Q59" s="401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</row>
    <row r="60" spans="1:32" ht="27" customHeight="1">
      <c r="A60" s="396"/>
      <c r="B60" s="397"/>
      <c r="C60" s="200"/>
      <c r="D60" s="201"/>
      <c r="E60" s="200"/>
      <c r="F60" s="398"/>
      <c r="G60" s="398"/>
      <c r="H60" s="398"/>
      <c r="I60" s="398"/>
      <c r="J60" s="398"/>
      <c r="K60" s="398"/>
      <c r="L60" s="398"/>
      <c r="M60" s="399"/>
      <c r="N60" s="205"/>
      <c r="O60" s="74"/>
      <c r="P60" s="400"/>
      <c r="Q60" s="401"/>
      <c r="R60" s="402"/>
      <c r="S60" s="402"/>
      <c r="T60" s="402"/>
      <c r="U60" s="402"/>
      <c r="V60" s="398"/>
      <c r="W60" s="398"/>
      <c r="X60" s="398"/>
      <c r="Y60" s="398"/>
      <c r="Z60" s="398"/>
      <c r="AA60" s="398"/>
      <c r="AB60" s="398"/>
      <c r="AC60" s="398"/>
      <c r="AD60" s="399"/>
    </row>
    <row r="61" spans="1:32" ht="27" customHeight="1">
      <c r="A61" s="412"/>
      <c r="B61" s="402"/>
      <c r="C61" s="201"/>
      <c r="D61" s="201"/>
      <c r="E61" s="201"/>
      <c r="F61" s="398"/>
      <c r="G61" s="398"/>
      <c r="H61" s="398"/>
      <c r="I61" s="398"/>
      <c r="J61" s="398"/>
      <c r="K61" s="398"/>
      <c r="L61" s="398"/>
      <c r="M61" s="399"/>
      <c r="N61" s="205"/>
      <c r="O61" s="74"/>
      <c r="P61" s="402"/>
      <c r="Q61" s="402"/>
      <c r="R61" s="402"/>
      <c r="S61" s="402"/>
      <c r="T61" s="402"/>
      <c r="U61" s="402"/>
      <c r="V61" s="398"/>
      <c r="W61" s="398"/>
      <c r="X61" s="398"/>
      <c r="Y61" s="398"/>
      <c r="Z61" s="398"/>
      <c r="AA61" s="398"/>
      <c r="AB61" s="398"/>
      <c r="AC61" s="398"/>
      <c r="AD61" s="399"/>
      <c r="AF61" s="94">
        <f>8*3000</f>
        <v>24000</v>
      </c>
    </row>
    <row r="62" spans="1:32" ht="27" customHeight="1" thickBot="1">
      <c r="A62" s="403"/>
      <c r="B62" s="404"/>
      <c r="C62" s="203"/>
      <c r="D62" s="203"/>
      <c r="E62" s="203"/>
      <c r="F62" s="405"/>
      <c r="G62" s="405"/>
      <c r="H62" s="405"/>
      <c r="I62" s="405"/>
      <c r="J62" s="405"/>
      <c r="K62" s="405"/>
      <c r="L62" s="405"/>
      <c r="M62" s="406"/>
      <c r="N62" s="202"/>
      <c r="O62" s="121"/>
      <c r="P62" s="404"/>
      <c r="Q62" s="404"/>
      <c r="R62" s="404"/>
      <c r="S62" s="404"/>
      <c r="T62" s="404"/>
      <c r="U62" s="404"/>
      <c r="V62" s="405"/>
      <c r="W62" s="405"/>
      <c r="X62" s="405"/>
      <c r="Y62" s="405"/>
      <c r="Z62" s="405"/>
      <c r="AA62" s="405"/>
      <c r="AB62" s="405"/>
      <c r="AC62" s="405"/>
      <c r="AD62" s="406"/>
      <c r="AF62" s="94">
        <f>16*3000</f>
        <v>48000</v>
      </c>
    </row>
    <row r="63" spans="1:32" ht="27.75" thickBot="1">
      <c r="A63" s="407" t="s">
        <v>470</v>
      </c>
      <c r="B63" s="407"/>
      <c r="C63" s="407"/>
      <c r="D63" s="407"/>
      <c r="E63" s="407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4">
        <v>24000</v>
      </c>
    </row>
    <row r="64" spans="1:32" ht="29.25" customHeight="1" thickBot="1">
      <c r="A64" s="408" t="s">
        <v>113</v>
      </c>
      <c r="B64" s="409"/>
      <c r="C64" s="204" t="s">
        <v>2</v>
      </c>
      <c r="D64" s="204" t="s">
        <v>37</v>
      </c>
      <c r="E64" s="204" t="s">
        <v>3</v>
      </c>
      <c r="F64" s="409" t="s">
        <v>110</v>
      </c>
      <c r="G64" s="409"/>
      <c r="H64" s="409"/>
      <c r="I64" s="409"/>
      <c r="J64" s="409"/>
      <c r="K64" s="409" t="s">
        <v>39</v>
      </c>
      <c r="L64" s="409"/>
      <c r="M64" s="204" t="s">
        <v>40</v>
      </c>
      <c r="N64" s="409" t="s">
        <v>41</v>
      </c>
      <c r="O64" s="409"/>
      <c r="P64" s="410" t="s">
        <v>42</v>
      </c>
      <c r="Q64" s="411"/>
      <c r="R64" s="410" t="s">
        <v>43</v>
      </c>
      <c r="S64" s="413"/>
      <c r="T64" s="413"/>
      <c r="U64" s="413"/>
      <c r="V64" s="413"/>
      <c r="W64" s="413"/>
      <c r="X64" s="413"/>
      <c r="Y64" s="413"/>
      <c r="Z64" s="413"/>
      <c r="AA64" s="411"/>
      <c r="AB64" s="409" t="s">
        <v>44</v>
      </c>
      <c r="AC64" s="409"/>
      <c r="AD64" s="414"/>
      <c r="AF64" s="94">
        <f>SUM(AF61:AF63)</f>
        <v>96000</v>
      </c>
    </row>
    <row r="65" spans="1:32" ht="25.5" customHeight="1">
      <c r="A65" s="415">
        <v>1</v>
      </c>
      <c r="B65" s="416"/>
      <c r="C65" s="124" t="s">
        <v>471</v>
      </c>
      <c r="D65" s="208"/>
      <c r="E65" s="206" t="s">
        <v>453</v>
      </c>
      <c r="F65" s="417" t="s">
        <v>464</v>
      </c>
      <c r="G65" s="418"/>
      <c r="H65" s="418"/>
      <c r="I65" s="418"/>
      <c r="J65" s="418"/>
      <c r="K65" s="418" t="s">
        <v>350</v>
      </c>
      <c r="L65" s="418"/>
      <c r="M65" s="54" t="s">
        <v>397</v>
      </c>
      <c r="N65" s="418">
        <v>13</v>
      </c>
      <c r="O65" s="418"/>
      <c r="P65" s="419">
        <v>50</v>
      </c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2</v>
      </c>
      <c r="B66" s="416"/>
      <c r="C66" s="124" t="s">
        <v>472</v>
      </c>
      <c r="D66" s="208"/>
      <c r="E66" s="206" t="s">
        <v>473</v>
      </c>
      <c r="F66" s="417" t="s">
        <v>474</v>
      </c>
      <c r="G66" s="418"/>
      <c r="H66" s="418"/>
      <c r="I66" s="418"/>
      <c r="J66" s="418"/>
      <c r="K66" s="418" t="s">
        <v>475</v>
      </c>
      <c r="L66" s="418"/>
      <c r="M66" s="54" t="s">
        <v>476</v>
      </c>
      <c r="N66" s="418">
        <v>6</v>
      </c>
      <c r="O66" s="418"/>
      <c r="P66" s="419">
        <v>900</v>
      </c>
      <c r="Q66" s="419"/>
      <c r="R66" s="398" t="s">
        <v>477</v>
      </c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3</v>
      </c>
      <c r="B67" s="416"/>
      <c r="C67" s="124"/>
      <c r="D67" s="208"/>
      <c r="E67" s="206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4</v>
      </c>
      <c r="B68" s="416"/>
      <c r="C68" s="124"/>
      <c r="D68" s="208"/>
      <c r="E68" s="206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5</v>
      </c>
      <c r="B69" s="416"/>
      <c r="C69" s="124"/>
      <c r="D69" s="208"/>
      <c r="E69" s="206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6</v>
      </c>
      <c r="B70" s="416"/>
      <c r="C70" s="124"/>
      <c r="D70" s="208"/>
      <c r="E70" s="206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5.5" customHeight="1">
      <c r="A71" s="415">
        <v>7</v>
      </c>
      <c r="B71" s="416"/>
      <c r="C71" s="124"/>
      <c r="D71" s="208"/>
      <c r="E71" s="206"/>
      <c r="F71" s="417"/>
      <c r="G71" s="418"/>
      <c r="H71" s="418"/>
      <c r="I71" s="418"/>
      <c r="J71" s="418"/>
      <c r="K71" s="418"/>
      <c r="L71" s="418"/>
      <c r="M71" s="54"/>
      <c r="N71" s="418"/>
      <c r="O71" s="418"/>
      <c r="P71" s="419"/>
      <c r="Q71" s="419"/>
      <c r="R71" s="398"/>
      <c r="S71" s="398"/>
      <c r="T71" s="398"/>
      <c r="U71" s="398"/>
      <c r="V71" s="398"/>
      <c r="W71" s="398"/>
      <c r="X71" s="398"/>
      <c r="Y71" s="398"/>
      <c r="Z71" s="398"/>
      <c r="AA71" s="398"/>
      <c r="AB71" s="418"/>
      <c r="AC71" s="418"/>
      <c r="AD71" s="420"/>
      <c r="AF71" s="53"/>
    </row>
    <row r="72" spans="1:32" ht="25.5" customHeight="1">
      <c r="A72" s="415">
        <v>8</v>
      </c>
      <c r="B72" s="416"/>
      <c r="C72" s="124"/>
      <c r="D72" s="208"/>
      <c r="E72" s="206"/>
      <c r="F72" s="417"/>
      <c r="G72" s="418"/>
      <c r="H72" s="418"/>
      <c r="I72" s="418"/>
      <c r="J72" s="418"/>
      <c r="K72" s="418"/>
      <c r="L72" s="418"/>
      <c r="M72" s="54"/>
      <c r="N72" s="418"/>
      <c r="O72" s="418"/>
      <c r="P72" s="419"/>
      <c r="Q72" s="419"/>
      <c r="R72" s="398"/>
      <c r="S72" s="398"/>
      <c r="T72" s="398"/>
      <c r="U72" s="398"/>
      <c r="V72" s="398"/>
      <c r="W72" s="398"/>
      <c r="X72" s="398"/>
      <c r="Y72" s="398"/>
      <c r="Z72" s="398"/>
      <c r="AA72" s="398"/>
      <c r="AB72" s="418"/>
      <c r="AC72" s="418"/>
      <c r="AD72" s="420"/>
      <c r="AF72" s="53"/>
    </row>
    <row r="73" spans="1:32" ht="26.25" customHeight="1" thickBot="1">
      <c r="A73" s="421" t="s">
        <v>478</v>
      </c>
      <c r="B73" s="421"/>
      <c r="C73" s="421"/>
      <c r="D73" s="421"/>
      <c r="E73" s="421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22" t="s">
        <v>113</v>
      </c>
      <c r="B74" s="423"/>
      <c r="C74" s="207" t="s">
        <v>2</v>
      </c>
      <c r="D74" s="207" t="s">
        <v>37</v>
      </c>
      <c r="E74" s="207" t="s">
        <v>3</v>
      </c>
      <c r="F74" s="423" t="s">
        <v>38</v>
      </c>
      <c r="G74" s="423"/>
      <c r="H74" s="423"/>
      <c r="I74" s="423"/>
      <c r="J74" s="423"/>
      <c r="K74" s="424" t="s">
        <v>58</v>
      </c>
      <c r="L74" s="425"/>
      <c r="M74" s="425"/>
      <c r="N74" s="425"/>
      <c r="O74" s="425"/>
      <c r="P74" s="425"/>
      <c r="Q74" s="425"/>
      <c r="R74" s="425"/>
      <c r="S74" s="426"/>
      <c r="T74" s="423" t="s">
        <v>49</v>
      </c>
      <c r="U74" s="423"/>
      <c r="V74" s="424" t="s">
        <v>50</v>
      </c>
      <c r="W74" s="426"/>
      <c r="X74" s="425" t="s">
        <v>51</v>
      </c>
      <c r="Y74" s="425"/>
      <c r="Z74" s="425"/>
      <c r="AA74" s="425"/>
      <c r="AB74" s="425"/>
      <c r="AC74" s="425"/>
      <c r="AD74" s="427"/>
      <c r="AF74" s="53"/>
    </row>
    <row r="75" spans="1:32" ht="33.75" customHeight="1">
      <c r="A75" s="436">
        <v>1</v>
      </c>
      <c r="B75" s="437"/>
      <c r="C75" s="209" t="s">
        <v>114</v>
      </c>
      <c r="D75" s="209"/>
      <c r="E75" s="71" t="s">
        <v>119</v>
      </c>
      <c r="F75" s="438" t="s">
        <v>120</v>
      </c>
      <c r="G75" s="439"/>
      <c r="H75" s="439"/>
      <c r="I75" s="439"/>
      <c r="J75" s="440"/>
      <c r="K75" s="441" t="s">
        <v>115</v>
      </c>
      <c r="L75" s="442"/>
      <c r="M75" s="442"/>
      <c r="N75" s="442"/>
      <c r="O75" s="442"/>
      <c r="P75" s="442"/>
      <c r="Q75" s="442"/>
      <c r="R75" s="442"/>
      <c r="S75" s="443"/>
      <c r="T75" s="444">
        <v>42901</v>
      </c>
      <c r="U75" s="445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28">
        <f>A75+1</f>
        <v>2</v>
      </c>
      <c r="B76" s="429"/>
      <c r="C76" s="208" t="s">
        <v>114</v>
      </c>
      <c r="D76" s="208"/>
      <c r="E76" s="35" t="s">
        <v>116</v>
      </c>
      <c r="F76" s="429" t="s">
        <v>117</v>
      </c>
      <c r="G76" s="429"/>
      <c r="H76" s="429"/>
      <c r="I76" s="429"/>
      <c r="J76" s="429"/>
      <c r="K76" s="430" t="s">
        <v>118</v>
      </c>
      <c r="L76" s="431"/>
      <c r="M76" s="431"/>
      <c r="N76" s="431"/>
      <c r="O76" s="431"/>
      <c r="P76" s="431"/>
      <c r="Q76" s="431"/>
      <c r="R76" s="431"/>
      <c r="S76" s="432"/>
      <c r="T76" s="433">
        <v>42867</v>
      </c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ref="A77:A83" si="28">A76+1</f>
        <v>3</v>
      </c>
      <c r="B77" s="429"/>
      <c r="C77" s="208"/>
      <c r="D77" s="208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28"/>
        <v>4</v>
      </c>
      <c r="B78" s="429"/>
      <c r="C78" s="208"/>
      <c r="D78" s="208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28"/>
        <v>5</v>
      </c>
      <c r="B79" s="429"/>
      <c r="C79" s="208"/>
      <c r="D79" s="208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28"/>
        <v>6</v>
      </c>
      <c r="B80" s="429"/>
      <c r="C80" s="208"/>
      <c r="D80" s="208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28"/>
        <v>7</v>
      </c>
      <c r="B81" s="429"/>
      <c r="C81" s="208"/>
      <c r="D81" s="208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0" customHeight="1">
      <c r="A82" s="428">
        <f t="shared" si="28"/>
        <v>8</v>
      </c>
      <c r="B82" s="429"/>
      <c r="C82" s="208"/>
      <c r="D82" s="208"/>
      <c r="E82" s="35"/>
      <c r="F82" s="429"/>
      <c r="G82" s="429"/>
      <c r="H82" s="429"/>
      <c r="I82" s="429"/>
      <c r="J82" s="429"/>
      <c r="K82" s="430"/>
      <c r="L82" s="431"/>
      <c r="M82" s="431"/>
      <c r="N82" s="431"/>
      <c r="O82" s="431"/>
      <c r="P82" s="431"/>
      <c r="Q82" s="431"/>
      <c r="R82" s="431"/>
      <c r="S82" s="432"/>
      <c r="T82" s="433"/>
      <c r="U82" s="433"/>
      <c r="V82" s="433"/>
      <c r="W82" s="433"/>
      <c r="X82" s="434"/>
      <c r="Y82" s="434"/>
      <c r="Z82" s="434"/>
      <c r="AA82" s="434"/>
      <c r="AB82" s="434"/>
      <c r="AC82" s="434"/>
      <c r="AD82" s="435"/>
      <c r="AF82" s="53"/>
    </row>
    <row r="83" spans="1:32" ht="30" customHeight="1">
      <c r="A83" s="428">
        <f t="shared" si="28"/>
        <v>9</v>
      </c>
      <c r="B83" s="429"/>
      <c r="C83" s="208"/>
      <c r="D83" s="208"/>
      <c r="E83" s="35"/>
      <c r="F83" s="429"/>
      <c r="G83" s="429"/>
      <c r="H83" s="429"/>
      <c r="I83" s="429"/>
      <c r="J83" s="429"/>
      <c r="K83" s="430"/>
      <c r="L83" s="431"/>
      <c r="M83" s="431"/>
      <c r="N83" s="431"/>
      <c r="O83" s="431"/>
      <c r="P83" s="431"/>
      <c r="Q83" s="431"/>
      <c r="R83" s="431"/>
      <c r="S83" s="432"/>
      <c r="T83" s="433"/>
      <c r="U83" s="433"/>
      <c r="V83" s="433"/>
      <c r="W83" s="433"/>
      <c r="X83" s="434"/>
      <c r="Y83" s="434"/>
      <c r="Z83" s="434"/>
      <c r="AA83" s="434"/>
      <c r="AB83" s="434"/>
      <c r="AC83" s="434"/>
      <c r="AD83" s="435"/>
      <c r="AF83" s="53"/>
    </row>
    <row r="84" spans="1:32" ht="36" thickBot="1">
      <c r="A84" s="421" t="s">
        <v>479</v>
      </c>
      <c r="B84" s="421"/>
      <c r="C84" s="421"/>
      <c r="D84" s="421"/>
      <c r="E84" s="421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22" t="s">
        <v>113</v>
      </c>
      <c r="B85" s="423"/>
      <c r="C85" s="449" t="s">
        <v>52</v>
      </c>
      <c r="D85" s="449"/>
      <c r="E85" s="449" t="s">
        <v>53</v>
      </c>
      <c r="F85" s="449"/>
      <c r="G85" s="449"/>
      <c r="H85" s="449"/>
      <c r="I85" s="449"/>
      <c r="J85" s="449"/>
      <c r="K85" s="449" t="s">
        <v>54</v>
      </c>
      <c r="L85" s="449"/>
      <c r="M85" s="449"/>
      <c r="N85" s="449"/>
      <c r="O85" s="449"/>
      <c r="P85" s="449"/>
      <c r="Q85" s="449"/>
      <c r="R85" s="449"/>
      <c r="S85" s="449"/>
      <c r="T85" s="449" t="s">
        <v>55</v>
      </c>
      <c r="U85" s="449"/>
      <c r="V85" s="449" t="s">
        <v>56</v>
      </c>
      <c r="W85" s="449"/>
      <c r="X85" s="449"/>
      <c r="Y85" s="449" t="s">
        <v>51</v>
      </c>
      <c r="Z85" s="449"/>
      <c r="AA85" s="449"/>
      <c r="AB85" s="449"/>
      <c r="AC85" s="449"/>
      <c r="AD85" s="450"/>
      <c r="AF85" s="53"/>
    </row>
    <row r="86" spans="1:32" ht="30.75" customHeight="1">
      <c r="A86" s="436">
        <v>1</v>
      </c>
      <c r="B86" s="437"/>
      <c r="C86" s="451"/>
      <c r="D86" s="451"/>
      <c r="E86" s="451"/>
      <c r="F86" s="451"/>
      <c r="G86" s="451"/>
      <c r="H86" s="451"/>
      <c r="I86" s="451"/>
      <c r="J86" s="451"/>
      <c r="K86" s="451"/>
      <c r="L86" s="451"/>
      <c r="M86" s="451"/>
      <c r="N86" s="451"/>
      <c r="O86" s="451"/>
      <c r="P86" s="451"/>
      <c r="Q86" s="451"/>
      <c r="R86" s="451"/>
      <c r="S86" s="451"/>
      <c r="T86" s="451"/>
      <c r="U86" s="451"/>
      <c r="V86" s="452"/>
      <c r="W86" s="452"/>
      <c r="X86" s="452"/>
      <c r="Y86" s="453"/>
      <c r="Z86" s="453"/>
      <c r="AA86" s="453"/>
      <c r="AB86" s="453"/>
      <c r="AC86" s="453"/>
      <c r="AD86" s="454"/>
      <c r="AF86" s="53"/>
    </row>
    <row r="87" spans="1:32" ht="30.75" customHeight="1">
      <c r="A87" s="428">
        <v>2</v>
      </c>
      <c r="B87" s="429"/>
      <c r="C87" s="462"/>
      <c r="D87" s="462"/>
      <c r="E87" s="462"/>
      <c r="F87" s="462"/>
      <c r="G87" s="462"/>
      <c r="H87" s="462"/>
      <c r="I87" s="462"/>
      <c r="J87" s="462"/>
      <c r="K87" s="462"/>
      <c r="L87" s="462"/>
      <c r="M87" s="462"/>
      <c r="N87" s="462"/>
      <c r="O87" s="462"/>
      <c r="P87" s="462"/>
      <c r="Q87" s="462"/>
      <c r="R87" s="462"/>
      <c r="S87" s="462"/>
      <c r="T87" s="463"/>
      <c r="U87" s="463"/>
      <c r="V87" s="464"/>
      <c r="W87" s="464"/>
      <c r="X87" s="464"/>
      <c r="Y87" s="455"/>
      <c r="Z87" s="455"/>
      <c r="AA87" s="455"/>
      <c r="AB87" s="455"/>
      <c r="AC87" s="455"/>
      <c r="AD87" s="456"/>
      <c r="AF87" s="53"/>
    </row>
    <row r="88" spans="1:32" ht="30.75" customHeight="1" thickBot="1">
      <c r="A88" s="457">
        <v>3</v>
      </c>
      <c r="B88" s="458"/>
      <c r="C88" s="459"/>
      <c r="D88" s="459"/>
      <c r="E88" s="459"/>
      <c r="F88" s="459"/>
      <c r="G88" s="459"/>
      <c r="H88" s="459"/>
      <c r="I88" s="459"/>
      <c r="J88" s="459"/>
      <c r="K88" s="459"/>
      <c r="L88" s="459"/>
      <c r="M88" s="459"/>
      <c r="N88" s="459"/>
      <c r="O88" s="459"/>
      <c r="P88" s="459"/>
      <c r="Q88" s="459"/>
      <c r="R88" s="459"/>
      <c r="S88" s="459"/>
      <c r="T88" s="459"/>
      <c r="U88" s="459"/>
      <c r="V88" s="459"/>
      <c r="W88" s="459"/>
      <c r="X88" s="459"/>
      <c r="Y88" s="460"/>
      <c r="Z88" s="460"/>
      <c r="AA88" s="460"/>
      <c r="AB88" s="460"/>
      <c r="AC88" s="460"/>
      <c r="AD88" s="461"/>
      <c r="AF88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9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19" zoomScale="72" zoomScaleNormal="72" zoomScaleSheetLayoutView="70" workbookViewId="0">
      <selection activeCell="T11" sqref="T11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55" t="s">
        <v>480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6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221" t="s">
        <v>17</v>
      </c>
      <c r="L5" s="221" t="s">
        <v>18</v>
      </c>
      <c r="M5" s="221" t="s">
        <v>19</v>
      </c>
      <c r="N5" s="22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6" ht="27" customHeight="1">
      <c r="A6" s="108">
        <v>1</v>
      </c>
      <c r="B6" s="11" t="s">
        <v>57</v>
      </c>
      <c r="C6" s="37" t="s">
        <v>122</v>
      </c>
      <c r="D6" s="55" t="s">
        <v>127</v>
      </c>
      <c r="E6" s="57" t="s">
        <v>367</v>
      </c>
      <c r="F6" s="33" t="s">
        <v>368</v>
      </c>
      <c r="G6" s="36">
        <v>1</v>
      </c>
      <c r="H6" s="38">
        <v>25</v>
      </c>
      <c r="I6" s="7">
        <v>11000</v>
      </c>
      <c r="J6" s="5">
        <v>5063</v>
      </c>
      <c r="K6" s="15">
        <f>L6+4098+4720</f>
        <v>13881</v>
      </c>
      <c r="L6" s="15">
        <f>3192+1871</f>
        <v>5063</v>
      </c>
      <c r="M6" s="16">
        <f t="shared" ref="M6:M20" si="0">L6-N6</f>
        <v>5063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1</v>
      </c>
      <c r="AC6" s="9">
        <f t="shared" ref="AC6:AC20" si="5">IF(P6=0,"0",(P6/24))</f>
        <v>1</v>
      </c>
      <c r="AD6" s="10">
        <f t="shared" ref="AD6:AD20" si="6">AC6*AB6*(1-O6)</f>
        <v>1</v>
      </c>
      <c r="AE6" s="39">
        <f t="shared" ref="AE6:AE20" si="7">$AD$21</f>
        <v>0.36084049192454426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123</v>
      </c>
      <c r="D7" s="55" t="s">
        <v>156</v>
      </c>
      <c r="E7" s="57" t="s">
        <v>311</v>
      </c>
      <c r="F7" s="33" t="s">
        <v>312</v>
      </c>
      <c r="G7" s="12">
        <v>3</v>
      </c>
      <c r="H7" s="13">
        <v>25</v>
      </c>
      <c r="I7" s="34">
        <v>100000</v>
      </c>
      <c r="J7" s="5">
        <v>15560</v>
      </c>
      <c r="K7" s="15">
        <f>L7+11583+14484+15558</f>
        <v>41625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0.36084049192454426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122</v>
      </c>
      <c r="D8" s="55" t="s">
        <v>127</v>
      </c>
      <c r="E8" s="57" t="s">
        <v>291</v>
      </c>
      <c r="F8" s="33" t="s">
        <v>263</v>
      </c>
      <c r="G8" s="12">
        <v>1</v>
      </c>
      <c r="H8" s="13">
        <v>25</v>
      </c>
      <c r="I8" s="34">
        <v>10000</v>
      </c>
      <c r="J8" s="5">
        <v>2440</v>
      </c>
      <c r="K8" s="15">
        <f>L8+4847+5369+5206+2437</f>
        <v>17859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0.36084049192454426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122</v>
      </c>
      <c r="D9" s="55" t="s">
        <v>264</v>
      </c>
      <c r="E9" s="57" t="s">
        <v>481</v>
      </c>
      <c r="F9" s="33" t="s">
        <v>482</v>
      </c>
      <c r="G9" s="36">
        <v>1</v>
      </c>
      <c r="H9" s="38">
        <v>25</v>
      </c>
      <c r="I9" s="7">
        <v>30000</v>
      </c>
      <c r="J9" s="5">
        <v>5440</v>
      </c>
      <c r="K9" s="15">
        <f>L9</f>
        <v>5438</v>
      </c>
      <c r="L9" s="15">
        <f>1670+3768</f>
        <v>5438</v>
      </c>
      <c r="M9" s="16">
        <f t="shared" si="0"/>
        <v>5438</v>
      </c>
      <c r="N9" s="16">
        <v>0</v>
      </c>
      <c r="O9" s="62">
        <f t="shared" si="1"/>
        <v>0</v>
      </c>
      <c r="P9" s="42">
        <f t="shared" si="2"/>
        <v>23</v>
      </c>
      <c r="Q9" s="43">
        <f t="shared" si="3"/>
        <v>1</v>
      </c>
      <c r="R9" s="7"/>
      <c r="S9" s="6"/>
      <c r="T9" s="17">
        <v>1</v>
      </c>
      <c r="U9" s="17"/>
      <c r="V9" s="18"/>
      <c r="W9" s="19"/>
      <c r="X9" s="17"/>
      <c r="Y9" s="20"/>
      <c r="Z9" s="20"/>
      <c r="AA9" s="21"/>
      <c r="AB9" s="8">
        <f t="shared" si="4"/>
        <v>0.99963235294117647</v>
      </c>
      <c r="AC9" s="9">
        <f t="shared" si="5"/>
        <v>0.95833333333333337</v>
      </c>
      <c r="AD9" s="10">
        <f t="shared" si="6"/>
        <v>0.95798100490196081</v>
      </c>
      <c r="AE9" s="39">
        <f t="shared" si="7"/>
        <v>0.36084049192454426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146</v>
      </c>
      <c r="D10" s="55" t="s">
        <v>488</v>
      </c>
      <c r="E10" s="57" t="s">
        <v>489</v>
      </c>
      <c r="F10" s="12" t="s">
        <v>487</v>
      </c>
      <c r="G10" s="12">
        <v>2</v>
      </c>
      <c r="H10" s="13">
        <v>20</v>
      </c>
      <c r="I10" s="34">
        <v>200000</v>
      </c>
      <c r="J10" s="14">
        <v>3680</v>
      </c>
      <c r="K10" s="15">
        <f>L10</f>
        <v>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/>
      <c r="X10" s="17"/>
      <c r="Y10" s="20"/>
      <c r="Z10" s="20"/>
      <c r="AA10" s="21">
        <v>24</v>
      </c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0.36084049192454426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483</v>
      </c>
      <c r="D11" s="55" t="s">
        <v>484</v>
      </c>
      <c r="E11" s="57" t="s">
        <v>485</v>
      </c>
      <c r="F11" s="12" t="s">
        <v>486</v>
      </c>
      <c r="G11" s="12">
        <v>1</v>
      </c>
      <c r="H11" s="13">
        <v>25</v>
      </c>
      <c r="I11" s="34">
        <v>9000</v>
      </c>
      <c r="J11" s="14">
        <v>1140</v>
      </c>
      <c r="K11" s="15">
        <f>L11+1140</f>
        <v>1140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/>
      <c r="X11" s="17"/>
      <c r="Y11" s="20"/>
      <c r="Z11" s="20"/>
      <c r="AA11" s="21">
        <v>24</v>
      </c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0.36084049192454426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122</v>
      </c>
      <c r="D12" s="55" t="s">
        <v>133</v>
      </c>
      <c r="E12" s="57" t="s">
        <v>490</v>
      </c>
      <c r="F12" s="12" t="s">
        <v>491</v>
      </c>
      <c r="G12" s="12">
        <v>1</v>
      </c>
      <c r="H12" s="13">
        <v>25</v>
      </c>
      <c r="I12" s="7">
        <v>30000</v>
      </c>
      <c r="J12" s="14">
        <v>3130</v>
      </c>
      <c r="K12" s="15">
        <f>L12</f>
        <v>3124</v>
      </c>
      <c r="L12" s="15">
        <f>974+2150</f>
        <v>3124</v>
      </c>
      <c r="M12" s="16">
        <f t="shared" si="0"/>
        <v>3124</v>
      </c>
      <c r="N12" s="16">
        <v>0</v>
      </c>
      <c r="O12" s="62">
        <f t="shared" si="1"/>
        <v>0</v>
      </c>
      <c r="P12" s="42">
        <f t="shared" si="2"/>
        <v>21</v>
      </c>
      <c r="Q12" s="43">
        <f t="shared" si="3"/>
        <v>3</v>
      </c>
      <c r="R12" s="7"/>
      <c r="S12" s="6"/>
      <c r="T12" s="17">
        <v>3</v>
      </c>
      <c r="U12" s="17"/>
      <c r="V12" s="18"/>
      <c r="W12" s="19"/>
      <c r="X12" s="17"/>
      <c r="Y12" s="20"/>
      <c r="Z12" s="20"/>
      <c r="AA12" s="21"/>
      <c r="AB12" s="8">
        <f t="shared" si="4"/>
        <v>0.99808306709265171</v>
      </c>
      <c r="AC12" s="9">
        <f t="shared" si="5"/>
        <v>0.875</v>
      </c>
      <c r="AD12" s="10">
        <f t="shared" si="6"/>
        <v>0.87332268370607025</v>
      </c>
      <c r="AE12" s="39">
        <f t="shared" si="7"/>
        <v>0.36084049192454426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122</v>
      </c>
      <c r="D13" s="55" t="s">
        <v>144</v>
      </c>
      <c r="E13" s="57" t="s">
        <v>293</v>
      </c>
      <c r="F13" s="12">
        <v>7301</v>
      </c>
      <c r="G13" s="12">
        <v>1</v>
      </c>
      <c r="H13" s="13">
        <v>25</v>
      </c>
      <c r="I13" s="7">
        <v>10000</v>
      </c>
      <c r="J13" s="14">
        <v>5400</v>
      </c>
      <c r="K13" s="15">
        <f>L13+3056+5360+3290</f>
        <v>17097</v>
      </c>
      <c r="L13" s="15">
        <f>3227+2164</f>
        <v>5391</v>
      </c>
      <c r="M13" s="16">
        <f t="shared" si="0"/>
        <v>5391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0.99833333333333329</v>
      </c>
      <c r="AC13" s="9">
        <f t="shared" si="5"/>
        <v>1</v>
      </c>
      <c r="AD13" s="10">
        <f t="shared" si="6"/>
        <v>0.99833333333333329</v>
      </c>
      <c r="AE13" s="39">
        <f t="shared" si="7"/>
        <v>0.36084049192454426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128</v>
      </c>
      <c r="E14" s="57" t="s">
        <v>174</v>
      </c>
      <c r="F14" s="33" t="s">
        <v>181</v>
      </c>
      <c r="G14" s="36">
        <v>1</v>
      </c>
      <c r="H14" s="38">
        <v>25</v>
      </c>
      <c r="I14" s="7">
        <v>200</v>
      </c>
      <c r="J14" s="5">
        <v>206</v>
      </c>
      <c r="K14" s="15">
        <f>L14+190+206</f>
        <v>396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0.36084049192454426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123</v>
      </c>
      <c r="D15" s="55" t="s">
        <v>269</v>
      </c>
      <c r="E15" s="57" t="s">
        <v>270</v>
      </c>
      <c r="F15" s="12" t="s">
        <v>151</v>
      </c>
      <c r="G15" s="12">
        <v>4</v>
      </c>
      <c r="H15" s="13">
        <v>24</v>
      </c>
      <c r="I15" s="34">
        <v>30000</v>
      </c>
      <c r="J15" s="14">
        <v>23320</v>
      </c>
      <c r="K15" s="15">
        <f>L15+21536+23312</f>
        <v>44848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0.36084049192454426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122</v>
      </c>
      <c r="D16" s="55" t="s">
        <v>317</v>
      </c>
      <c r="E16" s="56" t="s">
        <v>318</v>
      </c>
      <c r="F16" s="12">
        <v>7301</v>
      </c>
      <c r="G16" s="36">
        <v>1</v>
      </c>
      <c r="H16" s="38">
        <v>25</v>
      </c>
      <c r="I16" s="7">
        <v>10000</v>
      </c>
      <c r="J16" s="14">
        <v>4140</v>
      </c>
      <c r="K16" s="15">
        <f>L16+2979+4410+4132</f>
        <v>11521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0.36084049192454426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403</v>
      </c>
      <c r="D17" s="55" t="s">
        <v>404</v>
      </c>
      <c r="E17" s="57" t="s">
        <v>405</v>
      </c>
      <c r="F17" s="12">
        <v>8301</v>
      </c>
      <c r="G17" s="12">
        <v>1</v>
      </c>
      <c r="H17" s="13">
        <v>25</v>
      </c>
      <c r="I17" s="34">
        <v>650</v>
      </c>
      <c r="J17" s="5">
        <v>1140</v>
      </c>
      <c r="K17" s="15">
        <f>L17+1140</f>
        <v>1140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0.36084049192454426</v>
      </c>
      <c r="AF17" s="94">
        <f t="shared" ref="AF17:AF18" si="9">A17</f>
        <v>12</v>
      </c>
    </row>
    <row r="18" spans="1:32" ht="27" customHeight="1">
      <c r="A18" s="110">
        <v>13</v>
      </c>
      <c r="B18" s="11" t="s">
        <v>57</v>
      </c>
      <c r="C18" s="37" t="s">
        <v>122</v>
      </c>
      <c r="D18" s="55" t="s">
        <v>453</v>
      </c>
      <c r="E18" s="57" t="s">
        <v>454</v>
      </c>
      <c r="F18" s="33" t="s">
        <v>455</v>
      </c>
      <c r="G18" s="36">
        <v>1</v>
      </c>
      <c r="H18" s="38">
        <v>25</v>
      </c>
      <c r="I18" s="7">
        <v>16000</v>
      </c>
      <c r="J18" s="5">
        <v>5510</v>
      </c>
      <c r="K18" s="15">
        <f>L18+4116</f>
        <v>9624</v>
      </c>
      <c r="L18" s="15">
        <f>3297+2211</f>
        <v>5508</v>
      </c>
      <c r="M18" s="16">
        <f t="shared" si="0"/>
        <v>5508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0.9996370235934664</v>
      </c>
      <c r="AC18" s="9">
        <f t="shared" si="5"/>
        <v>1</v>
      </c>
      <c r="AD18" s="10">
        <f t="shared" si="6"/>
        <v>0.9996370235934664</v>
      </c>
      <c r="AE18" s="39">
        <f t="shared" si="7"/>
        <v>0.36084049192454426</v>
      </c>
      <c r="AF18" s="94">
        <f t="shared" si="9"/>
        <v>13</v>
      </c>
    </row>
    <row r="19" spans="1:32" ht="27" customHeight="1">
      <c r="A19" s="110">
        <v>14</v>
      </c>
      <c r="B19" s="11" t="s">
        <v>57</v>
      </c>
      <c r="C19" s="11" t="s">
        <v>146</v>
      </c>
      <c r="D19" s="55" t="s">
        <v>169</v>
      </c>
      <c r="E19" s="57" t="s">
        <v>168</v>
      </c>
      <c r="F19" s="12" t="s">
        <v>138</v>
      </c>
      <c r="G19" s="12" t="s">
        <v>170</v>
      </c>
      <c r="H19" s="13">
        <v>25</v>
      </c>
      <c r="I19" s="7">
        <v>130000</v>
      </c>
      <c r="J19" s="14">
        <v>2960</v>
      </c>
      <c r="K19" s="15">
        <f>L19+3258+4398+5144+3460+6323+4564+5384+7161</f>
        <v>42652</v>
      </c>
      <c r="L19" s="15">
        <f>2960</f>
        <v>2960</v>
      </c>
      <c r="M19" s="16">
        <f t="shared" si="0"/>
        <v>2960</v>
      </c>
      <c r="N19" s="16">
        <v>0</v>
      </c>
      <c r="O19" s="62">
        <f t="shared" si="1"/>
        <v>0</v>
      </c>
      <c r="P19" s="42">
        <f t="shared" si="2"/>
        <v>9</v>
      </c>
      <c r="Q19" s="43">
        <f t="shared" si="3"/>
        <v>15</v>
      </c>
      <c r="R19" s="7"/>
      <c r="S19" s="6">
        <v>15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0.375</v>
      </c>
      <c r="AD19" s="10">
        <f t="shared" si="6"/>
        <v>0.375</v>
      </c>
      <c r="AE19" s="39">
        <f t="shared" si="7"/>
        <v>0.36084049192454426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124</v>
      </c>
      <c r="D20" s="55"/>
      <c r="E20" s="56" t="s">
        <v>274</v>
      </c>
      <c r="F20" s="12" t="s">
        <v>125</v>
      </c>
      <c r="G20" s="12">
        <v>4</v>
      </c>
      <c r="H20" s="38">
        <v>20</v>
      </c>
      <c r="I20" s="7">
        <v>800000</v>
      </c>
      <c r="J20" s="14">
        <v>5640</v>
      </c>
      <c r="K20" s="15">
        <f>L20+29128+42972+45096+45728+43064</f>
        <v>211628</v>
      </c>
      <c r="L20" s="15">
        <f>1410*4</f>
        <v>5640</v>
      </c>
      <c r="M20" s="16">
        <f t="shared" si="0"/>
        <v>5640</v>
      </c>
      <c r="N20" s="16">
        <v>0</v>
      </c>
      <c r="O20" s="62">
        <f t="shared" si="1"/>
        <v>0</v>
      </c>
      <c r="P20" s="42">
        <f t="shared" si="2"/>
        <v>5</v>
      </c>
      <c r="Q20" s="43">
        <f t="shared" si="3"/>
        <v>19</v>
      </c>
      <c r="R20" s="7"/>
      <c r="S20" s="6"/>
      <c r="T20" s="17"/>
      <c r="U20" s="17"/>
      <c r="V20" s="18">
        <v>19</v>
      </c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0.20833333333333334</v>
      </c>
      <c r="AD20" s="10">
        <f t="shared" si="6"/>
        <v>0.20833333333333334</v>
      </c>
      <c r="AE20" s="39">
        <f t="shared" si="7"/>
        <v>0.36084049192454426</v>
      </c>
      <c r="AF20" s="94">
        <f t="shared" si="8"/>
        <v>15</v>
      </c>
    </row>
    <row r="21" spans="1:32" ht="31.5" customHeight="1" thickBot="1">
      <c r="A21" s="369" t="s">
        <v>34</v>
      </c>
      <c r="B21" s="370"/>
      <c r="C21" s="370"/>
      <c r="D21" s="370"/>
      <c r="E21" s="370"/>
      <c r="F21" s="370"/>
      <c r="G21" s="370"/>
      <c r="H21" s="371"/>
      <c r="I21" s="25">
        <f t="shared" ref="I21:N21" si="10">SUM(I6:I20)</f>
        <v>1386850</v>
      </c>
      <c r="J21" s="22">
        <f t="shared" si="10"/>
        <v>84769</v>
      </c>
      <c r="K21" s="23">
        <f t="shared" si="10"/>
        <v>421973</v>
      </c>
      <c r="L21" s="24">
        <f t="shared" si="10"/>
        <v>33124</v>
      </c>
      <c r="M21" s="23">
        <f t="shared" si="10"/>
        <v>33124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130</v>
      </c>
      <c r="Q21" s="46">
        <f t="shared" si="11"/>
        <v>230</v>
      </c>
      <c r="R21" s="26">
        <f t="shared" si="11"/>
        <v>0</v>
      </c>
      <c r="S21" s="27">
        <f t="shared" si="11"/>
        <v>15</v>
      </c>
      <c r="T21" s="27">
        <f t="shared" si="11"/>
        <v>4</v>
      </c>
      <c r="U21" s="27">
        <f t="shared" si="11"/>
        <v>0</v>
      </c>
      <c r="V21" s="28">
        <f t="shared" si="11"/>
        <v>19</v>
      </c>
      <c r="W21" s="29">
        <f t="shared" si="11"/>
        <v>144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48</v>
      </c>
      <c r="AB21" s="31">
        <f>SUM(AB6:AB20)/15</f>
        <v>0.46637905179737521</v>
      </c>
      <c r="AC21" s="4">
        <f>SUM(AC6:AC20)/15</f>
        <v>0.3611111111111111</v>
      </c>
      <c r="AD21" s="4">
        <f>SUM(AD6:AD20)/15</f>
        <v>0.36084049192454426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2" t="s">
        <v>45</v>
      </c>
      <c r="B48" s="372"/>
      <c r="C48" s="372"/>
      <c r="D48" s="372"/>
      <c r="E48" s="37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3" t="s">
        <v>492</v>
      </c>
      <c r="B49" s="374"/>
      <c r="C49" s="374"/>
      <c r="D49" s="374"/>
      <c r="E49" s="374"/>
      <c r="F49" s="374"/>
      <c r="G49" s="374"/>
      <c r="H49" s="374"/>
      <c r="I49" s="374"/>
      <c r="J49" s="374"/>
      <c r="K49" s="374"/>
      <c r="L49" s="374"/>
      <c r="M49" s="375"/>
      <c r="N49" s="376" t="s">
        <v>495</v>
      </c>
      <c r="O49" s="377"/>
      <c r="P49" s="377"/>
      <c r="Q49" s="377"/>
      <c r="R49" s="377"/>
      <c r="S49" s="377"/>
      <c r="T49" s="377"/>
      <c r="U49" s="377"/>
      <c r="V49" s="377"/>
      <c r="W49" s="377"/>
      <c r="X49" s="377"/>
      <c r="Y49" s="377"/>
      <c r="Z49" s="377"/>
      <c r="AA49" s="377"/>
      <c r="AB49" s="377"/>
      <c r="AC49" s="377"/>
      <c r="AD49" s="378"/>
    </row>
    <row r="50" spans="1:32" ht="27" customHeight="1">
      <c r="A50" s="379" t="s">
        <v>2</v>
      </c>
      <c r="B50" s="380"/>
      <c r="C50" s="220" t="s">
        <v>46</v>
      </c>
      <c r="D50" s="220" t="s">
        <v>47</v>
      </c>
      <c r="E50" s="220" t="s">
        <v>108</v>
      </c>
      <c r="F50" s="380" t="s">
        <v>107</v>
      </c>
      <c r="G50" s="380"/>
      <c r="H50" s="380"/>
      <c r="I50" s="380"/>
      <c r="J50" s="380"/>
      <c r="K50" s="380"/>
      <c r="L50" s="380"/>
      <c r="M50" s="381"/>
      <c r="N50" s="73" t="s">
        <v>112</v>
      </c>
      <c r="O50" s="220" t="s">
        <v>46</v>
      </c>
      <c r="P50" s="382" t="s">
        <v>47</v>
      </c>
      <c r="Q50" s="383"/>
      <c r="R50" s="382" t="s">
        <v>38</v>
      </c>
      <c r="S50" s="384"/>
      <c r="T50" s="384"/>
      <c r="U50" s="383"/>
      <c r="V50" s="382" t="s">
        <v>48</v>
      </c>
      <c r="W50" s="384"/>
      <c r="X50" s="384"/>
      <c r="Y50" s="384"/>
      <c r="Z50" s="384"/>
      <c r="AA50" s="384"/>
      <c r="AB50" s="384"/>
      <c r="AC50" s="384"/>
      <c r="AD50" s="385"/>
    </row>
    <row r="51" spans="1:32" ht="27" customHeight="1">
      <c r="A51" s="396" t="s">
        <v>457</v>
      </c>
      <c r="B51" s="397"/>
      <c r="C51" s="219" t="s">
        <v>278</v>
      </c>
      <c r="D51" s="216" t="s">
        <v>458</v>
      </c>
      <c r="E51" s="219" t="s">
        <v>481</v>
      </c>
      <c r="F51" s="398" t="s">
        <v>460</v>
      </c>
      <c r="G51" s="398"/>
      <c r="H51" s="398"/>
      <c r="I51" s="398"/>
      <c r="J51" s="398"/>
      <c r="K51" s="398"/>
      <c r="L51" s="398"/>
      <c r="M51" s="399"/>
      <c r="N51" s="215" t="s">
        <v>122</v>
      </c>
      <c r="O51" s="74" t="s">
        <v>496</v>
      </c>
      <c r="P51" s="400" t="s">
        <v>497</v>
      </c>
      <c r="Q51" s="401"/>
      <c r="R51" s="402" t="s">
        <v>498</v>
      </c>
      <c r="S51" s="402"/>
      <c r="T51" s="402"/>
      <c r="U51" s="402"/>
      <c r="V51" s="398" t="s">
        <v>499</v>
      </c>
      <c r="W51" s="398"/>
      <c r="X51" s="398"/>
      <c r="Y51" s="398"/>
      <c r="Z51" s="398"/>
      <c r="AA51" s="398"/>
      <c r="AB51" s="398"/>
      <c r="AC51" s="398"/>
      <c r="AD51" s="399"/>
    </row>
    <row r="52" spans="1:32" ht="27" customHeight="1">
      <c r="A52" s="396" t="s">
        <v>412</v>
      </c>
      <c r="B52" s="397"/>
      <c r="C52" s="219" t="s">
        <v>281</v>
      </c>
      <c r="D52" s="216" t="s">
        <v>413</v>
      </c>
      <c r="E52" s="219" t="s">
        <v>493</v>
      </c>
      <c r="F52" s="398" t="s">
        <v>460</v>
      </c>
      <c r="G52" s="398"/>
      <c r="H52" s="398"/>
      <c r="I52" s="398"/>
      <c r="J52" s="398"/>
      <c r="K52" s="398"/>
      <c r="L52" s="398"/>
      <c r="M52" s="399"/>
      <c r="N52" s="215" t="s">
        <v>483</v>
      </c>
      <c r="O52" s="74" t="s">
        <v>500</v>
      </c>
      <c r="P52" s="400" t="s">
        <v>501</v>
      </c>
      <c r="Q52" s="401"/>
      <c r="R52" s="402" t="s">
        <v>502</v>
      </c>
      <c r="S52" s="402"/>
      <c r="T52" s="402"/>
      <c r="U52" s="402"/>
      <c r="V52" s="398" t="s">
        <v>426</v>
      </c>
      <c r="W52" s="398"/>
      <c r="X52" s="398"/>
      <c r="Y52" s="398"/>
      <c r="Z52" s="398"/>
      <c r="AA52" s="398"/>
      <c r="AB52" s="398"/>
      <c r="AC52" s="398"/>
      <c r="AD52" s="399"/>
    </row>
    <row r="53" spans="1:32" ht="27" customHeight="1">
      <c r="A53" s="396" t="s">
        <v>146</v>
      </c>
      <c r="B53" s="397"/>
      <c r="C53" s="219" t="s">
        <v>131</v>
      </c>
      <c r="D53" s="216" t="s">
        <v>169</v>
      </c>
      <c r="E53" s="219" t="s">
        <v>168</v>
      </c>
      <c r="F53" s="398" t="s">
        <v>494</v>
      </c>
      <c r="G53" s="398"/>
      <c r="H53" s="398"/>
      <c r="I53" s="398"/>
      <c r="J53" s="398"/>
      <c r="K53" s="398"/>
      <c r="L53" s="398"/>
      <c r="M53" s="399"/>
      <c r="N53" s="215" t="s">
        <v>483</v>
      </c>
      <c r="O53" s="74" t="s">
        <v>503</v>
      </c>
      <c r="P53" s="402" t="s">
        <v>504</v>
      </c>
      <c r="Q53" s="402"/>
      <c r="R53" s="402" t="s">
        <v>505</v>
      </c>
      <c r="S53" s="402"/>
      <c r="T53" s="402"/>
      <c r="U53" s="402"/>
      <c r="V53" s="398" t="s">
        <v>426</v>
      </c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/>
      <c r="B54" s="397"/>
      <c r="C54" s="219"/>
      <c r="D54" s="216"/>
      <c r="E54" s="219"/>
      <c r="F54" s="398"/>
      <c r="G54" s="398"/>
      <c r="H54" s="398"/>
      <c r="I54" s="398"/>
      <c r="J54" s="398"/>
      <c r="K54" s="398"/>
      <c r="L54" s="398"/>
      <c r="M54" s="399"/>
      <c r="N54" s="215" t="s">
        <v>483</v>
      </c>
      <c r="O54" s="74" t="s">
        <v>506</v>
      </c>
      <c r="P54" s="402" t="s">
        <v>507</v>
      </c>
      <c r="Q54" s="402"/>
      <c r="R54" s="402" t="s">
        <v>508</v>
      </c>
      <c r="S54" s="402"/>
      <c r="T54" s="402"/>
      <c r="U54" s="402"/>
      <c r="V54" s="398" t="s">
        <v>509</v>
      </c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/>
      <c r="B55" s="397"/>
      <c r="C55" s="219"/>
      <c r="D55" s="216"/>
      <c r="E55" s="219"/>
      <c r="F55" s="398"/>
      <c r="G55" s="398"/>
      <c r="H55" s="398"/>
      <c r="I55" s="398"/>
      <c r="J55" s="398"/>
      <c r="K55" s="398"/>
      <c r="L55" s="398"/>
      <c r="M55" s="399"/>
      <c r="N55" s="215" t="s">
        <v>483</v>
      </c>
      <c r="O55" s="74" t="s">
        <v>126</v>
      </c>
      <c r="P55" s="402" t="s">
        <v>497</v>
      </c>
      <c r="Q55" s="402"/>
      <c r="R55" s="402" t="s">
        <v>510</v>
      </c>
      <c r="S55" s="402"/>
      <c r="T55" s="402"/>
      <c r="U55" s="402"/>
      <c r="V55" s="398" t="s">
        <v>426</v>
      </c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/>
      <c r="B56" s="397"/>
      <c r="C56" s="219"/>
      <c r="D56" s="216"/>
      <c r="E56" s="219"/>
      <c r="F56" s="398"/>
      <c r="G56" s="398"/>
      <c r="H56" s="398"/>
      <c r="I56" s="398"/>
      <c r="J56" s="398"/>
      <c r="K56" s="398"/>
      <c r="L56" s="398"/>
      <c r="M56" s="399"/>
      <c r="N56" s="215"/>
      <c r="O56" s="74"/>
      <c r="P56" s="402"/>
      <c r="Q56" s="402"/>
      <c r="R56" s="402"/>
      <c r="S56" s="402"/>
      <c r="T56" s="402"/>
      <c r="U56" s="402"/>
      <c r="V56" s="398"/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/>
      <c r="B57" s="397"/>
      <c r="C57" s="219"/>
      <c r="D57" s="216"/>
      <c r="E57" s="219"/>
      <c r="F57" s="398"/>
      <c r="G57" s="398"/>
      <c r="H57" s="398"/>
      <c r="I57" s="398"/>
      <c r="J57" s="398"/>
      <c r="K57" s="398"/>
      <c r="L57" s="398"/>
      <c r="M57" s="399"/>
      <c r="N57" s="215"/>
      <c r="O57" s="74"/>
      <c r="P57" s="400"/>
      <c r="Q57" s="401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/>
      <c r="B58" s="397"/>
      <c r="C58" s="219"/>
      <c r="D58" s="216"/>
      <c r="E58" s="219"/>
      <c r="F58" s="398"/>
      <c r="G58" s="398"/>
      <c r="H58" s="398"/>
      <c r="I58" s="398"/>
      <c r="J58" s="398"/>
      <c r="K58" s="398"/>
      <c r="L58" s="398"/>
      <c r="M58" s="399"/>
      <c r="N58" s="215"/>
      <c r="O58" s="74"/>
      <c r="P58" s="400"/>
      <c r="Q58" s="401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412"/>
      <c r="B59" s="402"/>
      <c r="C59" s="216"/>
      <c r="D59" s="216"/>
      <c r="E59" s="216"/>
      <c r="F59" s="398"/>
      <c r="G59" s="398"/>
      <c r="H59" s="398"/>
      <c r="I59" s="398"/>
      <c r="J59" s="398"/>
      <c r="K59" s="398"/>
      <c r="L59" s="398"/>
      <c r="M59" s="399"/>
      <c r="N59" s="215"/>
      <c r="O59" s="74"/>
      <c r="P59" s="402"/>
      <c r="Q59" s="402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  <c r="AF59" s="94">
        <f>8*3000</f>
        <v>24000</v>
      </c>
    </row>
    <row r="60" spans="1:32" ht="27" customHeight="1" thickBot="1">
      <c r="A60" s="403"/>
      <c r="B60" s="404"/>
      <c r="C60" s="218"/>
      <c r="D60" s="218"/>
      <c r="E60" s="218"/>
      <c r="F60" s="405"/>
      <c r="G60" s="405"/>
      <c r="H60" s="405"/>
      <c r="I60" s="405"/>
      <c r="J60" s="405"/>
      <c r="K60" s="405"/>
      <c r="L60" s="405"/>
      <c r="M60" s="406"/>
      <c r="N60" s="217"/>
      <c r="O60" s="121"/>
      <c r="P60" s="404"/>
      <c r="Q60" s="404"/>
      <c r="R60" s="404"/>
      <c r="S60" s="404"/>
      <c r="T60" s="404"/>
      <c r="U60" s="404"/>
      <c r="V60" s="405"/>
      <c r="W60" s="405"/>
      <c r="X60" s="405"/>
      <c r="Y60" s="405"/>
      <c r="Z60" s="405"/>
      <c r="AA60" s="405"/>
      <c r="AB60" s="405"/>
      <c r="AC60" s="405"/>
      <c r="AD60" s="406"/>
      <c r="AF60" s="94">
        <f>16*3000</f>
        <v>48000</v>
      </c>
    </row>
    <row r="61" spans="1:32" ht="27.75" thickBot="1">
      <c r="A61" s="407" t="s">
        <v>511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214" t="s">
        <v>2</v>
      </c>
      <c r="D62" s="214" t="s">
        <v>37</v>
      </c>
      <c r="E62" s="214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214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3"/>
      <c r="T62" s="413"/>
      <c r="U62" s="413"/>
      <c r="V62" s="413"/>
      <c r="W62" s="413"/>
      <c r="X62" s="413"/>
      <c r="Y62" s="413"/>
      <c r="Z62" s="413"/>
      <c r="AA62" s="411"/>
      <c r="AB62" s="409" t="s">
        <v>44</v>
      </c>
      <c r="AC62" s="409"/>
      <c r="AD62" s="414"/>
      <c r="AF62" s="94">
        <f>SUM(AF59:AF61)</f>
        <v>96000</v>
      </c>
    </row>
    <row r="63" spans="1:32" ht="25.5" customHeight="1">
      <c r="A63" s="415">
        <v>1</v>
      </c>
      <c r="B63" s="416"/>
      <c r="C63" s="124" t="s">
        <v>512</v>
      </c>
      <c r="D63" s="210"/>
      <c r="E63" s="213" t="s">
        <v>513</v>
      </c>
      <c r="F63" s="417" t="s">
        <v>514</v>
      </c>
      <c r="G63" s="418"/>
      <c r="H63" s="418"/>
      <c r="I63" s="418"/>
      <c r="J63" s="418"/>
      <c r="K63" s="418" t="s">
        <v>350</v>
      </c>
      <c r="L63" s="418"/>
      <c r="M63" s="54" t="s">
        <v>397</v>
      </c>
      <c r="N63" s="418">
        <v>5</v>
      </c>
      <c r="O63" s="418"/>
      <c r="P63" s="419">
        <v>1000</v>
      </c>
      <c r="Q63" s="419"/>
      <c r="R63" s="398" t="s">
        <v>515</v>
      </c>
      <c r="S63" s="398"/>
      <c r="T63" s="398"/>
      <c r="U63" s="398"/>
      <c r="V63" s="398"/>
      <c r="W63" s="398"/>
      <c r="X63" s="398"/>
      <c r="Y63" s="398"/>
      <c r="Z63" s="398"/>
      <c r="AA63" s="398"/>
      <c r="AB63" s="418"/>
      <c r="AC63" s="418"/>
      <c r="AD63" s="420"/>
      <c r="AF63" s="53"/>
    </row>
    <row r="64" spans="1:32" ht="25.5" customHeight="1">
      <c r="A64" s="415">
        <v>2</v>
      </c>
      <c r="B64" s="416"/>
      <c r="C64" s="124" t="s">
        <v>472</v>
      </c>
      <c r="D64" s="210"/>
      <c r="E64" s="213" t="s">
        <v>473</v>
      </c>
      <c r="F64" s="417" t="s">
        <v>474</v>
      </c>
      <c r="G64" s="418"/>
      <c r="H64" s="418"/>
      <c r="I64" s="418"/>
      <c r="J64" s="418"/>
      <c r="K64" s="418" t="s">
        <v>475</v>
      </c>
      <c r="L64" s="418"/>
      <c r="M64" s="54" t="s">
        <v>476</v>
      </c>
      <c r="N64" s="418">
        <v>6</v>
      </c>
      <c r="O64" s="418"/>
      <c r="P64" s="419">
        <v>1000</v>
      </c>
      <c r="Q64" s="419"/>
      <c r="R64" s="398" t="s">
        <v>516</v>
      </c>
      <c r="S64" s="398"/>
      <c r="T64" s="398"/>
      <c r="U64" s="398"/>
      <c r="V64" s="398"/>
      <c r="W64" s="398"/>
      <c r="X64" s="398"/>
      <c r="Y64" s="398"/>
      <c r="Z64" s="398"/>
      <c r="AA64" s="398"/>
      <c r="AB64" s="418"/>
      <c r="AC64" s="418"/>
      <c r="AD64" s="420"/>
      <c r="AF64" s="53"/>
    </row>
    <row r="65" spans="1:32" ht="25.5" customHeight="1">
      <c r="A65" s="415">
        <v>3</v>
      </c>
      <c r="B65" s="416"/>
      <c r="C65" s="124"/>
      <c r="D65" s="210"/>
      <c r="E65" s="213"/>
      <c r="F65" s="417"/>
      <c r="G65" s="418"/>
      <c r="H65" s="418"/>
      <c r="I65" s="418"/>
      <c r="J65" s="418"/>
      <c r="K65" s="418"/>
      <c r="L65" s="418"/>
      <c r="M65" s="54"/>
      <c r="N65" s="418"/>
      <c r="O65" s="418"/>
      <c r="P65" s="419"/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4</v>
      </c>
      <c r="B66" s="416"/>
      <c r="C66" s="124"/>
      <c r="D66" s="210"/>
      <c r="E66" s="213"/>
      <c r="F66" s="417"/>
      <c r="G66" s="418"/>
      <c r="H66" s="418"/>
      <c r="I66" s="418"/>
      <c r="J66" s="418"/>
      <c r="K66" s="418"/>
      <c r="L66" s="418"/>
      <c r="M66" s="54"/>
      <c r="N66" s="418"/>
      <c r="O66" s="418"/>
      <c r="P66" s="419"/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5</v>
      </c>
      <c r="B67" s="416"/>
      <c r="C67" s="124"/>
      <c r="D67" s="210"/>
      <c r="E67" s="213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6</v>
      </c>
      <c r="B68" s="416"/>
      <c r="C68" s="124"/>
      <c r="D68" s="210"/>
      <c r="E68" s="213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7</v>
      </c>
      <c r="B69" s="416"/>
      <c r="C69" s="124"/>
      <c r="D69" s="210"/>
      <c r="E69" s="213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8</v>
      </c>
      <c r="B70" s="416"/>
      <c r="C70" s="124"/>
      <c r="D70" s="210"/>
      <c r="E70" s="213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6.25" customHeight="1" thickBot="1">
      <c r="A71" s="421" t="s">
        <v>517</v>
      </c>
      <c r="B71" s="421"/>
      <c r="C71" s="421"/>
      <c r="D71" s="421"/>
      <c r="E71" s="42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2" t="s">
        <v>113</v>
      </c>
      <c r="B72" s="423"/>
      <c r="C72" s="212" t="s">
        <v>2</v>
      </c>
      <c r="D72" s="212" t="s">
        <v>37</v>
      </c>
      <c r="E72" s="212" t="s">
        <v>3</v>
      </c>
      <c r="F72" s="423" t="s">
        <v>38</v>
      </c>
      <c r="G72" s="423"/>
      <c r="H72" s="423"/>
      <c r="I72" s="423"/>
      <c r="J72" s="423"/>
      <c r="K72" s="424" t="s">
        <v>58</v>
      </c>
      <c r="L72" s="425"/>
      <c r="M72" s="425"/>
      <c r="N72" s="425"/>
      <c r="O72" s="425"/>
      <c r="P72" s="425"/>
      <c r="Q72" s="425"/>
      <c r="R72" s="425"/>
      <c r="S72" s="426"/>
      <c r="T72" s="423" t="s">
        <v>49</v>
      </c>
      <c r="U72" s="423"/>
      <c r="V72" s="424" t="s">
        <v>50</v>
      </c>
      <c r="W72" s="426"/>
      <c r="X72" s="425" t="s">
        <v>51</v>
      </c>
      <c r="Y72" s="425"/>
      <c r="Z72" s="425"/>
      <c r="AA72" s="425"/>
      <c r="AB72" s="425"/>
      <c r="AC72" s="425"/>
      <c r="AD72" s="427"/>
      <c r="AF72" s="53"/>
    </row>
    <row r="73" spans="1:32" ht="33.75" customHeight="1">
      <c r="A73" s="436">
        <v>1</v>
      </c>
      <c r="B73" s="437"/>
      <c r="C73" s="211" t="s">
        <v>114</v>
      </c>
      <c r="D73" s="211"/>
      <c r="E73" s="71" t="s">
        <v>119</v>
      </c>
      <c r="F73" s="438" t="s">
        <v>120</v>
      </c>
      <c r="G73" s="439"/>
      <c r="H73" s="439"/>
      <c r="I73" s="439"/>
      <c r="J73" s="440"/>
      <c r="K73" s="441" t="s">
        <v>115</v>
      </c>
      <c r="L73" s="442"/>
      <c r="M73" s="442"/>
      <c r="N73" s="442"/>
      <c r="O73" s="442"/>
      <c r="P73" s="442"/>
      <c r="Q73" s="442"/>
      <c r="R73" s="442"/>
      <c r="S73" s="443"/>
      <c r="T73" s="444">
        <v>42901</v>
      </c>
      <c r="U73" s="445"/>
      <c r="V73" s="446"/>
      <c r="W73" s="446"/>
      <c r="X73" s="447"/>
      <c r="Y73" s="447"/>
      <c r="Z73" s="447"/>
      <c r="AA73" s="447"/>
      <c r="AB73" s="447"/>
      <c r="AC73" s="447"/>
      <c r="AD73" s="448"/>
      <c r="AF73" s="53"/>
    </row>
    <row r="74" spans="1:32" ht="30" customHeight="1">
      <c r="A74" s="428">
        <f>A73+1</f>
        <v>2</v>
      </c>
      <c r="B74" s="429"/>
      <c r="C74" s="210" t="s">
        <v>114</v>
      </c>
      <c r="D74" s="210"/>
      <c r="E74" s="35" t="s">
        <v>116</v>
      </c>
      <c r="F74" s="429" t="s">
        <v>117</v>
      </c>
      <c r="G74" s="429"/>
      <c r="H74" s="429"/>
      <c r="I74" s="429"/>
      <c r="J74" s="429"/>
      <c r="K74" s="430" t="s">
        <v>118</v>
      </c>
      <c r="L74" s="431"/>
      <c r="M74" s="431"/>
      <c r="N74" s="431"/>
      <c r="O74" s="431"/>
      <c r="P74" s="431"/>
      <c r="Q74" s="431"/>
      <c r="R74" s="431"/>
      <c r="S74" s="432"/>
      <c r="T74" s="433">
        <v>42867</v>
      </c>
      <c r="U74" s="433"/>
      <c r="V74" s="433"/>
      <c r="W74" s="433"/>
      <c r="X74" s="434"/>
      <c r="Y74" s="434"/>
      <c r="Z74" s="434"/>
      <c r="AA74" s="434"/>
      <c r="AB74" s="434"/>
      <c r="AC74" s="434"/>
      <c r="AD74" s="435"/>
      <c r="AF74" s="53"/>
    </row>
    <row r="75" spans="1:32" ht="30" customHeight="1">
      <c r="A75" s="428">
        <f t="shared" ref="A75:A81" si="12">A74+1</f>
        <v>3</v>
      </c>
      <c r="B75" s="429"/>
      <c r="C75" s="210"/>
      <c r="D75" s="210"/>
      <c r="E75" s="35"/>
      <c r="F75" s="429"/>
      <c r="G75" s="429"/>
      <c r="H75" s="429"/>
      <c r="I75" s="429"/>
      <c r="J75" s="429"/>
      <c r="K75" s="430"/>
      <c r="L75" s="431"/>
      <c r="M75" s="431"/>
      <c r="N75" s="431"/>
      <c r="O75" s="431"/>
      <c r="P75" s="431"/>
      <c r="Q75" s="431"/>
      <c r="R75" s="431"/>
      <c r="S75" s="432"/>
      <c r="T75" s="433"/>
      <c r="U75" s="433"/>
      <c r="V75" s="433"/>
      <c r="W75" s="433"/>
      <c r="X75" s="434"/>
      <c r="Y75" s="434"/>
      <c r="Z75" s="434"/>
      <c r="AA75" s="434"/>
      <c r="AB75" s="434"/>
      <c r="AC75" s="434"/>
      <c r="AD75" s="435"/>
      <c r="AF75" s="53"/>
    </row>
    <row r="76" spans="1:32" ht="30" customHeight="1">
      <c r="A76" s="428">
        <f t="shared" si="12"/>
        <v>4</v>
      </c>
      <c r="B76" s="429"/>
      <c r="C76" s="210"/>
      <c r="D76" s="210"/>
      <c r="E76" s="35"/>
      <c r="F76" s="429"/>
      <c r="G76" s="429"/>
      <c r="H76" s="429"/>
      <c r="I76" s="429"/>
      <c r="J76" s="429"/>
      <c r="K76" s="430"/>
      <c r="L76" s="431"/>
      <c r="M76" s="431"/>
      <c r="N76" s="431"/>
      <c r="O76" s="431"/>
      <c r="P76" s="431"/>
      <c r="Q76" s="431"/>
      <c r="R76" s="431"/>
      <c r="S76" s="432"/>
      <c r="T76" s="433"/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si="12"/>
        <v>5</v>
      </c>
      <c r="B77" s="429"/>
      <c r="C77" s="210"/>
      <c r="D77" s="210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12"/>
        <v>6</v>
      </c>
      <c r="B78" s="429"/>
      <c r="C78" s="210"/>
      <c r="D78" s="210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12"/>
        <v>7</v>
      </c>
      <c r="B79" s="429"/>
      <c r="C79" s="210"/>
      <c r="D79" s="210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12"/>
        <v>8</v>
      </c>
      <c r="B80" s="429"/>
      <c r="C80" s="210"/>
      <c r="D80" s="210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12"/>
        <v>9</v>
      </c>
      <c r="B81" s="429"/>
      <c r="C81" s="210"/>
      <c r="D81" s="210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6" thickBot="1">
      <c r="A82" s="421" t="s">
        <v>518</v>
      </c>
      <c r="B82" s="421"/>
      <c r="C82" s="421"/>
      <c r="D82" s="421"/>
      <c r="E82" s="42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2" t="s">
        <v>113</v>
      </c>
      <c r="B83" s="423"/>
      <c r="C83" s="449" t="s">
        <v>52</v>
      </c>
      <c r="D83" s="449"/>
      <c r="E83" s="449" t="s">
        <v>53</v>
      </c>
      <c r="F83" s="449"/>
      <c r="G83" s="449"/>
      <c r="H83" s="449"/>
      <c r="I83" s="449"/>
      <c r="J83" s="449"/>
      <c r="K83" s="449" t="s">
        <v>54</v>
      </c>
      <c r="L83" s="449"/>
      <c r="M83" s="449"/>
      <c r="N83" s="449"/>
      <c r="O83" s="449"/>
      <c r="P83" s="449"/>
      <c r="Q83" s="449"/>
      <c r="R83" s="449"/>
      <c r="S83" s="449"/>
      <c r="T83" s="449" t="s">
        <v>55</v>
      </c>
      <c r="U83" s="449"/>
      <c r="V83" s="449" t="s">
        <v>56</v>
      </c>
      <c r="W83" s="449"/>
      <c r="X83" s="449"/>
      <c r="Y83" s="449" t="s">
        <v>51</v>
      </c>
      <c r="Z83" s="449"/>
      <c r="AA83" s="449"/>
      <c r="AB83" s="449"/>
      <c r="AC83" s="449"/>
      <c r="AD83" s="450"/>
      <c r="AF83" s="53"/>
    </row>
    <row r="84" spans="1:32" ht="30.75" customHeight="1">
      <c r="A84" s="436">
        <v>1</v>
      </c>
      <c r="B84" s="437"/>
      <c r="C84" s="451"/>
      <c r="D84" s="451"/>
      <c r="E84" s="451"/>
      <c r="F84" s="451"/>
      <c r="G84" s="451"/>
      <c r="H84" s="451"/>
      <c r="I84" s="451"/>
      <c r="J84" s="451"/>
      <c r="K84" s="451"/>
      <c r="L84" s="451"/>
      <c r="M84" s="451"/>
      <c r="N84" s="451"/>
      <c r="O84" s="451"/>
      <c r="P84" s="451"/>
      <c r="Q84" s="451"/>
      <c r="R84" s="451"/>
      <c r="S84" s="451"/>
      <c r="T84" s="451"/>
      <c r="U84" s="451"/>
      <c r="V84" s="452"/>
      <c r="W84" s="452"/>
      <c r="X84" s="452"/>
      <c r="Y84" s="453"/>
      <c r="Z84" s="453"/>
      <c r="AA84" s="453"/>
      <c r="AB84" s="453"/>
      <c r="AC84" s="453"/>
      <c r="AD84" s="454"/>
      <c r="AF84" s="53"/>
    </row>
    <row r="85" spans="1:32" ht="30.75" customHeight="1">
      <c r="A85" s="428">
        <v>2</v>
      </c>
      <c r="B85" s="429"/>
      <c r="C85" s="462"/>
      <c r="D85" s="462"/>
      <c r="E85" s="462"/>
      <c r="F85" s="462"/>
      <c r="G85" s="462"/>
      <c r="H85" s="462"/>
      <c r="I85" s="462"/>
      <c r="J85" s="462"/>
      <c r="K85" s="462"/>
      <c r="L85" s="462"/>
      <c r="M85" s="462"/>
      <c r="N85" s="462"/>
      <c r="O85" s="462"/>
      <c r="P85" s="462"/>
      <c r="Q85" s="462"/>
      <c r="R85" s="462"/>
      <c r="S85" s="462"/>
      <c r="T85" s="463"/>
      <c r="U85" s="463"/>
      <c r="V85" s="464"/>
      <c r="W85" s="464"/>
      <c r="X85" s="464"/>
      <c r="Y85" s="455"/>
      <c r="Z85" s="455"/>
      <c r="AA85" s="455"/>
      <c r="AB85" s="455"/>
      <c r="AC85" s="455"/>
      <c r="AD85" s="456"/>
      <c r="AF85" s="53"/>
    </row>
    <row r="86" spans="1:32" ht="30.75" customHeight="1" thickBot="1">
      <c r="A86" s="457">
        <v>3</v>
      </c>
      <c r="B86" s="458"/>
      <c r="C86" s="459"/>
      <c r="D86" s="459"/>
      <c r="E86" s="459"/>
      <c r="F86" s="459"/>
      <c r="G86" s="459"/>
      <c r="H86" s="459"/>
      <c r="I86" s="459"/>
      <c r="J86" s="459"/>
      <c r="K86" s="459"/>
      <c r="L86" s="459"/>
      <c r="M86" s="459"/>
      <c r="N86" s="459"/>
      <c r="O86" s="459"/>
      <c r="P86" s="459"/>
      <c r="Q86" s="459"/>
      <c r="R86" s="459"/>
      <c r="S86" s="459"/>
      <c r="T86" s="459"/>
      <c r="U86" s="459"/>
      <c r="V86" s="459"/>
      <c r="W86" s="459"/>
      <c r="X86" s="459"/>
      <c r="Y86" s="460"/>
      <c r="Z86" s="460"/>
      <c r="AA86" s="460"/>
      <c r="AB86" s="460"/>
      <c r="AC86" s="460"/>
      <c r="AD86" s="46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F58" sqref="F58:M5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55" t="s">
        <v>519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6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222" t="s">
        <v>17</v>
      </c>
      <c r="L5" s="222" t="s">
        <v>18</v>
      </c>
      <c r="M5" s="222" t="s">
        <v>19</v>
      </c>
      <c r="N5" s="22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6" ht="27" customHeight="1">
      <c r="A6" s="108">
        <v>1</v>
      </c>
      <c r="B6" s="11" t="s">
        <v>57</v>
      </c>
      <c r="C6" s="37" t="s">
        <v>122</v>
      </c>
      <c r="D6" s="55" t="s">
        <v>127</v>
      </c>
      <c r="E6" s="57" t="s">
        <v>367</v>
      </c>
      <c r="F6" s="33" t="s">
        <v>368</v>
      </c>
      <c r="G6" s="36">
        <v>1</v>
      </c>
      <c r="H6" s="38">
        <v>25</v>
      </c>
      <c r="I6" s="7">
        <v>11000</v>
      </c>
      <c r="J6" s="5">
        <v>4250</v>
      </c>
      <c r="K6" s="15">
        <f>L6+4098+4720+5063</f>
        <v>18124</v>
      </c>
      <c r="L6" s="15">
        <f>2303+1940</f>
        <v>4243</v>
      </c>
      <c r="M6" s="16">
        <f t="shared" ref="M6:M20" si="0">L6-N6</f>
        <v>4243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0.99835294117647055</v>
      </c>
      <c r="AC6" s="9">
        <f t="shared" ref="AC6:AC20" si="5">IF(P6=0,"0",(P6/24))</f>
        <v>1</v>
      </c>
      <c r="AD6" s="10">
        <f t="shared" ref="AD6:AD20" si="6">AC6*AB6*(1-O6)</f>
        <v>0.99835294117647055</v>
      </c>
      <c r="AE6" s="39">
        <f t="shared" ref="AE6:AE20" si="7">$AD$21</f>
        <v>0.41605407422134311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123</v>
      </c>
      <c r="D7" s="55" t="s">
        <v>156</v>
      </c>
      <c r="E7" s="57" t="s">
        <v>311</v>
      </c>
      <c r="F7" s="33" t="s">
        <v>312</v>
      </c>
      <c r="G7" s="12">
        <v>3</v>
      </c>
      <c r="H7" s="13">
        <v>25</v>
      </c>
      <c r="I7" s="34">
        <v>100000</v>
      </c>
      <c r="J7" s="5">
        <v>15560</v>
      </c>
      <c r="K7" s="15">
        <f>L7+11583+14484+15558</f>
        <v>41625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0.41605407422134311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520</v>
      </c>
      <c r="D8" s="55" t="s">
        <v>521</v>
      </c>
      <c r="E8" s="57" t="s">
        <v>522</v>
      </c>
      <c r="F8" s="33" t="s">
        <v>523</v>
      </c>
      <c r="G8" s="12">
        <v>12</v>
      </c>
      <c r="H8" s="13">
        <v>25</v>
      </c>
      <c r="I8" s="34">
        <v>60000</v>
      </c>
      <c r="J8" s="5">
        <v>52430</v>
      </c>
      <c r="K8" s="15">
        <f>L8</f>
        <v>52428</v>
      </c>
      <c r="L8" s="15">
        <f>1131*12+3238*12</f>
        <v>52428</v>
      </c>
      <c r="M8" s="16">
        <f t="shared" si="0"/>
        <v>52428</v>
      </c>
      <c r="N8" s="16">
        <v>0</v>
      </c>
      <c r="O8" s="62">
        <f t="shared" si="1"/>
        <v>0</v>
      </c>
      <c r="P8" s="42">
        <f t="shared" si="2"/>
        <v>21</v>
      </c>
      <c r="Q8" s="43">
        <f t="shared" si="3"/>
        <v>3</v>
      </c>
      <c r="R8" s="7"/>
      <c r="S8" s="6"/>
      <c r="T8" s="17">
        <v>3</v>
      </c>
      <c r="U8" s="17"/>
      <c r="V8" s="18"/>
      <c r="W8" s="19"/>
      <c r="X8" s="17"/>
      <c r="Y8" s="20"/>
      <c r="Z8" s="20"/>
      <c r="AA8" s="21"/>
      <c r="AB8" s="8">
        <f t="shared" si="4"/>
        <v>0.99996185390043868</v>
      </c>
      <c r="AC8" s="9">
        <f t="shared" si="5"/>
        <v>0.875</v>
      </c>
      <c r="AD8" s="10">
        <f t="shared" si="6"/>
        <v>0.87496662216288379</v>
      </c>
      <c r="AE8" s="39">
        <f t="shared" si="7"/>
        <v>0.41605407422134311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122</v>
      </c>
      <c r="D9" s="55" t="s">
        <v>264</v>
      </c>
      <c r="E9" s="57" t="s">
        <v>481</v>
      </c>
      <c r="F9" s="33" t="s">
        <v>482</v>
      </c>
      <c r="G9" s="36">
        <v>1</v>
      </c>
      <c r="H9" s="38">
        <v>25</v>
      </c>
      <c r="I9" s="7">
        <v>30000</v>
      </c>
      <c r="J9" s="5">
        <v>5190</v>
      </c>
      <c r="K9" s="15">
        <f>L9+5438</f>
        <v>10621</v>
      </c>
      <c r="L9" s="15">
        <f>2705+2478</f>
        <v>5183</v>
      </c>
      <c r="M9" s="16">
        <f t="shared" si="0"/>
        <v>5183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0.99865125240847785</v>
      </c>
      <c r="AC9" s="9">
        <f t="shared" si="5"/>
        <v>1</v>
      </c>
      <c r="AD9" s="10">
        <f t="shared" si="6"/>
        <v>0.99865125240847785</v>
      </c>
      <c r="AE9" s="39">
        <f t="shared" si="7"/>
        <v>0.41605407422134311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146</v>
      </c>
      <c r="D10" s="55" t="s">
        <v>488</v>
      </c>
      <c r="E10" s="57" t="s">
        <v>349</v>
      </c>
      <c r="F10" s="12" t="s">
        <v>487</v>
      </c>
      <c r="G10" s="12">
        <v>2</v>
      </c>
      <c r="H10" s="13">
        <v>20</v>
      </c>
      <c r="I10" s="34">
        <v>200000</v>
      </c>
      <c r="J10" s="14">
        <v>3680</v>
      </c>
      <c r="K10" s="15">
        <f>L10</f>
        <v>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/>
      <c r="X10" s="17"/>
      <c r="Y10" s="20"/>
      <c r="Z10" s="20"/>
      <c r="AA10" s="21">
        <v>24</v>
      </c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0.41605407422134311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483</v>
      </c>
      <c r="D11" s="55" t="s">
        <v>484</v>
      </c>
      <c r="E11" s="57" t="s">
        <v>485</v>
      </c>
      <c r="F11" s="12" t="s">
        <v>486</v>
      </c>
      <c r="G11" s="12">
        <v>1</v>
      </c>
      <c r="H11" s="13">
        <v>25</v>
      </c>
      <c r="I11" s="34">
        <v>9000</v>
      </c>
      <c r="J11" s="14">
        <v>1140</v>
      </c>
      <c r="K11" s="15">
        <f>L11+1140</f>
        <v>1140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/>
      <c r="X11" s="17"/>
      <c r="Y11" s="20"/>
      <c r="Z11" s="20"/>
      <c r="AA11" s="21">
        <v>24</v>
      </c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0.41605407422134311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122</v>
      </c>
      <c r="D12" s="55" t="s">
        <v>133</v>
      </c>
      <c r="E12" s="57" t="s">
        <v>490</v>
      </c>
      <c r="F12" s="12" t="s">
        <v>491</v>
      </c>
      <c r="G12" s="12">
        <v>1</v>
      </c>
      <c r="H12" s="13">
        <v>25</v>
      </c>
      <c r="I12" s="7">
        <v>30000</v>
      </c>
      <c r="J12" s="14">
        <v>3030</v>
      </c>
      <c r="K12" s="15">
        <f>L12+3124</f>
        <v>6145</v>
      </c>
      <c r="L12" s="15">
        <f>1361+1660</f>
        <v>3021</v>
      </c>
      <c r="M12" s="16">
        <f t="shared" si="0"/>
        <v>3021</v>
      </c>
      <c r="N12" s="16">
        <v>0</v>
      </c>
      <c r="O12" s="62">
        <f t="shared" si="1"/>
        <v>0</v>
      </c>
      <c r="P12" s="42">
        <f t="shared" si="2"/>
        <v>17</v>
      </c>
      <c r="Q12" s="43">
        <f t="shared" si="3"/>
        <v>7</v>
      </c>
      <c r="R12" s="7"/>
      <c r="S12" s="6">
        <v>7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0.99702970297029703</v>
      </c>
      <c r="AC12" s="9">
        <f t="shared" si="5"/>
        <v>0.70833333333333337</v>
      </c>
      <c r="AD12" s="10">
        <f t="shared" si="6"/>
        <v>0.70622937293729371</v>
      </c>
      <c r="AE12" s="39">
        <f t="shared" si="7"/>
        <v>0.41605407422134311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122</v>
      </c>
      <c r="D13" s="55" t="s">
        <v>144</v>
      </c>
      <c r="E13" s="57" t="s">
        <v>524</v>
      </c>
      <c r="F13" s="12" t="s">
        <v>525</v>
      </c>
      <c r="G13" s="12">
        <v>1</v>
      </c>
      <c r="H13" s="13">
        <v>25</v>
      </c>
      <c r="I13" s="7">
        <v>15000</v>
      </c>
      <c r="J13" s="14">
        <v>3150</v>
      </c>
      <c r="K13" s="15">
        <f>L13</f>
        <v>3142</v>
      </c>
      <c r="L13" s="15">
        <f>1041+2101</f>
        <v>3142</v>
      </c>
      <c r="M13" s="16">
        <f t="shared" si="0"/>
        <v>3142</v>
      </c>
      <c r="N13" s="16">
        <v>0</v>
      </c>
      <c r="O13" s="62">
        <f t="shared" si="1"/>
        <v>0</v>
      </c>
      <c r="P13" s="42">
        <f t="shared" si="2"/>
        <v>20</v>
      </c>
      <c r="Q13" s="43">
        <f t="shared" si="3"/>
        <v>4</v>
      </c>
      <c r="R13" s="7"/>
      <c r="S13" s="6">
        <v>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0.99746031746031749</v>
      </c>
      <c r="AC13" s="9">
        <f t="shared" si="5"/>
        <v>0.83333333333333337</v>
      </c>
      <c r="AD13" s="10">
        <f t="shared" si="6"/>
        <v>0.8312169312169313</v>
      </c>
      <c r="AE13" s="39">
        <f t="shared" si="7"/>
        <v>0.41605407422134311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128</v>
      </c>
      <c r="E14" s="57" t="s">
        <v>174</v>
      </c>
      <c r="F14" s="33" t="s">
        <v>181</v>
      </c>
      <c r="G14" s="36">
        <v>1</v>
      </c>
      <c r="H14" s="38">
        <v>25</v>
      </c>
      <c r="I14" s="7">
        <v>200</v>
      </c>
      <c r="J14" s="5">
        <v>206</v>
      </c>
      <c r="K14" s="15">
        <f>L14+190+206</f>
        <v>396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0.41605407422134311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123</v>
      </c>
      <c r="D15" s="55" t="s">
        <v>269</v>
      </c>
      <c r="E15" s="57" t="s">
        <v>270</v>
      </c>
      <c r="F15" s="12" t="s">
        <v>151</v>
      </c>
      <c r="G15" s="12">
        <v>4</v>
      </c>
      <c r="H15" s="13">
        <v>24</v>
      </c>
      <c r="I15" s="34">
        <v>30000</v>
      </c>
      <c r="J15" s="14">
        <v>23320</v>
      </c>
      <c r="K15" s="15">
        <f>L15+21536+23312</f>
        <v>44848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0.41605407422134311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526</v>
      </c>
      <c r="D16" s="55" t="s">
        <v>527</v>
      </c>
      <c r="E16" s="56" t="s">
        <v>528</v>
      </c>
      <c r="F16" s="12" t="s">
        <v>529</v>
      </c>
      <c r="G16" s="36">
        <v>2</v>
      </c>
      <c r="H16" s="38">
        <v>25</v>
      </c>
      <c r="I16" s="7">
        <v>80000</v>
      </c>
      <c r="J16" s="14">
        <v>5770</v>
      </c>
      <c r="K16" s="15">
        <f>L16</f>
        <v>5764</v>
      </c>
      <c r="L16" s="15">
        <f>2882*2</f>
        <v>5764</v>
      </c>
      <c r="M16" s="16">
        <f t="shared" si="0"/>
        <v>5764</v>
      </c>
      <c r="N16" s="16">
        <v>0</v>
      </c>
      <c r="O16" s="62">
        <f t="shared" si="1"/>
        <v>0</v>
      </c>
      <c r="P16" s="42">
        <f t="shared" si="2"/>
        <v>18</v>
      </c>
      <c r="Q16" s="43">
        <f t="shared" si="3"/>
        <v>6</v>
      </c>
      <c r="R16" s="7"/>
      <c r="S16" s="6">
        <v>6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0.99896013864818023</v>
      </c>
      <c r="AC16" s="9">
        <f t="shared" si="5"/>
        <v>0.75</v>
      </c>
      <c r="AD16" s="10">
        <f t="shared" si="6"/>
        <v>0.74922010398613514</v>
      </c>
      <c r="AE16" s="39">
        <f t="shared" si="7"/>
        <v>0.41605407422134311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403</v>
      </c>
      <c r="D17" s="55" t="s">
        <v>404</v>
      </c>
      <c r="E17" s="57" t="s">
        <v>405</v>
      </c>
      <c r="F17" s="12">
        <v>8301</v>
      </c>
      <c r="G17" s="12">
        <v>1</v>
      </c>
      <c r="H17" s="13">
        <v>25</v>
      </c>
      <c r="I17" s="34">
        <v>650</v>
      </c>
      <c r="J17" s="5">
        <v>1140</v>
      </c>
      <c r="K17" s="15">
        <f>L17+1140</f>
        <v>1140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0.41605407422134311</v>
      </c>
      <c r="AF17" s="94">
        <f t="shared" ref="AF17:AF18" si="9">A17</f>
        <v>12</v>
      </c>
    </row>
    <row r="18" spans="1:32" ht="27" customHeight="1">
      <c r="A18" s="110">
        <v>13</v>
      </c>
      <c r="B18" s="11" t="s">
        <v>57</v>
      </c>
      <c r="C18" s="37" t="s">
        <v>530</v>
      </c>
      <c r="D18" s="55" t="s">
        <v>453</v>
      </c>
      <c r="E18" s="57" t="s">
        <v>531</v>
      </c>
      <c r="F18" s="33" t="s">
        <v>532</v>
      </c>
      <c r="G18" s="36">
        <v>1</v>
      </c>
      <c r="H18" s="38">
        <v>25</v>
      </c>
      <c r="I18" s="7">
        <v>80000</v>
      </c>
      <c r="J18" s="5">
        <v>3960</v>
      </c>
      <c r="K18" s="15">
        <f>L18</f>
        <v>3954</v>
      </c>
      <c r="L18" s="15">
        <f>1977*2</f>
        <v>3954</v>
      </c>
      <c r="M18" s="16">
        <f t="shared" si="0"/>
        <v>3954</v>
      </c>
      <c r="N18" s="16">
        <v>0</v>
      </c>
      <c r="O18" s="62">
        <f t="shared" si="1"/>
        <v>0</v>
      </c>
      <c r="P18" s="42">
        <f t="shared" si="2"/>
        <v>16</v>
      </c>
      <c r="Q18" s="43">
        <f t="shared" si="3"/>
        <v>8</v>
      </c>
      <c r="R18" s="7"/>
      <c r="S18" s="6">
        <v>8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0.99848484848484853</v>
      </c>
      <c r="AC18" s="9">
        <f t="shared" si="5"/>
        <v>0.66666666666666663</v>
      </c>
      <c r="AD18" s="10">
        <f t="shared" si="6"/>
        <v>0.66565656565656561</v>
      </c>
      <c r="AE18" s="39">
        <f t="shared" si="7"/>
        <v>0.41605407422134311</v>
      </c>
      <c r="AF18" s="94">
        <f t="shared" si="9"/>
        <v>13</v>
      </c>
    </row>
    <row r="19" spans="1:32" ht="27" customHeight="1">
      <c r="A19" s="110">
        <v>14</v>
      </c>
      <c r="B19" s="11" t="s">
        <v>57</v>
      </c>
      <c r="C19" s="11" t="s">
        <v>146</v>
      </c>
      <c r="D19" s="55" t="s">
        <v>169</v>
      </c>
      <c r="E19" s="57" t="s">
        <v>168</v>
      </c>
      <c r="F19" s="12" t="s">
        <v>138</v>
      </c>
      <c r="G19" s="12" t="s">
        <v>170</v>
      </c>
      <c r="H19" s="13">
        <v>25</v>
      </c>
      <c r="I19" s="7">
        <v>130000</v>
      </c>
      <c r="J19" s="14">
        <v>2790</v>
      </c>
      <c r="K19" s="15">
        <f>L19+3258+4398+5144+3460+6323+4564+5384+7161+2960</f>
        <v>45441</v>
      </c>
      <c r="L19" s="15">
        <f>2789</f>
        <v>2789</v>
      </c>
      <c r="M19" s="16">
        <f t="shared" si="0"/>
        <v>2789</v>
      </c>
      <c r="N19" s="16">
        <v>0</v>
      </c>
      <c r="O19" s="62">
        <f t="shared" si="1"/>
        <v>0</v>
      </c>
      <c r="P19" s="42">
        <f t="shared" si="2"/>
        <v>10</v>
      </c>
      <c r="Q19" s="43">
        <f t="shared" si="3"/>
        <v>14</v>
      </c>
      <c r="R19" s="7"/>
      <c r="S19" s="6">
        <v>14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0.99964157706093193</v>
      </c>
      <c r="AC19" s="9">
        <f t="shared" si="5"/>
        <v>0.41666666666666669</v>
      </c>
      <c r="AD19" s="10">
        <f t="shared" si="6"/>
        <v>0.4165173237753883</v>
      </c>
      <c r="AE19" s="39">
        <f t="shared" si="7"/>
        <v>0.41605407422134311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124</v>
      </c>
      <c r="D20" s="55"/>
      <c r="E20" s="56" t="s">
        <v>274</v>
      </c>
      <c r="F20" s="12" t="s">
        <v>125</v>
      </c>
      <c r="G20" s="12">
        <v>4</v>
      </c>
      <c r="H20" s="38">
        <v>20</v>
      </c>
      <c r="I20" s="7">
        <v>800000</v>
      </c>
      <c r="J20" s="14">
        <v>5640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0.41605407422134311</v>
      </c>
      <c r="AF20" s="94">
        <f t="shared" si="8"/>
        <v>15</v>
      </c>
    </row>
    <row r="21" spans="1:32" ht="31.5" customHeight="1" thickBot="1">
      <c r="A21" s="369" t="s">
        <v>34</v>
      </c>
      <c r="B21" s="370"/>
      <c r="C21" s="370"/>
      <c r="D21" s="370"/>
      <c r="E21" s="370"/>
      <c r="F21" s="370"/>
      <c r="G21" s="370"/>
      <c r="H21" s="371"/>
      <c r="I21" s="25">
        <f t="shared" ref="I21:N21" si="10">SUM(I6:I20)</f>
        <v>1575850</v>
      </c>
      <c r="J21" s="22">
        <f t="shared" si="10"/>
        <v>131256</v>
      </c>
      <c r="K21" s="23">
        <f t="shared" si="10"/>
        <v>446396</v>
      </c>
      <c r="L21" s="24">
        <f t="shared" si="10"/>
        <v>80524</v>
      </c>
      <c r="M21" s="23">
        <f t="shared" si="10"/>
        <v>80524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150</v>
      </c>
      <c r="Q21" s="46">
        <f t="shared" si="11"/>
        <v>210</v>
      </c>
      <c r="R21" s="26">
        <f t="shared" si="11"/>
        <v>0</v>
      </c>
      <c r="S21" s="27">
        <f t="shared" si="11"/>
        <v>39</v>
      </c>
      <c r="T21" s="27">
        <f t="shared" si="11"/>
        <v>3</v>
      </c>
      <c r="U21" s="27">
        <f t="shared" si="11"/>
        <v>0</v>
      </c>
      <c r="V21" s="28">
        <f t="shared" si="11"/>
        <v>0</v>
      </c>
      <c r="W21" s="29">
        <f t="shared" si="11"/>
        <v>120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48</v>
      </c>
      <c r="AB21" s="31">
        <f>SUM(AB6:AB20)/15</f>
        <v>0.53256950880733078</v>
      </c>
      <c r="AC21" s="4">
        <f>SUM(AC6:AC20)/15</f>
        <v>0.41666666666666674</v>
      </c>
      <c r="AD21" s="4">
        <f>SUM(AD6:AD20)/15</f>
        <v>0.41605407422134311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2" t="s">
        <v>45</v>
      </c>
      <c r="B48" s="372"/>
      <c r="C48" s="372"/>
      <c r="D48" s="372"/>
      <c r="E48" s="37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3" t="s">
        <v>533</v>
      </c>
      <c r="B49" s="374"/>
      <c r="C49" s="374"/>
      <c r="D49" s="374"/>
      <c r="E49" s="374"/>
      <c r="F49" s="374"/>
      <c r="G49" s="374"/>
      <c r="H49" s="374"/>
      <c r="I49" s="374"/>
      <c r="J49" s="374"/>
      <c r="K49" s="374"/>
      <c r="L49" s="374"/>
      <c r="M49" s="375"/>
      <c r="N49" s="376" t="s">
        <v>546</v>
      </c>
      <c r="O49" s="377"/>
      <c r="P49" s="377"/>
      <c r="Q49" s="377"/>
      <c r="R49" s="377"/>
      <c r="S49" s="377"/>
      <c r="T49" s="377"/>
      <c r="U49" s="377"/>
      <c r="V49" s="377"/>
      <c r="W49" s="377"/>
      <c r="X49" s="377"/>
      <c r="Y49" s="377"/>
      <c r="Z49" s="377"/>
      <c r="AA49" s="377"/>
      <c r="AB49" s="377"/>
      <c r="AC49" s="377"/>
      <c r="AD49" s="378"/>
    </row>
    <row r="50" spans="1:32" ht="27" customHeight="1">
      <c r="A50" s="379" t="s">
        <v>2</v>
      </c>
      <c r="B50" s="380"/>
      <c r="C50" s="223" t="s">
        <v>46</v>
      </c>
      <c r="D50" s="223" t="s">
        <v>47</v>
      </c>
      <c r="E50" s="223" t="s">
        <v>108</v>
      </c>
      <c r="F50" s="380" t="s">
        <v>107</v>
      </c>
      <c r="G50" s="380"/>
      <c r="H50" s="380"/>
      <c r="I50" s="380"/>
      <c r="J50" s="380"/>
      <c r="K50" s="380"/>
      <c r="L50" s="380"/>
      <c r="M50" s="381"/>
      <c r="N50" s="73" t="s">
        <v>112</v>
      </c>
      <c r="O50" s="223" t="s">
        <v>46</v>
      </c>
      <c r="P50" s="382" t="s">
        <v>47</v>
      </c>
      <c r="Q50" s="383"/>
      <c r="R50" s="382" t="s">
        <v>38</v>
      </c>
      <c r="S50" s="384"/>
      <c r="T50" s="384"/>
      <c r="U50" s="383"/>
      <c r="V50" s="382" t="s">
        <v>48</v>
      </c>
      <c r="W50" s="384"/>
      <c r="X50" s="384"/>
      <c r="Y50" s="384"/>
      <c r="Z50" s="384"/>
      <c r="AA50" s="384"/>
      <c r="AB50" s="384"/>
      <c r="AC50" s="384"/>
      <c r="AD50" s="385"/>
    </row>
    <row r="51" spans="1:32" ht="27" customHeight="1">
      <c r="A51" s="396" t="s">
        <v>534</v>
      </c>
      <c r="B51" s="397"/>
      <c r="C51" s="224" t="s">
        <v>535</v>
      </c>
      <c r="D51" s="225" t="s">
        <v>536</v>
      </c>
      <c r="E51" s="224" t="s">
        <v>522</v>
      </c>
      <c r="F51" s="398" t="s">
        <v>460</v>
      </c>
      <c r="G51" s="398"/>
      <c r="H51" s="398"/>
      <c r="I51" s="398"/>
      <c r="J51" s="398"/>
      <c r="K51" s="398"/>
      <c r="L51" s="398"/>
      <c r="M51" s="399"/>
      <c r="N51" s="229" t="s">
        <v>122</v>
      </c>
      <c r="O51" s="74" t="s">
        <v>548</v>
      </c>
      <c r="P51" s="400" t="s">
        <v>497</v>
      </c>
      <c r="Q51" s="401"/>
      <c r="R51" s="402" t="s">
        <v>551</v>
      </c>
      <c r="S51" s="402"/>
      <c r="T51" s="402"/>
      <c r="U51" s="402"/>
      <c r="V51" s="398" t="s">
        <v>499</v>
      </c>
      <c r="W51" s="398"/>
      <c r="X51" s="398"/>
      <c r="Y51" s="398"/>
      <c r="Z51" s="398"/>
      <c r="AA51" s="398"/>
      <c r="AB51" s="398"/>
      <c r="AC51" s="398"/>
      <c r="AD51" s="399"/>
    </row>
    <row r="52" spans="1:32" ht="27" customHeight="1">
      <c r="A52" s="396" t="s">
        <v>412</v>
      </c>
      <c r="B52" s="397"/>
      <c r="C52" s="224" t="s">
        <v>537</v>
      </c>
      <c r="D52" s="225" t="s">
        <v>413</v>
      </c>
      <c r="E52" s="224" t="s">
        <v>538</v>
      </c>
      <c r="F52" s="398" t="s">
        <v>539</v>
      </c>
      <c r="G52" s="398"/>
      <c r="H52" s="398"/>
      <c r="I52" s="398"/>
      <c r="J52" s="398"/>
      <c r="K52" s="398"/>
      <c r="L52" s="398"/>
      <c r="M52" s="399"/>
      <c r="N52" s="229" t="s">
        <v>483</v>
      </c>
      <c r="O52" s="74" t="s">
        <v>500</v>
      </c>
      <c r="P52" s="400" t="s">
        <v>501</v>
      </c>
      <c r="Q52" s="401"/>
      <c r="R52" s="402" t="s">
        <v>502</v>
      </c>
      <c r="S52" s="402"/>
      <c r="T52" s="402"/>
      <c r="U52" s="402"/>
      <c r="V52" s="398" t="s">
        <v>426</v>
      </c>
      <c r="W52" s="398"/>
      <c r="X52" s="398"/>
      <c r="Y52" s="398"/>
      <c r="Z52" s="398"/>
      <c r="AA52" s="398"/>
      <c r="AB52" s="398"/>
      <c r="AC52" s="398"/>
      <c r="AD52" s="399"/>
    </row>
    <row r="53" spans="1:32" ht="27" customHeight="1">
      <c r="A53" s="396" t="s">
        <v>146</v>
      </c>
      <c r="B53" s="397"/>
      <c r="C53" s="224" t="s">
        <v>131</v>
      </c>
      <c r="D53" s="225" t="s">
        <v>169</v>
      </c>
      <c r="E53" s="224" t="s">
        <v>168</v>
      </c>
      <c r="F53" s="398" t="s">
        <v>540</v>
      </c>
      <c r="G53" s="398"/>
      <c r="H53" s="398"/>
      <c r="I53" s="398"/>
      <c r="J53" s="398"/>
      <c r="K53" s="398"/>
      <c r="L53" s="398"/>
      <c r="M53" s="399"/>
      <c r="N53" s="229" t="s">
        <v>483</v>
      </c>
      <c r="O53" s="74" t="s">
        <v>506</v>
      </c>
      <c r="P53" s="402" t="s">
        <v>507</v>
      </c>
      <c r="Q53" s="402"/>
      <c r="R53" s="402" t="s">
        <v>508</v>
      </c>
      <c r="S53" s="402"/>
      <c r="T53" s="402"/>
      <c r="U53" s="402"/>
      <c r="V53" s="398" t="s">
        <v>509</v>
      </c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 t="s">
        <v>541</v>
      </c>
      <c r="B54" s="397"/>
      <c r="C54" s="224" t="s">
        <v>542</v>
      </c>
      <c r="D54" s="225" t="s">
        <v>527</v>
      </c>
      <c r="E54" s="224" t="s">
        <v>528</v>
      </c>
      <c r="F54" s="398" t="s">
        <v>543</v>
      </c>
      <c r="G54" s="398"/>
      <c r="H54" s="398"/>
      <c r="I54" s="398"/>
      <c r="J54" s="398"/>
      <c r="K54" s="398"/>
      <c r="L54" s="398"/>
      <c r="M54" s="399"/>
      <c r="N54" s="229"/>
      <c r="O54" s="74"/>
      <c r="P54" s="402"/>
      <c r="Q54" s="402"/>
      <c r="R54" s="402"/>
      <c r="S54" s="402"/>
      <c r="T54" s="402"/>
      <c r="U54" s="402"/>
      <c r="V54" s="398"/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 t="s">
        <v>530</v>
      </c>
      <c r="B55" s="397"/>
      <c r="C55" s="224" t="s">
        <v>544</v>
      </c>
      <c r="D55" s="225" t="s">
        <v>545</v>
      </c>
      <c r="E55" s="224" t="s">
        <v>531</v>
      </c>
      <c r="F55" s="398" t="s">
        <v>543</v>
      </c>
      <c r="G55" s="398"/>
      <c r="H55" s="398"/>
      <c r="I55" s="398"/>
      <c r="J55" s="398"/>
      <c r="K55" s="398"/>
      <c r="L55" s="398"/>
      <c r="M55" s="399"/>
      <c r="N55" s="229"/>
      <c r="O55" s="74"/>
      <c r="P55" s="402"/>
      <c r="Q55" s="402"/>
      <c r="R55" s="402"/>
      <c r="S55" s="402"/>
      <c r="T55" s="402"/>
      <c r="U55" s="402"/>
      <c r="V55" s="398"/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 t="s">
        <v>547</v>
      </c>
      <c r="B56" s="397"/>
      <c r="C56" s="224" t="s">
        <v>548</v>
      </c>
      <c r="D56" s="225" t="s">
        <v>545</v>
      </c>
      <c r="E56" s="224" t="s">
        <v>549</v>
      </c>
      <c r="F56" s="398" t="s">
        <v>550</v>
      </c>
      <c r="G56" s="398"/>
      <c r="H56" s="398"/>
      <c r="I56" s="398"/>
      <c r="J56" s="398"/>
      <c r="K56" s="398"/>
      <c r="L56" s="398"/>
      <c r="M56" s="399"/>
      <c r="N56" s="229"/>
      <c r="O56" s="74"/>
      <c r="P56" s="402"/>
      <c r="Q56" s="402"/>
      <c r="R56" s="402"/>
      <c r="S56" s="402"/>
      <c r="T56" s="402"/>
      <c r="U56" s="402"/>
      <c r="V56" s="398"/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/>
      <c r="B57" s="397"/>
      <c r="C57" s="224"/>
      <c r="D57" s="225"/>
      <c r="E57" s="224"/>
      <c r="F57" s="398"/>
      <c r="G57" s="398"/>
      <c r="H57" s="398"/>
      <c r="I57" s="398"/>
      <c r="J57" s="398"/>
      <c r="K57" s="398"/>
      <c r="L57" s="398"/>
      <c r="M57" s="399"/>
      <c r="N57" s="229"/>
      <c r="O57" s="74"/>
      <c r="P57" s="400"/>
      <c r="Q57" s="401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/>
      <c r="B58" s="397"/>
      <c r="C58" s="224"/>
      <c r="D58" s="225"/>
      <c r="E58" s="224"/>
      <c r="F58" s="398"/>
      <c r="G58" s="398"/>
      <c r="H58" s="398"/>
      <c r="I58" s="398"/>
      <c r="J58" s="398"/>
      <c r="K58" s="398"/>
      <c r="L58" s="398"/>
      <c r="M58" s="399"/>
      <c r="N58" s="229"/>
      <c r="O58" s="74"/>
      <c r="P58" s="400"/>
      <c r="Q58" s="401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412"/>
      <c r="B59" s="402"/>
      <c r="C59" s="225"/>
      <c r="D59" s="225"/>
      <c r="E59" s="225"/>
      <c r="F59" s="398"/>
      <c r="G59" s="398"/>
      <c r="H59" s="398"/>
      <c r="I59" s="398"/>
      <c r="J59" s="398"/>
      <c r="K59" s="398"/>
      <c r="L59" s="398"/>
      <c r="M59" s="399"/>
      <c r="N59" s="229"/>
      <c r="O59" s="74"/>
      <c r="P59" s="402"/>
      <c r="Q59" s="402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  <c r="AF59" s="94">
        <f>8*3000</f>
        <v>24000</v>
      </c>
    </row>
    <row r="60" spans="1:32" ht="27" customHeight="1" thickBot="1">
      <c r="A60" s="403"/>
      <c r="B60" s="404"/>
      <c r="C60" s="227"/>
      <c r="D60" s="227"/>
      <c r="E60" s="227"/>
      <c r="F60" s="405"/>
      <c r="G60" s="405"/>
      <c r="H60" s="405"/>
      <c r="I60" s="405"/>
      <c r="J60" s="405"/>
      <c r="K60" s="405"/>
      <c r="L60" s="405"/>
      <c r="M60" s="406"/>
      <c r="N60" s="226"/>
      <c r="O60" s="121"/>
      <c r="P60" s="404"/>
      <c r="Q60" s="404"/>
      <c r="R60" s="404"/>
      <c r="S60" s="404"/>
      <c r="T60" s="404"/>
      <c r="U60" s="404"/>
      <c r="V60" s="405"/>
      <c r="W60" s="405"/>
      <c r="X60" s="405"/>
      <c r="Y60" s="405"/>
      <c r="Z60" s="405"/>
      <c r="AA60" s="405"/>
      <c r="AB60" s="405"/>
      <c r="AC60" s="405"/>
      <c r="AD60" s="406"/>
      <c r="AF60" s="94">
        <f>16*3000</f>
        <v>48000</v>
      </c>
    </row>
    <row r="61" spans="1:32" ht="27.75" thickBot="1">
      <c r="A61" s="407" t="s">
        <v>552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228" t="s">
        <v>2</v>
      </c>
      <c r="D62" s="228" t="s">
        <v>37</v>
      </c>
      <c r="E62" s="228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228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3"/>
      <c r="T62" s="413"/>
      <c r="U62" s="413"/>
      <c r="V62" s="413"/>
      <c r="W62" s="413"/>
      <c r="X62" s="413"/>
      <c r="Y62" s="413"/>
      <c r="Z62" s="413"/>
      <c r="AA62" s="411"/>
      <c r="AB62" s="409" t="s">
        <v>44</v>
      </c>
      <c r="AC62" s="409"/>
      <c r="AD62" s="414"/>
      <c r="AF62" s="94">
        <f>SUM(AF59:AF61)</f>
        <v>96000</v>
      </c>
    </row>
    <row r="63" spans="1:32" ht="25.5" customHeight="1">
      <c r="A63" s="415">
        <v>1</v>
      </c>
      <c r="B63" s="416"/>
      <c r="C63" s="124" t="s">
        <v>553</v>
      </c>
      <c r="D63" s="232"/>
      <c r="E63" s="230" t="s">
        <v>554</v>
      </c>
      <c r="F63" s="417" t="s">
        <v>555</v>
      </c>
      <c r="G63" s="418"/>
      <c r="H63" s="418"/>
      <c r="I63" s="418"/>
      <c r="J63" s="418"/>
      <c r="K63" s="418">
        <v>7301</v>
      </c>
      <c r="L63" s="418"/>
      <c r="M63" s="54" t="s">
        <v>397</v>
      </c>
      <c r="N63" s="418">
        <v>11</v>
      </c>
      <c r="O63" s="418"/>
      <c r="P63" s="419">
        <v>50</v>
      </c>
      <c r="Q63" s="419"/>
      <c r="R63" s="398"/>
      <c r="S63" s="398"/>
      <c r="T63" s="398"/>
      <c r="U63" s="398"/>
      <c r="V63" s="398"/>
      <c r="W63" s="398"/>
      <c r="X63" s="398"/>
      <c r="Y63" s="398"/>
      <c r="Z63" s="398"/>
      <c r="AA63" s="398"/>
      <c r="AB63" s="418"/>
      <c r="AC63" s="418"/>
      <c r="AD63" s="420"/>
      <c r="AF63" s="53"/>
    </row>
    <row r="64" spans="1:32" ht="25.5" customHeight="1">
      <c r="A64" s="415">
        <v>2</v>
      </c>
      <c r="B64" s="416"/>
      <c r="C64" s="124" t="s">
        <v>472</v>
      </c>
      <c r="D64" s="232"/>
      <c r="E64" s="230" t="s">
        <v>473</v>
      </c>
      <c r="F64" s="417" t="s">
        <v>556</v>
      </c>
      <c r="G64" s="418"/>
      <c r="H64" s="418"/>
      <c r="I64" s="418"/>
      <c r="J64" s="418"/>
      <c r="K64" s="418" t="s">
        <v>557</v>
      </c>
      <c r="L64" s="418"/>
      <c r="M64" s="54" t="s">
        <v>476</v>
      </c>
      <c r="N64" s="418">
        <v>6</v>
      </c>
      <c r="O64" s="418"/>
      <c r="P64" s="419">
        <v>100</v>
      </c>
      <c r="Q64" s="419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418"/>
      <c r="AC64" s="418"/>
      <c r="AD64" s="420"/>
      <c r="AF64" s="53"/>
    </row>
    <row r="65" spans="1:32" ht="25.5" customHeight="1">
      <c r="A65" s="415">
        <v>3</v>
      </c>
      <c r="B65" s="416"/>
      <c r="C65" s="124"/>
      <c r="D65" s="232"/>
      <c r="E65" s="230"/>
      <c r="F65" s="417"/>
      <c r="G65" s="418"/>
      <c r="H65" s="418"/>
      <c r="I65" s="418"/>
      <c r="J65" s="418"/>
      <c r="K65" s="418"/>
      <c r="L65" s="418"/>
      <c r="M65" s="54"/>
      <c r="N65" s="418"/>
      <c r="O65" s="418"/>
      <c r="P65" s="419"/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4</v>
      </c>
      <c r="B66" s="416"/>
      <c r="C66" s="124"/>
      <c r="D66" s="232"/>
      <c r="E66" s="230"/>
      <c r="F66" s="417"/>
      <c r="G66" s="418"/>
      <c r="H66" s="418"/>
      <c r="I66" s="418"/>
      <c r="J66" s="418"/>
      <c r="K66" s="418"/>
      <c r="L66" s="418"/>
      <c r="M66" s="54"/>
      <c r="N66" s="418"/>
      <c r="O66" s="418"/>
      <c r="P66" s="419"/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5</v>
      </c>
      <c r="B67" s="416"/>
      <c r="C67" s="124"/>
      <c r="D67" s="232"/>
      <c r="E67" s="230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6</v>
      </c>
      <c r="B68" s="416"/>
      <c r="C68" s="124"/>
      <c r="D68" s="232"/>
      <c r="E68" s="230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7</v>
      </c>
      <c r="B69" s="416"/>
      <c r="C69" s="124"/>
      <c r="D69" s="232"/>
      <c r="E69" s="230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8</v>
      </c>
      <c r="B70" s="416"/>
      <c r="C70" s="124"/>
      <c r="D70" s="232"/>
      <c r="E70" s="230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6.25" customHeight="1" thickBot="1">
      <c r="A71" s="421" t="s">
        <v>558</v>
      </c>
      <c r="B71" s="421"/>
      <c r="C71" s="421"/>
      <c r="D71" s="421"/>
      <c r="E71" s="42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2" t="s">
        <v>113</v>
      </c>
      <c r="B72" s="423"/>
      <c r="C72" s="231" t="s">
        <v>2</v>
      </c>
      <c r="D72" s="231" t="s">
        <v>37</v>
      </c>
      <c r="E72" s="231" t="s">
        <v>3</v>
      </c>
      <c r="F72" s="423" t="s">
        <v>38</v>
      </c>
      <c r="G72" s="423"/>
      <c r="H72" s="423"/>
      <c r="I72" s="423"/>
      <c r="J72" s="423"/>
      <c r="K72" s="424" t="s">
        <v>58</v>
      </c>
      <c r="L72" s="425"/>
      <c r="M72" s="425"/>
      <c r="N72" s="425"/>
      <c r="O72" s="425"/>
      <c r="P72" s="425"/>
      <c r="Q72" s="425"/>
      <c r="R72" s="425"/>
      <c r="S72" s="426"/>
      <c r="T72" s="423" t="s">
        <v>49</v>
      </c>
      <c r="U72" s="423"/>
      <c r="V72" s="424" t="s">
        <v>50</v>
      </c>
      <c r="W72" s="426"/>
      <c r="X72" s="425" t="s">
        <v>51</v>
      </c>
      <c r="Y72" s="425"/>
      <c r="Z72" s="425"/>
      <c r="AA72" s="425"/>
      <c r="AB72" s="425"/>
      <c r="AC72" s="425"/>
      <c r="AD72" s="427"/>
      <c r="AF72" s="53"/>
    </row>
    <row r="73" spans="1:32" ht="33.75" customHeight="1">
      <c r="A73" s="436">
        <v>1</v>
      </c>
      <c r="B73" s="437"/>
      <c r="C73" s="233" t="s">
        <v>114</v>
      </c>
      <c r="D73" s="233"/>
      <c r="E73" s="71" t="s">
        <v>119</v>
      </c>
      <c r="F73" s="438" t="s">
        <v>120</v>
      </c>
      <c r="G73" s="439"/>
      <c r="H73" s="439"/>
      <c r="I73" s="439"/>
      <c r="J73" s="440"/>
      <c r="K73" s="441" t="s">
        <v>115</v>
      </c>
      <c r="L73" s="442"/>
      <c r="M73" s="442"/>
      <c r="N73" s="442"/>
      <c r="O73" s="442"/>
      <c r="P73" s="442"/>
      <c r="Q73" s="442"/>
      <c r="R73" s="442"/>
      <c r="S73" s="443"/>
      <c r="T73" s="444">
        <v>42901</v>
      </c>
      <c r="U73" s="445"/>
      <c r="V73" s="446"/>
      <c r="W73" s="446"/>
      <c r="X73" s="447"/>
      <c r="Y73" s="447"/>
      <c r="Z73" s="447"/>
      <c r="AA73" s="447"/>
      <c r="AB73" s="447"/>
      <c r="AC73" s="447"/>
      <c r="AD73" s="448"/>
      <c r="AF73" s="53"/>
    </row>
    <row r="74" spans="1:32" ht="30" customHeight="1">
      <c r="A74" s="428">
        <f>A73+1</f>
        <v>2</v>
      </c>
      <c r="B74" s="429"/>
      <c r="C74" s="232" t="s">
        <v>114</v>
      </c>
      <c r="D74" s="232"/>
      <c r="E74" s="35" t="s">
        <v>116</v>
      </c>
      <c r="F74" s="429" t="s">
        <v>117</v>
      </c>
      <c r="G74" s="429"/>
      <c r="H74" s="429"/>
      <c r="I74" s="429"/>
      <c r="J74" s="429"/>
      <c r="K74" s="430" t="s">
        <v>118</v>
      </c>
      <c r="L74" s="431"/>
      <c r="M74" s="431"/>
      <c r="N74" s="431"/>
      <c r="O74" s="431"/>
      <c r="P74" s="431"/>
      <c r="Q74" s="431"/>
      <c r="R74" s="431"/>
      <c r="S74" s="432"/>
      <c r="T74" s="433">
        <v>42867</v>
      </c>
      <c r="U74" s="433"/>
      <c r="V74" s="433"/>
      <c r="W74" s="433"/>
      <c r="X74" s="434"/>
      <c r="Y74" s="434"/>
      <c r="Z74" s="434"/>
      <c r="AA74" s="434"/>
      <c r="AB74" s="434"/>
      <c r="AC74" s="434"/>
      <c r="AD74" s="435"/>
      <c r="AF74" s="53"/>
    </row>
    <row r="75" spans="1:32" ht="30" customHeight="1">
      <c r="A75" s="428">
        <f t="shared" ref="A75:A81" si="12">A74+1</f>
        <v>3</v>
      </c>
      <c r="B75" s="429"/>
      <c r="C75" s="232"/>
      <c r="D75" s="232"/>
      <c r="E75" s="35"/>
      <c r="F75" s="429"/>
      <c r="G75" s="429"/>
      <c r="H75" s="429"/>
      <c r="I75" s="429"/>
      <c r="J75" s="429"/>
      <c r="K75" s="430"/>
      <c r="L75" s="431"/>
      <c r="M75" s="431"/>
      <c r="N75" s="431"/>
      <c r="O75" s="431"/>
      <c r="P75" s="431"/>
      <c r="Q75" s="431"/>
      <c r="R75" s="431"/>
      <c r="S75" s="432"/>
      <c r="T75" s="433"/>
      <c r="U75" s="433"/>
      <c r="V75" s="433"/>
      <c r="W75" s="433"/>
      <c r="X75" s="434"/>
      <c r="Y75" s="434"/>
      <c r="Z75" s="434"/>
      <c r="AA75" s="434"/>
      <c r="AB75" s="434"/>
      <c r="AC75" s="434"/>
      <c r="AD75" s="435"/>
      <c r="AF75" s="53"/>
    </row>
    <row r="76" spans="1:32" ht="30" customHeight="1">
      <c r="A76" s="428">
        <f t="shared" si="12"/>
        <v>4</v>
      </c>
      <c r="B76" s="429"/>
      <c r="C76" s="232"/>
      <c r="D76" s="232"/>
      <c r="E76" s="35"/>
      <c r="F76" s="429"/>
      <c r="G76" s="429"/>
      <c r="H76" s="429"/>
      <c r="I76" s="429"/>
      <c r="J76" s="429"/>
      <c r="K76" s="430"/>
      <c r="L76" s="431"/>
      <c r="M76" s="431"/>
      <c r="N76" s="431"/>
      <c r="O76" s="431"/>
      <c r="P76" s="431"/>
      <c r="Q76" s="431"/>
      <c r="R76" s="431"/>
      <c r="S76" s="432"/>
      <c r="T76" s="433"/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si="12"/>
        <v>5</v>
      </c>
      <c r="B77" s="429"/>
      <c r="C77" s="232"/>
      <c r="D77" s="232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12"/>
        <v>6</v>
      </c>
      <c r="B78" s="429"/>
      <c r="C78" s="232"/>
      <c r="D78" s="232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12"/>
        <v>7</v>
      </c>
      <c r="B79" s="429"/>
      <c r="C79" s="232"/>
      <c r="D79" s="232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12"/>
        <v>8</v>
      </c>
      <c r="B80" s="429"/>
      <c r="C80" s="232"/>
      <c r="D80" s="232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12"/>
        <v>9</v>
      </c>
      <c r="B81" s="429"/>
      <c r="C81" s="232"/>
      <c r="D81" s="232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6" thickBot="1">
      <c r="A82" s="421" t="s">
        <v>559</v>
      </c>
      <c r="B82" s="421"/>
      <c r="C82" s="421"/>
      <c r="D82" s="421"/>
      <c r="E82" s="42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2" t="s">
        <v>113</v>
      </c>
      <c r="B83" s="423"/>
      <c r="C83" s="449" t="s">
        <v>52</v>
      </c>
      <c r="D83" s="449"/>
      <c r="E83" s="449" t="s">
        <v>53</v>
      </c>
      <c r="F83" s="449"/>
      <c r="G83" s="449"/>
      <c r="H83" s="449"/>
      <c r="I83" s="449"/>
      <c r="J83" s="449"/>
      <c r="K83" s="449" t="s">
        <v>54</v>
      </c>
      <c r="L83" s="449"/>
      <c r="M83" s="449"/>
      <c r="N83" s="449"/>
      <c r="O83" s="449"/>
      <c r="P83" s="449"/>
      <c r="Q83" s="449"/>
      <c r="R83" s="449"/>
      <c r="S83" s="449"/>
      <c r="T83" s="449" t="s">
        <v>55</v>
      </c>
      <c r="U83" s="449"/>
      <c r="V83" s="449" t="s">
        <v>56</v>
      </c>
      <c r="W83" s="449"/>
      <c r="X83" s="449"/>
      <c r="Y83" s="449" t="s">
        <v>51</v>
      </c>
      <c r="Z83" s="449"/>
      <c r="AA83" s="449"/>
      <c r="AB83" s="449"/>
      <c r="AC83" s="449"/>
      <c r="AD83" s="450"/>
      <c r="AF83" s="53"/>
    </row>
    <row r="84" spans="1:32" ht="30.75" customHeight="1">
      <c r="A84" s="436">
        <v>1</v>
      </c>
      <c r="B84" s="437"/>
      <c r="C84" s="451"/>
      <c r="D84" s="451"/>
      <c r="E84" s="451"/>
      <c r="F84" s="451"/>
      <c r="G84" s="451"/>
      <c r="H84" s="451"/>
      <c r="I84" s="451"/>
      <c r="J84" s="451"/>
      <c r="K84" s="451"/>
      <c r="L84" s="451"/>
      <c r="M84" s="451"/>
      <c r="N84" s="451"/>
      <c r="O84" s="451"/>
      <c r="P84" s="451"/>
      <c r="Q84" s="451"/>
      <c r="R84" s="451"/>
      <c r="S84" s="451"/>
      <c r="T84" s="451"/>
      <c r="U84" s="451"/>
      <c r="V84" s="452"/>
      <c r="W84" s="452"/>
      <c r="X84" s="452"/>
      <c r="Y84" s="453"/>
      <c r="Z84" s="453"/>
      <c r="AA84" s="453"/>
      <c r="AB84" s="453"/>
      <c r="AC84" s="453"/>
      <c r="AD84" s="454"/>
      <c r="AF84" s="53"/>
    </row>
    <row r="85" spans="1:32" ht="30.75" customHeight="1">
      <c r="A85" s="428">
        <v>2</v>
      </c>
      <c r="B85" s="429"/>
      <c r="C85" s="462"/>
      <c r="D85" s="462"/>
      <c r="E85" s="462"/>
      <c r="F85" s="462"/>
      <c r="G85" s="462"/>
      <c r="H85" s="462"/>
      <c r="I85" s="462"/>
      <c r="J85" s="462"/>
      <c r="K85" s="462"/>
      <c r="L85" s="462"/>
      <c r="M85" s="462"/>
      <c r="N85" s="462"/>
      <c r="O85" s="462"/>
      <c r="P85" s="462"/>
      <c r="Q85" s="462"/>
      <c r="R85" s="462"/>
      <c r="S85" s="462"/>
      <c r="T85" s="463"/>
      <c r="U85" s="463"/>
      <c r="V85" s="464"/>
      <c r="W85" s="464"/>
      <c r="X85" s="464"/>
      <c r="Y85" s="455"/>
      <c r="Z85" s="455"/>
      <c r="AA85" s="455"/>
      <c r="AB85" s="455"/>
      <c r="AC85" s="455"/>
      <c r="AD85" s="456"/>
      <c r="AF85" s="53"/>
    </row>
    <row r="86" spans="1:32" ht="30.75" customHeight="1" thickBot="1">
      <c r="A86" s="457">
        <v>3</v>
      </c>
      <c r="B86" s="458"/>
      <c r="C86" s="459"/>
      <c r="D86" s="459"/>
      <c r="E86" s="459"/>
      <c r="F86" s="459"/>
      <c r="G86" s="459"/>
      <c r="H86" s="459"/>
      <c r="I86" s="459"/>
      <c r="J86" s="459"/>
      <c r="K86" s="459"/>
      <c r="L86" s="459"/>
      <c r="M86" s="459"/>
      <c r="N86" s="459"/>
      <c r="O86" s="459"/>
      <c r="P86" s="459"/>
      <c r="Q86" s="459"/>
      <c r="R86" s="459"/>
      <c r="S86" s="459"/>
      <c r="T86" s="459"/>
      <c r="U86" s="459"/>
      <c r="V86" s="459"/>
      <c r="W86" s="459"/>
      <c r="X86" s="459"/>
      <c r="Y86" s="460"/>
      <c r="Z86" s="460"/>
      <c r="AA86" s="460"/>
      <c r="AB86" s="460"/>
      <c r="AC86" s="460"/>
      <c r="AD86" s="46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topLeftCell="A31" zoomScale="72" zoomScaleNormal="72" zoomScaleSheetLayoutView="70" workbookViewId="0">
      <selection activeCell="C54" sqref="C54:M5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5" t="s">
        <v>560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2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245" t="s">
        <v>17</v>
      </c>
      <c r="L5" s="245" t="s">
        <v>18</v>
      </c>
      <c r="M5" s="245" t="s">
        <v>19</v>
      </c>
      <c r="N5" s="24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2" ht="27" customHeight="1">
      <c r="A6" s="108">
        <v>1</v>
      </c>
      <c r="B6" s="11" t="s">
        <v>57</v>
      </c>
      <c r="C6" s="37" t="s">
        <v>122</v>
      </c>
      <c r="D6" s="55" t="s">
        <v>127</v>
      </c>
      <c r="E6" s="57" t="s">
        <v>367</v>
      </c>
      <c r="F6" s="33" t="s">
        <v>153</v>
      </c>
      <c r="G6" s="36">
        <v>1</v>
      </c>
      <c r="H6" s="38">
        <v>25</v>
      </c>
      <c r="I6" s="7">
        <v>11000</v>
      </c>
      <c r="J6" s="5">
        <v>4680</v>
      </c>
      <c r="K6" s="15">
        <f>L6+4098+4720+5063+4243</f>
        <v>22799</v>
      </c>
      <c r="L6" s="15">
        <f>2391+2284</f>
        <v>4675</v>
      </c>
      <c r="M6" s="16">
        <f t="shared" ref="M6:M21" si="0">L6-N6</f>
        <v>4675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24</v>
      </c>
      <c r="Q6" s="43">
        <f t="shared" ref="Q6:Q21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0.99893162393162394</v>
      </c>
      <c r="AC6" s="9">
        <f t="shared" ref="AC6:AC21" si="5">IF(P6=0,"0",(P6/24))</f>
        <v>1</v>
      </c>
      <c r="AD6" s="10">
        <f t="shared" ref="AD6:AD21" si="6">AC6*AB6*(1-O6)</f>
        <v>0.99893162393162394</v>
      </c>
      <c r="AE6" s="39">
        <f t="shared" ref="AE6:AE21" si="7">$AD$22</f>
        <v>0.5440273179617795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123</v>
      </c>
      <c r="D7" s="55" t="s">
        <v>156</v>
      </c>
      <c r="E7" s="57" t="s">
        <v>311</v>
      </c>
      <c r="F7" s="33" t="s">
        <v>312</v>
      </c>
      <c r="G7" s="12">
        <v>3</v>
      </c>
      <c r="H7" s="13">
        <v>25</v>
      </c>
      <c r="I7" s="34">
        <v>100000</v>
      </c>
      <c r="J7" s="5">
        <v>15560</v>
      </c>
      <c r="K7" s="15">
        <f>L7+11583+14484+15558</f>
        <v>41625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0.5440273179617795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520</v>
      </c>
      <c r="D8" s="55" t="s">
        <v>521</v>
      </c>
      <c r="E8" s="57" t="s">
        <v>522</v>
      </c>
      <c r="F8" s="33" t="s">
        <v>523</v>
      </c>
      <c r="G8" s="12">
        <v>12</v>
      </c>
      <c r="H8" s="13">
        <v>25</v>
      </c>
      <c r="I8" s="34">
        <v>60000</v>
      </c>
      <c r="J8" s="5">
        <v>30820</v>
      </c>
      <c r="K8" s="15">
        <f>L8+52428</f>
        <v>83244</v>
      </c>
      <c r="L8" s="15">
        <f>2568*12</f>
        <v>30816</v>
      </c>
      <c r="M8" s="16">
        <f t="shared" si="0"/>
        <v>30816</v>
      </c>
      <c r="N8" s="16">
        <v>0</v>
      </c>
      <c r="O8" s="62">
        <f t="shared" si="1"/>
        <v>0</v>
      </c>
      <c r="P8" s="42">
        <f t="shared" si="2"/>
        <v>8</v>
      </c>
      <c r="Q8" s="43">
        <f t="shared" si="3"/>
        <v>16</v>
      </c>
      <c r="R8" s="7"/>
      <c r="S8" s="6"/>
      <c r="T8" s="17"/>
      <c r="U8" s="17"/>
      <c r="V8" s="18"/>
      <c r="W8" s="19">
        <v>16</v>
      </c>
      <c r="X8" s="17"/>
      <c r="Y8" s="20"/>
      <c r="Z8" s="20"/>
      <c r="AA8" s="21"/>
      <c r="AB8" s="8">
        <f t="shared" si="4"/>
        <v>0.999870214146658</v>
      </c>
      <c r="AC8" s="9">
        <f t="shared" si="5"/>
        <v>0.33333333333333331</v>
      </c>
      <c r="AD8" s="10">
        <f t="shared" si="6"/>
        <v>0.33329007138221933</v>
      </c>
      <c r="AE8" s="39">
        <f t="shared" si="7"/>
        <v>0.5440273179617795</v>
      </c>
      <c r="AF8" s="94">
        <f t="shared" si="8"/>
        <v>3</v>
      </c>
    </row>
    <row r="9" spans="1:32" ht="27" customHeight="1">
      <c r="A9" s="109">
        <v>3</v>
      </c>
      <c r="B9" s="11" t="s">
        <v>57</v>
      </c>
      <c r="C9" s="37" t="s">
        <v>472</v>
      </c>
      <c r="D9" s="55" t="s">
        <v>561</v>
      </c>
      <c r="E9" s="57" t="s">
        <v>562</v>
      </c>
      <c r="F9" s="33" t="s">
        <v>563</v>
      </c>
      <c r="G9" s="12">
        <v>2</v>
      </c>
      <c r="H9" s="13">
        <v>25</v>
      </c>
      <c r="I9" s="34">
        <v>80000</v>
      </c>
      <c r="J9" s="5">
        <v>6080</v>
      </c>
      <c r="K9" s="15">
        <f>L9</f>
        <v>6076</v>
      </c>
      <c r="L9" s="15">
        <f>3038*2</f>
        <v>6076</v>
      </c>
      <c r="M9" s="16">
        <f t="shared" ref="M9" si="9">L9-N9</f>
        <v>6076</v>
      </c>
      <c r="N9" s="16">
        <v>0</v>
      </c>
      <c r="O9" s="62">
        <f t="shared" ref="O9" si="10">IF(L9=0,"0",N9/L9)</f>
        <v>0</v>
      </c>
      <c r="P9" s="42">
        <f t="shared" ref="P9" si="11">IF(L9=0,"0",(24-Q9))</f>
        <v>15</v>
      </c>
      <c r="Q9" s="43">
        <f t="shared" ref="Q9" si="12">SUM(R9:AA9)</f>
        <v>9</v>
      </c>
      <c r="R9" s="7"/>
      <c r="S9" s="6"/>
      <c r="T9" s="17">
        <v>9</v>
      </c>
      <c r="U9" s="17"/>
      <c r="V9" s="18"/>
      <c r="W9" s="19"/>
      <c r="X9" s="17"/>
      <c r="Y9" s="20"/>
      <c r="Z9" s="20"/>
      <c r="AA9" s="21"/>
      <c r="AB9" s="8">
        <f t="shared" ref="AB9" si="13">IF(J9=0,"0",(L9/J9))</f>
        <v>0.99934210526315792</v>
      </c>
      <c r="AC9" s="9">
        <f t="shared" ref="AC9" si="14">IF(P9=0,"0",(P9/24))</f>
        <v>0.625</v>
      </c>
      <c r="AD9" s="10">
        <f t="shared" ref="AD9" si="15">AC9*AB9*(1-O9)</f>
        <v>0.62458881578947367</v>
      </c>
      <c r="AE9" s="39">
        <f t="shared" si="7"/>
        <v>0.5440273179617795</v>
      </c>
      <c r="AF9" s="94">
        <f t="shared" ref="AF9" si="16">A9</f>
        <v>3</v>
      </c>
    </row>
    <row r="10" spans="1:32" ht="27" customHeight="1">
      <c r="A10" s="110">
        <v>4</v>
      </c>
      <c r="B10" s="11" t="s">
        <v>57</v>
      </c>
      <c r="C10" s="37" t="s">
        <v>122</v>
      </c>
      <c r="D10" s="55" t="s">
        <v>264</v>
      </c>
      <c r="E10" s="57" t="s">
        <v>564</v>
      </c>
      <c r="F10" s="33" t="s">
        <v>140</v>
      </c>
      <c r="G10" s="36">
        <v>1</v>
      </c>
      <c r="H10" s="38">
        <v>25</v>
      </c>
      <c r="I10" s="7">
        <v>17000</v>
      </c>
      <c r="J10" s="5">
        <v>4450</v>
      </c>
      <c r="K10" s="15">
        <f>L10</f>
        <v>4446</v>
      </c>
      <c r="L10" s="15">
        <f>2983+1463</f>
        <v>4446</v>
      </c>
      <c r="M10" s="16">
        <f t="shared" si="0"/>
        <v>4446</v>
      </c>
      <c r="N10" s="16">
        <v>0</v>
      </c>
      <c r="O10" s="62">
        <f t="shared" si="1"/>
        <v>0</v>
      </c>
      <c r="P10" s="42">
        <f t="shared" si="2"/>
        <v>20</v>
      </c>
      <c r="Q10" s="43">
        <f t="shared" si="3"/>
        <v>4</v>
      </c>
      <c r="R10" s="7"/>
      <c r="S10" s="6"/>
      <c r="T10" s="17"/>
      <c r="U10" s="17"/>
      <c r="V10" s="18"/>
      <c r="W10" s="19"/>
      <c r="X10" s="17"/>
      <c r="Y10" s="20"/>
      <c r="Z10" s="20"/>
      <c r="AA10" s="21">
        <v>4</v>
      </c>
      <c r="AB10" s="8">
        <f t="shared" si="4"/>
        <v>0.99910112359550562</v>
      </c>
      <c r="AC10" s="9">
        <f t="shared" si="5"/>
        <v>0.83333333333333337</v>
      </c>
      <c r="AD10" s="10">
        <f t="shared" si="6"/>
        <v>0.83258426966292143</v>
      </c>
      <c r="AE10" s="39">
        <f t="shared" si="7"/>
        <v>0.5440273179617795</v>
      </c>
      <c r="AF10" s="94">
        <f t="shared" si="8"/>
        <v>4</v>
      </c>
    </row>
    <row r="11" spans="1:32" ht="27" customHeight="1">
      <c r="A11" s="110">
        <v>5</v>
      </c>
      <c r="B11" s="11" t="s">
        <v>57</v>
      </c>
      <c r="C11" s="11" t="s">
        <v>146</v>
      </c>
      <c r="D11" s="55" t="s">
        <v>488</v>
      </c>
      <c r="E11" s="57" t="s">
        <v>565</v>
      </c>
      <c r="F11" s="12" t="s">
        <v>566</v>
      </c>
      <c r="G11" s="12" t="s">
        <v>567</v>
      </c>
      <c r="H11" s="13">
        <v>20</v>
      </c>
      <c r="I11" s="34">
        <v>4000</v>
      </c>
      <c r="J11" s="14">
        <v>3100</v>
      </c>
      <c r="K11" s="15">
        <f>L11</f>
        <v>3096</v>
      </c>
      <c r="L11" s="15">
        <f>3096</f>
        <v>3096</v>
      </c>
      <c r="M11" s="16">
        <f t="shared" si="0"/>
        <v>3096</v>
      </c>
      <c r="N11" s="16">
        <v>0</v>
      </c>
      <c r="O11" s="62">
        <f t="shared" si="1"/>
        <v>0</v>
      </c>
      <c r="P11" s="42">
        <f t="shared" si="2"/>
        <v>14</v>
      </c>
      <c r="Q11" s="43">
        <f t="shared" si="3"/>
        <v>10</v>
      </c>
      <c r="R11" s="7"/>
      <c r="S11" s="6">
        <v>10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0.99870967741935479</v>
      </c>
      <c r="AC11" s="9">
        <f t="shared" si="5"/>
        <v>0.58333333333333337</v>
      </c>
      <c r="AD11" s="10">
        <f t="shared" si="6"/>
        <v>0.58258064516129038</v>
      </c>
      <c r="AE11" s="39">
        <f t="shared" si="7"/>
        <v>0.5440273179617795</v>
      </c>
      <c r="AF11" s="94">
        <f t="shared" si="8"/>
        <v>5</v>
      </c>
    </row>
    <row r="12" spans="1:32" ht="27" customHeight="1">
      <c r="A12" s="110">
        <v>6</v>
      </c>
      <c r="B12" s="11" t="s">
        <v>57</v>
      </c>
      <c r="C12" s="11" t="s">
        <v>472</v>
      </c>
      <c r="D12" s="55" t="s">
        <v>484</v>
      </c>
      <c r="E12" s="57" t="s">
        <v>568</v>
      </c>
      <c r="F12" s="12" t="s">
        <v>569</v>
      </c>
      <c r="G12" s="12">
        <v>2</v>
      </c>
      <c r="H12" s="13">
        <v>25</v>
      </c>
      <c r="I12" s="34">
        <v>80000</v>
      </c>
      <c r="J12" s="14">
        <v>3680</v>
      </c>
      <c r="K12" s="15">
        <f>L12</f>
        <v>3674</v>
      </c>
      <c r="L12" s="15">
        <f>1837*2</f>
        <v>3674</v>
      </c>
      <c r="M12" s="16">
        <f t="shared" si="0"/>
        <v>3674</v>
      </c>
      <c r="N12" s="16">
        <v>0</v>
      </c>
      <c r="O12" s="62">
        <f t="shared" si="1"/>
        <v>0</v>
      </c>
      <c r="P12" s="42">
        <f t="shared" si="2"/>
        <v>10</v>
      </c>
      <c r="Q12" s="43">
        <f t="shared" si="3"/>
        <v>14</v>
      </c>
      <c r="R12" s="7"/>
      <c r="S12" s="6">
        <v>14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0.99836956521739129</v>
      </c>
      <c r="AC12" s="9">
        <f t="shared" si="5"/>
        <v>0.41666666666666669</v>
      </c>
      <c r="AD12" s="10">
        <f t="shared" si="6"/>
        <v>0.41598731884057971</v>
      </c>
      <c r="AE12" s="39">
        <f t="shared" si="7"/>
        <v>0.5440273179617795</v>
      </c>
      <c r="AF12" s="94">
        <f t="shared" si="8"/>
        <v>6</v>
      </c>
    </row>
    <row r="13" spans="1:32" ht="27" customHeight="1">
      <c r="A13" s="110">
        <v>7</v>
      </c>
      <c r="B13" s="11" t="s">
        <v>57</v>
      </c>
      <c r="C13" s="11" t="s">
        <v>122</v>
      </c>
      <c r="D13" s="55" t="s">
        <v>133</v>
      </c>
      <c r="E13" s="57" t="s">
        <v>490</v>
      </c>
      <c r="F13" s="12" t="s">
        <v>350</v>
      </c>
      <c r="G13" s="12">
        <v>1</v>
      </c>
      <c r="H13" s="13">
        <v>25</v>
      </c>
      <c r="I13" s="7">
        <v>30000</v>
      </c>
      <c r="J13" s="14">
        <v>1850</v>
      </c>
      <c r="K13" s="15">
        <f>L13+3124+3021</f>
        <v>7990</v>
      </c>
      <c r="L13" s="15">
        <f>1164+681</f>
        <v>1845</v>
      </c>
      <c r="M13" s="16">
        <f t="shared" si="0"/>
        <v>1845</v>
      </c>
      <c r="N13" s="16">
        <v>0</v>
      </c>
      <c r="O13" s="62">
        <f t="shared" si="1"/>
        <v>0</v>
      </c>
      <c r="P13" s="42">
        <f t="shared" si="2"/>
        <v>10</v>
      </c>
      <c r="Q13" s="43">
        <f t="shared" si="3"/>
        <v>14</v>
      </c>
      <c r="R13" s="7"/>
      <c r="S13" s="6">
        <v>14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0.99729729729729732</v>
      </c>
      <c r="AC13" s="9">
        <f t="shared" si="5"/>
        <v>0.41666666666666669</v>
      </c>
      <c r="AD13" s="10">
        <f t="shared" si="6"/>
        <v>0.41554054054054057</v>
      </c>
      <c r="AE13" s="39">
        <f t="shared" si="7"/>
        <v>0.5440273179617795</v>
      </c>
      <c r="AF13" s="94">
        <f t="shared" si="8"/>
        <v>7</v>
      </c>
    </row>
    <row r="14" spans="1:32" ht="27" customHeight="1">
      <c r="A14" s="110">
        <v>8</v>
      </c>
      <c r="B14" s="11" t="s">
        <v>57</v>
      </c>
      <c r="C14" s="11" t="s">
        <v>122</v>
      </c>
      <c r="D14" s="55" t="s">
        <v>144</v>
      </c>
      <c r="E14" s="57" t="s">
        <v>524</v>
      </c>
      <c r="F14" s="12" t="s">
        <v>525</v>
      </c>
      <c r="G14" s="12">
        <v>1</v>
      </c>
      <c r="H14" s="13">
        <v>25</v>
      </c>
      <c r="I14" s="7">
        <v>15000</v>
      </c>
      <c r="J14" s="14">
        <v>2380</v>
      </c>
      <c r="K14" s="15">
        <f>L14+3142</f>
        <v>5520</v>
      </c>
      <c r="L14" s="15">
        <f>348+2030</f>
        <v>2378</v>
      </c>
      <c r="M14" s="16">
        <f t="shared" si="0"/>
        <v>2378</v>
      </c>
      <c r="N14" s="16">
        <v>0</v>
      </c>
      <c r="O14" s="62">
        <f t="shared" si="1"/>
        <v>0</v>
      </c>
      <c r="P14" s="42">
        <f t="shared" si="2"/>
        <v>12</v>
      </c>
      <c r="Q14" s="43">
        <f t="shared" si="3"/>
        <v>12</v>
      </c>
      <c r="R14" s="7"/>
      <c r="S14" s="6">
        <v>12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0.99915966386554622</v>
      </c>
      <c r="AC14" s="9">
        <f t="shared" si="5"/>
        <v>0.5</v>
      </c>
      <c r="AD14" s="10">
        <f t="shared" si="6"/>
        <v>0.49957983193277311</v>
      </c>
      <c r="AE14" s="39">
        <f t="shared" si="7"/>
        <v>0.5440273179617795</v>
      </c>
      <c r="AF14" s="94">
        <f t="shared" si="8"/>
        <v>8</v>
      </c>
    </row>
    <row r="15" spans="1:32" ht="27" customHeight="1">
      <c r="A15" s="109">
        <v>9</v>
      </c>
      <c r="B15" s="11" t="s">
        <v>57</v>
      </c>
      <c r="C15" s="37" t="s">
        <v>114</v>
      </c>
      <c r="D15" s="55" t="s">
        <v>128</v>
      </c>
      <c r="E15" s="57" t="s">
        <v>174</v>
      </c>
      <c r="F15" s="33" t="s">
        <v>181</v>
      </c>
      <c r="G15" s="36">
        <v>1</v>
      </c>
      <c r="H15" s="38">
        <v>25</v>
      </c>
      <c r="I15" s="7">
        <v>200</v>
      </c>
      <c r="J15" s="5">
        <v>206</v>
      </c>
      <c r="K15" s="15">
        <f>L15+190+206</f>
        <v>396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0.5440273179617795</v>
      </c>
      <c r="AF15" s="94">
        <f t="shared" si="8"/>
        <v>9</v>
      </c>
    </row>
    <row r="16" spans="1:32" ht="27" customHeight="1">
      <c r="A16" s="109">
        <v>10</v>
      </c>
      <c r="B16" s="11" t="s">
        <v>57</v>
      </c>
      <c r="C16" s="11" t="s">
        <v>123</v>
      </c>
      <c r="D16" s="55" t="s">
        <v>249</v>
      </c>
      <c r="E16" s="57" t="s">
        <v>270</v>
      </c>
      <c r="F16" s="12" t="s">
        <v>151</v>
      </c>
      <c r="G16" s="12">
        <v>4</v>
      </c>
      <c r="H16" s="13">
        <v>24</v>
      </c>
      <c r="I16" s="34">
        <v>30000</v>
      </c>
      <c r="J16" s="14">
        <v>23320</v>
      </c>
      <c r="K16" s="15">
        <f>L16+21536+23312</f>
        <v>44848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0.5440273179617795</v>
      </c>
      <c r="AF16" s="94">
        <f t="shared" si="8"/>
        <v>10</v>
      </c>
    </row>
    <row r="17" spans="1:36" ht="27.75" customHeight="1">
      <c r="A17" s="109">
        <v>11</v>
      </c>
      <c r="B17" s="11" t="s">
        <v>57</v>
      </c>
      <c r="C17" s="11" t="s">
        <v>526</v>
      </c>
      <c r="D17" s="55" t="s">
        <v>135</v>
      </c>
      <c r="E17" s="56" t="s">
        <v>528</v>
      </c>
      <c r="F17" s="12" t="s">
        <v>529</v>
      </c>
      <c r="G17" s="36">
        <v>2</v>
      </c>
      <c r="H17" s="38">
        <v>25</v>
      </c>
      <c r="I17" s="7">
        <v>80000</v>
      </c>
      <c r="J17" s="14">
        <v>11530</v>
      </c>
      <c r="K17" s="15">
        <f>L17+5764</f>
        <v>17286</v>
      </c>
      <c r="L17" s="15">
        <f>2924*2+2837*2</f>
        <v>11522</v>
      </c>
      <c r="M17" s="16">
        <f t="shared" si="0"/>
        <v>11522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0.99930615784908938</v>
      </c>
      <c r="AC17" s="9">
        <f t="shared" si="5"/>
        <v>1</v>
      </c>
      <c r="AD17" s="10">
        <f t="shared" si="6"/>
        <v>0.99930615784908938</v>
      </c>
      <c r="AE17" s="39">
        <f t="shared" si="7"/>
        <v>0.5440273179617795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57</v>
      </c>
      <c r="C18" s="37" t="s">
        <v>472</v>
      </c>
      <c r="D18" s="55" t="s">
        <v>127</v>
      </c>
      <c r="E18" s="57" t="s">
        <v>570</v>
      </c>
      <c r="F18" s="12" t="s">
        <v>571</v>
      </c>
      <c r="G18" s="12">
        <v>2</v>
      </c>
      <c r="H18" s="13">
        <v>25</v>
      </c>
      <c r="I18" s="34">
        <v>80000</v>
      </c>
      <c r="J18" s="5">
        <v>10940</v>
      </c>
      <c r="K18" s="15">
        <f>L18</f>
        <v>10938</v>
      </c>
      <c r="L18" s="15">
        <f>2401*2+3068*2</f>
        <v>10938</v>
      </c>
      <c r="M18" s="16">
        <f t="shared" si="0"/>
        <v>10938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0.9998171846435101</v>
      </c>
      <c r="AC18" s="9">
        <f t="shared" si="5"/>
        <v>1</v>
      </c>
      <c r="AD18" s="10">
        <f t="shared" si="6"/>
        <v>0.9998171846435101</v>
      </c>
      <c r="AE18" s="39">
        <f t="shared" si="7"/>
        <v>0.5440273179617795</v>
      </c>
      <c r="AF18" s="94">
        <f t="shared" ref="AF18:AF19" si="17">A18</f>
        <v>12</v>
      </c>
    </row>
    <row r="19" spans="1:36" ht="27" customHeight="1">
      <c r="A19" s="110">
        <v>13</v>
      </c>
      <c r="B19" s="11" t="s">
        <v>57</v>
      </c>
      <c r="C19" s="37" t="s">
        <v>472</v>
      </c>
      <c r="D19" s="55" t="s">
        <v>453</v>
      </c>
      <c r="E19" s="57" t="s">
        <v>531</v>
      </c>
      <c r="F19" s="33" t="s">
        <v>532</v>
      </c>
      <c r="G19" s="36">
        <v>1</v>
      </c>
      <c r="H19" s="38">
        <v>25</v>
      </c>
      <c r="I19" s="7">
        <v>80000</v>
      </c>
      <c r="J19" s="5">
        <v>5120</v>
      </c>
      <c r="K19" s="15">
        <f>L19+3954</f>
        <v>9074</v>
      </c>
      <c r="L19" s="15">
        <f>2560*2</f>
        <v>5120</v>
      </c>
      <c r="M19" s="16">
        <f t="shared" si="0"/>
        <v>5120</v>
      </c>
      <c r="N19" s="16">
        <v>0</v>
      </c>
      <c r="O19" s="62">
        <f t="shared" si="1"/>
        <v>0</v>
      </c>
      <c r="P19" s="42">
        <f t="shared" si="2"/>
        <v>13</v>
      </c>
      <c r="Q19" s="43">
        <f t="shared" si="3"/>
        <v>11</v>
      </c>
      <c r="R19" s="7"/>
      <c r="S19" s="6">
        <v>11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0.54166666666666663</v>
      </c>
      <c r="AD19" s="10">
        <f t="shared" si="6"/>
        <v>0.54166666666666663</v>
      </c>
      <c r="AE19" s="39">
        <f t="shared" si="7"/>
        <v>0.5440273179617795</v>
      </c>
      <c r="AF19" s="94">
        <f t="shared" si="17"/>
        <v>13</v>
      </c>
    </row>
    <row r="20" spans="1:36" ht="27" customHeight="1">
      <c r="A20" s="110">
        <v>14</v>
      </c>
      <c r="B20" s="11" t="s">
        <v>57</v>
      </c>
      <c r="C20" s="11" t="s">
        <v>146</v>
      </c>
      <c r="D20" s="55" t="s">
        <v>169</v>
      </c>
      <c r="E20" s="57" t="s">
        <v>168</v>
      </c>
      <c r="F20" s="12" t="s">
        <v>138</v>
      </c>
      <c r="G20" s="12" t="s">
        <v>170</v>
      </c>
      <c r="H20" s="13">
        <v>25</v>
      </c>
      <c r="I20" s="7">
        <v>130000</v>
      </c>
      <c r="J20" s="14">
        <v>7050</v>
      </c>
      <c r="K20" s="15">
        <f>L20+3258+4398+5144+3460+6323+4564+5384+7161+2960+2789</f>
        <v>52490</v>
      </c>
      <c r="L20" s="15">
        <f>3538+3511</f>
        <v>7049</v>
      </c>
      <c r="M20" s="16">
        <f t="shared" si="0"/>
        <v>7049</v>
      </c>
      <c r="N20" s="16">
        <v>0</v>
      </c>
      <c r="O20" s="62">
        <f t="shared" si="1"/>
        <v>0</v>
      </c>
      <c r="P20" s="42">
        <f t="shared" si="2"/>
        <v>22</v>
      </c>
      <c r="Q20" s="43">
        <f t="shared" si="3"/>
        <v>2</v>
      </c>
      <c r="R20" s="7"/>
      <c r="S20" s="6">
        <v>2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0.99985815602836881</v>
      </c>
      <c r="AC20" s="9">
        <f t="shared" si="5"/>
        <v>0.91666666666666663</v>
      </c>
      <c r="AD20" s="10">
        <f t="shared" si="6"/>
        <v>0.91653664302600468</v>
      </c>
      <c r="AE20" s="39">
        <f t="shared" si="7"/>
        <v>0.5440273179617795</v>
      </c>
      <c r="AF20" s="94">
        <f t="shared" si="8"/>
        <v>14</v>
      </c>
    </row>
    <row r="21" spans="1:36" ht="27" customHeight="1" thickBot="1">
      <c r="A21" s="110">
        <v>15</v>
      </c>
      <c r="B21" s="11" t="s">
        <v>57</v>
      </c>
      <c r="C21" s="11" t="s">
        <v>124</v>
      </c>
      <c r="D21" s="55"/>
      <c r="E21" s="56" t="s">
        <v>274</v>
      </c>
      <c r="F21" s="12" t="s">
        <v>125</v>
      </c>
      <c r="G21" s="12">
        <v>4</v>
      </c>
      <c r="H21" s="38">
        <v>20</v>
      </c>
      <c r="I21" s="7">
        <v>800000</v>
      </c>
      <c r="J21" s="14">
        <v>5640</v>
      </c>
      <c r="K21" s="15">
        <f>L21+29128+42972+45096+45728+43064+5640</f>
        <v>211628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0.5440273179617795</v>
      </c>
      <c r="AF21" s="94">
        <f t="shared" si="8"/>
        <v>15</v>
      </c>
    </row>
    <row r="22" spans="1:36" ht="31.5" customHeight="1" thickBot="1">
      <c r="A22" s="369" t="s">
        <v>34</v>
      </c>
      <c r="B22" s="370"/>
      <c r="C22" s="370"/>
      <c r="D22" s="370"/>
      <c r="E22" s="370"/>
      <c r="F22" s="370"/>
      <c r="G22" s="370"/>
      <c r="H22" s="371"/>
      <c r="I22" s="25">
        <f t="shared" ref="I22:N22" si="18">SUM(I6:I21)</f>
        <v>1597200</v>
      </c>
      <c r="J22" s="22">
        <f t="shared" si="18"/>
        <v>136406</v>
      </c>
      <c r="K22" s="23">
        <f t="shared" si="18"/>
        <v>525130</v>
      </c>
      <c r="L22" s="24">
        <f t="shared" si="18"/>
        <v>91635</v>
      </c>
      <c r="M22" s="23">
        <f t="shared" si="18"/>
        <v>91635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196</v>
      </c>
      <c r="Q22" s="46">
        <f t="shared" si="19"/>
        <v>188</v>
      </c>
      <c r="R22" s="26">
        <f t="shared" si="19"/>
        <v>0</v>
      </c>
      <c r="S22" s="27">
        <f t="shared" si="19"/>
        <v>63</v>
      </c>
      <c r="T22" s="27">
        <f t="shared" si="19"/>
        <v>9</v>
      </c>
      <c r="U22" s="27">
        <f t="shared" si="19"/>
        <v>0</v>
      </c>
      <c r="V22" s="28">
        <f t="shared" si="19"/>
        <v>0</v>
      </c>
      <c r="W22" s="29">
        <f t="shared" si="19"/>
        <v>112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4</v>
      </c>
      <c r="AB22" s="31">
        <f>SUM(AB6:AB21)/15</f>
        <v>0.79931751795050021</v>
      </c>
      <c r="AC22" s="4">
        <f>SUM(AC6:AC21)/15</f>
        <v>0.5444444444444444</v>
      </c>
      <c r="AD22" s="4">
        <f>SUM(AD6:AD21)/15</f>
        <v>0.5440273179617795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72" t="s">
        <v>45</v>
      </c>
      <c r="B49" s="372"/>
      <c r="C49" s="372"/>
      <c r="D49" s="372"/>
      <c r="E49" s="37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73" t="s">
        <v>572</v>
      </c>
      <c r="B50" s="374"/>
      <c r="C50" s="374"/>
      <c r="D50" s="374"/>
      <c r="E50" s="374"/>
      <c r="F50" s="374"/>
      <c r="G50" s="374"/>
      <c r="H50" s="374"/>
      <c r="I50" s="374"/>
      <c r="J50" s="374"/>
      <c r="K50" s="374"/>
      <c r="L50" s="374"/>
      <c r="M50" s="375"/>
      <c r="N50" s="376" t="s">
        <v>581</v>
      </c>
      <c r="O50" s="377"/>
      <c r="P50" s="377"/>
      <c r="Q50" s="377"/>
      <c r="R50" s="377"/>
      <c r="S50" s="377"/>
      <c r="T50" s="377"/>
      <c r="U50" s="377"/>
      <c r="V50" s="377"/>
      <c r="W50" s="377"/>
      <c r="X50" s="377"/>
      <c r="Y50" s="377"/>
      <c r="Z50" s="377"/>
      <c r="AA50" s="377"/>
      <c r="AB50" s="377"/>
      <c r="AC50" s="377"/>
      <c r="AD50" s="378"/>
    </row>
    <row r="51" spans="1:32" ht="27" customHeight="1">
      <c r="A51" s="379" t="s">
        <v>2</v>
      </c>
      <c r="B51" s="380"/>
      <c r="C51" s="244" t="s">
        <v>46</v>
      </c>
      <c r="D51" s="244" t="s">
        <v>47</v>
      </c>
      <c r="E51" s="244" t="s">
        <v>108</v>
      </c>
      <c r="F51" s="380" t="s">
        <v>107</v>
      </c>
      <c r="G51" s="380"/>
      <c r="H51" s="380"/>
      <c r="I51" s="380"/>
      <c r="J51" s="380"/>
      <c r="K51" s="380"/>
      <c r="L51" s="380"/>
      <c r="M51" s="381"/>
      <c r="N51" s="73" t="s">
        <v>112</v>
      </c>
      <c r="O51" s="244" t="s">
        <v>46</v>
      </c>
      <c r="P51" s="382" t="s">
        <v>47</v>
      </c>
      <c r="Q51" s="383"/>
      <c r="R51" s="382" t="s">
        <v>38</v>
      </c>
      <c r="S51" s="384"/>
      <c r="T51" s="384"/>
      <c r="U51" s="383"/>
      <c r="V51" s="382" t="s">
        <v>48</v>
      </c>
      <c r="W51" s="384"/>
      <c r="X51" s="384"/>
      <c r="Y51" s="384"/>
      <c r="Z51" s="384"/>
      <c r="AA51" s="384"/>
      <c r="AB51" s="384"/>
      <c r="AC51" s="384"/>
      <c r="AD51" s="385"/>
    </row>
    <row r="52" spans="1:32" ht="27" customHeight="1">
      <c r="A52" s="396" t="s">
        <v>573</v>
      </c>
      <c r="B52" s="397"/>
      <c r="C52" s="243" t="s">
        <v>233</v>
      </c>
      <c r="D52" s="240" t="s">
        <v>574</v>
      </c>
      <c r="E52" s="243" t="s">
        <v>575</v>
      </c>
      <c r="F52" s="398" t="s">
        <v>460</v>
      </c>
      <c r="G52" s="398"/>
      <c r="H52" s="398"/>
      <c r="I52" s="398"/>
      <c r="J52" s="398"/>
      <c r="K52" s="398"/>
      <c r="L52" s="398"/>
      <c r="M52" s="399"/>
      <c r="N52" s="239" t="s">
        <v>122</v>
      </c>
      <c r="O52" s="74" t="s">
        <v>548</v>
      </c>
      <c r="P52" s="400" t="s">
        <v>133</v>
      </c>
      <c r="Q52" s="401"/>
      <c r="R52" s="402" t="s">
        <v>551</v>
      </c>
      <c r="S52" s="402"/>
      <c r="T52" s="402"/>
      <c r="U52" s="402"/>
      <c r="V52" s="398" t="s">
        <v>130</v>
      </c>
      <c r="W52" s="398"/>
      <c r="X52" s="398"/>
      <c r="Y52" s="398"/>
      <c r="Z52" s="398"/>
      <c r="AA52" s="398"/>
      <c r="AB52" s="398"/>
      <c r="AC52" s="398"/>
      <c r="AD52" s="399"/>
    </row>
    <row r="53" spans="1:32" ht="27" customHeight="1">
      <c r="A53" s="396" t="s">
        <v>412</v>
      </c>
      <c r="B53" s="397"/>
      <c r="C53" s="243" t="s">
        <v>325</v>
      </c>
      <c r="D53" s="240" t="s">
        <v>413</v>
      </c>
      <c r="E53" s="243" t="s">
        <v>524</v>
      </c>
      <c r="F53" s="398" t="s">
        <v>576</v>
      </c>
      <c r="G53" s="398"/>
      <c r="H53" s="398"/>
      <c r="I53" s="398"/>
      <c r="J53" s="398"/>
      <c r="K53" s="398"/>
      <c r="L53" s="398"/>
      <c r="M53" s="399"/>
      <c r="N53" s="239" t="s">
        <v>122</v>
      </c>
      <c r="O53" s="74" t="s">
        <v>325</v>
      </c>
      <c r="P53" s="400" t="s">
        <v>582</v>
      </c>
      <c r="Q53" s="401"/>
      <c r="R53" s="402" t="s">
        <v>583</v>
      </c>
      <c r="S53" s="402"/>
      <c r="T53" s="402"/>
      <c r="U53" s="402"/>
      <c r="V53" s="398" t="s">
        <v>584</v>
      </c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 t="s">
        <v>577</v>
      </c>
      <c r="B54" s="397"/>
      <c r="C54" s="243" t="s">
        <v>131</v>
      </c>
      <c r="D54" s="240" t="s">
        <v>169</v>
      </c>
      <c r="E54" s="243" t="s">
        <v>168</v>
      </c>
      <c r="F54" s="398" t="s">
        <v>540</v>
      </c>
      <c r="G54" s="398"/>
      <c r="H54" s="398"/>
      <c r="I54" s="398"/>
      <c r="J54" s="398"/>
      <c r="K54" s="398"/>
      <c r="L54" s="398"/>
      <c r="M54" s="399"/>
      <c r="N54" s="239" t="s">
        <v>472</v>
      </c>
      <c r="O54" s="74" t="s">
        <v>192</v>
      </c>
      <c r="P54" s="402" t="s">
        <v>507</v>
      </c>
      <c r="Q54" s="402"/>
      <c r="R54" s="402" t="s">
        <v>508</v>
      </c>
      <c r="S54" s="402"/>
      <c r="T54" s="402"/>
      <c r="U54" s="402"/>
      <c r="V54" s="398" t="s">
        <v>584</v>
      </c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 t="s">
        <v>472</v>
      </c>
      <c r="B55" s="397"/>
      <c r="C55" s="243" t="s">
        <v>132</v>
      </c>
      <c r="D55" s="240" t="s">
        <v>128</v>
      </c>
      <c r="E55" s="243" t="s">
        <v>531</v>
      </c>
      <c r="F55" s="398" t="s">
        <v>576</v>
      </c>
      <c r="G55" s="398"/>
      <c r="H55" s="398"/>
      <c r="I55" s="398"/>
      <c r="J55" s="398"/>
      <c r="K55" s="398"/>
      <c r="L55" s="398"/>
      <c r="M55" s="399"/>
      <c r="N55" s="239" t="s">
        <v>472</v>
      </c>
      <c r="O55" s="74" t="s">
        <v>585</v>
      </c>
      <c r="P55" s="402" t="s">
        <v>133</v>
      </c>
      <c r="Q55" s="402"/>
      <c r="R55" s="402" t="s">
        <v>510</v>
      </c>
      <c r="S55" s="402"/>
      <c r="T55" s="402"/>
      <c r="U55" s="402"/>
      <c r="V55" s="398" t="s">
        <v>584</v>
      </c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 t="s">
        <v>547</v>
      </c>
      <c r="B56" s="397"/>
      <c r="C56" s="243" t="s">
        <v>548</v>
      </c>
      <c r="D56" s="240" t="s">
        <v>128</v>
      </c>
      <c r="E56" s="243" t="s">
        <v>549</v>
      </c>
      <c r="F56" s="398" t="s">
        <v>550</v>
      </c>
      <c r="G56" s="398"/>
      <c r="H56" s="398"/>
      <c r="I56" s="398"/>
      <c r="J56" s="398"/>
      <c r="K56" s="398"/>
      <c r="L56" s="398"/>
      <c r="M56" s="399"/>
      <c r="N56" s="239"/>
      <c r="O56" s="74"/>
      <c r="P56" s="402"/>
      <c r="Q56" s="402"/>
      <c r="R56" s="402"/>
      <c r="S56" s="402"/>
      <c r="T56" s="402"/>
      <c r="U56" s="402"/>
      <c r="V56" s="398"/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 t="s">
        <v>472</v>
      </c>
      <c r="B57" s="397"/>
      <c r="C57" s="243" t="s">
        <v>192</v>
      </c>
      <c r="D57" s="240" t="s">
        <v>578</v>
      </c>
      <c r="E57" s="243" t="s">
        <v>579</v>
      </c>
      <c r="F57" s="398" t="s">
        <v>580</v>
      </c>
      <c r="G57" s="398"/>
      <c r="H57" s="398"/>
      <c r="I57" s="398"/>
      <c r="J57" s="398"/>
      <c r="K57" s="398"/>
      <c r="L57" s="398"/>
      <c r="M57" s="399"/>
      <c r="N57" s="239"/>
      <c r="O57" s="74"/>
      <c r="P57" s="402"/>
      <c r="Q57" s="402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 t="s">
        <v>122</v>
      </c>
      <c r="B58" s="397"/>
      <c r="C58" s="243" t="s">
        <v>278</v>
      </c>
      <c r="D58" s="240" t="s">
        <v>484</v>
      </c>
      <c r="E58" s="243" t="s">
        <v>564</v>
      </c>
      <c r="F58" s="398" t="s">
        <v>190</v>
      </c>
      <c r="G58" s="398"/>
      <c r="H58" s="398"/>
      <c r="I58" s="398"/>
      <c r="J58" s="398"/>
      <c r="K58" s="398"/>
      <c r="L58" s="398"/>
      <c r="M58" s="399"/>
      <c r="N58" s="239"/>
      <c r="O58" s="74"/>
      <c r="P58" s="400"/>
      <c r="Q58" s="401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396"/>
      <c r="B59" s="397"/>
      <c r="C59" s="243"/>
      <c r="D59" s="240"/>
      <c r="E59" s="243"/>
      <c r="F59" s="398"/>
      <c r="G59" s="398"/>
      <c r="H59" s="398"/>
      <c r="I59" s="398"/>
      <c r="J59" s="398"/>
      <c r="K59" s="398"/>
      <c r="L59" s="398"/>
      <c r="M59" s="399"/>
      <c r="N59" s="239"/>
      <c r="O59" s="74"/>
      <c r="P59" s="400"/>
      <c r="Q59" s="401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</row>
    <row r="60" spans="1:32" ht="27" customHeight="1">
      <c r="A60" s="412"/>
      <c r="B60" s="402"/>
      <c r="C60" s="240"/>
      <c r="D60" s="240"/>
      <c r="E60" s="240"/>
      <c r="F60" s="398"/>
      <c r="G60" s="398"/>
      <c r="H60" s="398"/>
      <c r="I60" s="398"/>
      <c r="J60" s="398"/>
      <c r="K60" s="398"/>
      <c r="L60" s="398"/>
      <c r="M60" s="399"/>
      <c r="N60" s="239"/>
      <c r="O60" s="74"/>
      <c r="P60" s="402"/>
      <c r="Q60" s="402"/>
      <c r="R60" s="402"/>
      <c r="S60" s="402"/>
      <c r="T60" s="402"/>
      <c r="U60" s="402"/>
      <c r="V60" s="398"/>
      <c r="W60" s="398"/>
      <c r="X60" s="398"/>
      <c r="Y60" s="398"/>
      <c r="Z60" s="398"/>
      <c r="AA60" s="398"/>
      <c r="AB60" s="398"/>
      <c r="AC60" s="398"/>
      <c r="AD60" s="399"/>
      <c r="AF60" s="94">
        <f>8*3000</f>
        <v>24000</v>
      </c>
    </row>
    <row r="61" spans="1:32" ht="27" customHeight="1" thickBot="1">
      <c r="A61" s="403"/>
      <c r="B61" s="404"/>
      <c r="C61" s="242"/>
      <c r="D61" s="242"/>
      <c r="E61" s="242"/>
      <c r="F61" s="405"/>
      <c r="G61" s="405"/>
      <c r="H61" s="405"/>
      <c r="I61" s="405"/>
      <c r="J61" s="405"/>
      <c r="K61" s="405"/>
      <c r="L61" s="405"/>
      <c r="M61" s="406"/>
      <c r="N61" s="241"/>
      <c r="O61" s="121"/>
      <c r="P61" s="404"/>
      <c r="Q61" s="404"/>
      <c r="R61" s="404"/>
      <c r="S61" s="404"/>
      <c r="T61" s="404"/>
      <c r="U61" s="404"/>
      <c r="V61" s="405"/>
      <c r="W61" s="405"/>
      <c r="X61" s="405"/>
      <c r="Y61" s="405"/>
      <c r="Z61" s="405"/>
      <c r="AA61" s="405"/>
      <c r="AB61" s="405"/>
      <c r="AC61" s="405"/>
      <c r="AD61" s="406"/>
      <c r="AF61" s="94">
        <f>16*3000</f>
        <v>48000</v>
      </c>
    </row>
    <row r="62" spans="1:32" ht="27.75" thickBot="1">
      <c r="A62" s="407" t="s">
        <v>586</v>
      </c>
      <c r="B62" s="407"/>
      <c r="C62" s="407"/>
      <c r="D62" s="407"/>
      <c r="E62" s="40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08" t="s">
        <v>113</v>
      </c>
      <c r="B63" s="409"/>
      <c r="C63" s="238" t="s">
        <v>2</v>
      </c>
      <c r="D63" s="238" t="s">
        <v>37</v>
      </c>
      <c r="E63" s="238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238" t="s">
        <v>40</v>
      </c>
      <c r="N63" s="409" t="s">
        <v>41</v>
      </c>
      <c r="O63" s="409"/>
      <c r="P63" s="410" t="s">
        <v>42</v>
      </c>
      <c r="Q63" s="411"/>
      <c r="R63" s="410" t="s">
        <v>43</v>
      </c>
      <c r="S63" s="413"/>
      <c r="T63" s="413"/>
      <c r="U63" s="413"/>
      <c r="V63" s="413"/>
      <c r="W63" s="413"/>
      <c r="X63" s="413"/>
      <c r="Y63" s="413"/>
      <c r="Z63" s="413"/>
      <c r="AA63" s="411"/>
      <c r="AB63" s="409" t="s">
        <v>44</v>
      </c>
      <c r="AC63" s="409"/>
      <c r="AD63" s="414"/>
      <c r="AF63" s="94">
        <f>SUM(AF60:AF62)</f>
        <v>96000</v>
      </c>
    </row>
    <row r="64" spans="1:32" ht="25.5" customHeight="1">
      <c r="A64" s="415">
        <v>1</v>
      </c>
      <c r="B64" s="416"/>
      <c r="C64" s="124" t="s">
        <v>587</v>
      </c>
      <c r="D64" s="234"/>
      <c r="E64" s="237" t="s">
        <v>133</v>
      </c>
      <c r="F64" s="417" t="s">
        <v>588</v>
      </c>
      <c r="G64" s="418"/>
      <c r="H64" s="418"/>
      <c r="I64" s="418"/>
      <c r="J64" s="418"/>
      <c r="K64" s="418" t="s">
        <v>589</v>
      </c>
      <c r="L64" s="418"/>
      <c r="M64" s="54" t="s">
        <v>397</v>
      </c>
      <c r="N64" s="418">
        <v>4</v>
      </c>
      <c r="O64" s="418"/>
      <c r="P64" s="419">
        <v>100</v>
      </c>
      <c r="Q64" s="419"/>
      <c r="R64" s="398" t="s">
        <v>590</v>
      </c>
      <c r="S64" s="398"/>
      <c r="T64" s="398"/>
      <c r="U64" s="398"/>
      <c r="V64" s="398"/>
      <c r="W64" s="398"/>
      <c r="X64" s="398"/>
      <c r="Y64" s="398"/>
      <c r="Z64" s="398"/>
      <c r="AA64" s="398"/>
      <c r="AB64" s="418"/>
      <c r="AC64" s="418"/>
      <c r="AD64" s="420"/>
      <c r="AF64" s="53"/>
    </row>
    <row r="65" spans="1:32" ht="25.5" customHeight="1">
      <c r="A65" s="415">
        <v>2</v>
      </c>
      <c r="B65" s="416"/>
      <c r="C65" s="124" t="s">
        <v>122</v>
      </c>
      <c r="D65" s="234"/>
      <c r="E65" s="237" t="s">
        <v>591</v>
      </c>
      <c r="F65" s="417" t="s">
        <v>592</v>
      </c>
      <c r="G65" s="418"/>
      <c r="H65" s="418"/>
      <c r="I65" s="418"/>
      <c r="J65" s="418"/>
      <c r="K65" s="418" t="s">
        <v>593</v>
      </c>
      <c r="L65" s="418"/>
      <c r="M65" s="54" t="s">
        <v>594</v>
      </c>
      <c r="N65" s="418">
        <v>2</v>
      </c>
      <c r="O65" s="418"/>
      <c r="P65" s="419">
        <v>200</v>
      </c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3</v>
      </c>
      <c r="B66" s="416"/>
      <c r="C66" s="124" t="s">
        <v>122</v>
      </c>
      <c r="D66" s="234"/>
      <c r="E66" s="237" t="s">
        <v>595</v>
      </c>
      <c r="F66" s="417" t="s">
        <v>596</v>
      </c>
      <c r="G66" s="418"/>
      <c r="H66" s="418"/>
      <c r="I66" s="418"/>
      <c r="J66" s="418"/>
      <c r="K66" s="418" t="s">
        <v>597</v>
      </c>
      <c r="L66" s="418"/>
      <c r="M66" s="54" t="s">
        <v>594</v>
      </c>
      <c r="N66" s="418">
        <v>2</v>
      </c>
      <c r="O66" s="418"/>
      <c r="P66" s="419">
        <v>200</v>
      </c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4</v>
      </c>
      <c r="B67" s="416"/>
      <c r="C67" s="124"/>
      <c r="D67" s="234"/>
      <c r="E67" s="237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5</v>
      </c>
      <c r="B68" s="416"/>
      <c r="C68" s="124"/>
      <c r="D68" s="234"/>
      <c r="E68" s="237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6</v>
      </c>
      <c r="B69" s="416"/>
      <c r="C69" s="124"/>
      <c r="D69" s="234"/>
      <c r="E69" s="237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7</v>
      </c>
      <c r="B70" s="416"/>
      <c r="C70" s="124"/>
      <c r="D70" s="234"/>
      <c r="E70" s="237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5.5" customHeight="1">
      <c r="A71" s="415">
        <v>8</v>
      </c>
      <c r="B71" s="416"/>
      <c r="C71" s="124"/>
      <c r="D71" s="234"/>
      <c r="E71" s="237"/>
      <c r="F71" s="417"/>
      <c r="G71" s="418"/>
      <c r="H71" s="418"/>
      <c r="I71" s="418"/>
      <c r="J71" s="418"/>
      <c r="K71" s="418"/>
      <c r="L71" s="418"/>
      <c r="M71" s="54"/>
      <c r="N71" s="418"/>
      <c r="O71" s="418"/>
      <c r="P71" s="419"/>
      <c r="Q71" s="419"/>
      <c r="R71" s="398"/>
      <c r="S71" s="398"/>
      <c r="T71" s="398"/>
      <c r="U71" s="398"/>
      <c r="V71" s="398"/>
      <c r="W71" s="398"/>
      <c r="X71" s="398"/>
      <c r="Y71" s="398"/>
      <c r="Z71" s="398"/>
      <c r="AA71" s="398"/>
      <c r="AB71" s="418"/>
      <c r="AC71" s="418"/>
      <c r="AD71" s="420"/>
      <c r="AF71" s="53"/>
    </row>
    <row r="72" spans="1:32" ht="26.25" customHeight="1" thickBot="1">
      <c r="A72" s="421" t="s">
        <v>598</v>
      </c>
      <c r="B72" s="421"/>
      <c r="C72" s="421"/>
      <c r="D72" s="421"/>
      <c r="E72" s="421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2" t="s">
        <v>113</v>
      </c>
      <c r="B73" s="423"/>
      <c r="C73" s="236" t="s">
        <v>2</v>
      </c>
      <c r="D73" s="236" t="s">
        <v>37</v>
      </c>
      <c r="E73" s="236" t="s">
        <v>3</v>
      </c>
      <c r="F73" s="423" t="s">
        <v>38</v>
      </c>
      <c r="G73" s="423"/>
      <c r="H73" s="423"/>
      <c r="I73" s="423"/>
      <c r="J73" s="423"/>
      <c r="K73" s="424" t="s">
        <v>58</v>
      </c>
      <c r="L73" s="425"/>
      <c r="M73" s="425"/>
      <c r="N73" s="425"/>
      <c r="O73" s="425"/>
      <c r="P73" s="425"/>
      <c r="Q73" s="425"/>
      <c r="R73" s="425"/>
      <c r="S73" s="426"/>
      <c r="T73" s="423" t="s">
        <v>49</v>
      </c>
      <c r="U73" s="423"/>
      <c r="V73" s="424" t="s">
        <v>50</v>
      </c>
      <c r="W73" s="426"/>
      <c r="X73" s="425" t="s">
        <v>51</v>
      </c>
      <c r="Y73" s="425"/>
      <c r="Z73" s="425"/>
      <c r="AA73" s="425"/>
      <c r="AB73" s="425"/>
      <c r="AC73" s="425"/>
      <c r="AD73" s="427"/>
      <c r="AF73" s="53"/>
    </row>
    <row r="74" spans="1:32" ht="33.75" customHeight="1">
      <c r="A74" s="436">
        <v>1</v>
      </c>
      <c r="B74" s="437"/>
      <c r="C74" s="235" t="s">
        <v>114</v>
      </c>
      <c r="D74" s="235"/>
      <c r="E74" s="71" t="s">
        <v>119</v>
      </c>
      <c r="F74" s="438" t="s">
        <v>120</v>
      </c>
      <c r="G74" s="439"/>
      <c r="H74" s="439"/>
      <c r="I74" s="439"/>
      <c r="J74" s="440"/>
      <c r="K74" s="441" t="s">
        <v>115</v>
      </c>
      <c r="L74" s="442"/>
      <c r="M74" s="442"/>
      <c r="N74" s="442"/>
      <c r="O74" s="442"/>
      <c r="P74" s="442"/>
      <c r="Q74" s="442"/>
      <c r="R74" s="442"/>
      <c r="S74" s="443"/>
      <c r="T74" s="444">
        <v>42901</v>
      </c>
      <c r="U74" s="445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28">
        <f>A74+1</f>
        <v>2</v>
      </c>
      <c r="B75" s="429"/>
      <c r="C75" s="234" t="s">
        <v>114</v>
      </c>
      <c r="D75" s="234"/>
      <c r="E75" s="35" t="s">
        <v>116</v>
      </c>
      <c r="F75" s="429" t="s">
        <v>117</v>
      </c>
      <c r="G75" s="429"/>
      <c r="H75" s="429"/>
      <c r="I75" s="429"/>
      <c r="J75" s="429"/>
      <c r="K75" s="430" t="s">
        <v>118</v>
      </c>
      <c r="L75" s="431"/>
      <c r="M75" s="431"/>
      <c r="N75" s="431"/>
      <c r="O75" s="431"/>
      <c r="P75" s="431"/>
      <c r="Q75" s="431"/>
      <c r="R75" s="431"/>
      <c r="S75" s="432"/>
      <c r="T75" s="433">
        <v>42867</v>
      </c>
      <c r="U75" s="433"/>
      <c r="V75" s="433"/>
      <c r="W75" s="433"/>
      <c r="X75" s="434"/>
      <c r="Y75" s="434"/>
      <c r="Z75" s="434"/>
      <c r="AA75" s="434"/>
      <c r="AB75" s="434"/>
      <c r="AC75" s="434"/>
      <c r="AD75" s="435"/>
      <c r="AF75" s="53"/>
    </row>
    <row r="76" spans="1:32" ht="30" customHeight="1">
      <c r="A76" s="428">
        <f t="shared" ref="A76:A82" si="20">A75+1</f>
        <v>3</v>
      </c>
      <c r="B76" s="429"/>
      <c r="C76" s="234"/>
      <c r="D76" s="234"/>
      <c r="E76" s="35"/>
      <c r="F76" s="429"/>
      <c r="G76" s="429"/>
      <c r="H76" s="429"/>
      <c r="I76" s="429"/>
      <c r="J76" s="429"/>
      <c r="K76" s="430"/>
      <c r="L76" s="431"/>
      <c r="M76" s="431"/>
      <c r="N76" s="431"/>
      <c r="O76" s="431"/>
      <c r="P76" s="431"/>
      <c r="Q76" s="431"/>
      <c r="R76" s="431"/>
      <c r="S76" s="432"/>
      <c r="T76" s="433"/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si="20"/>
        <v>4</v>
      </c>
      <c r="B77" s="429"/>
      <c r="C77" s="234"/>
      <c r="D77" s="234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20"/>
        <v>5</v>
      </c>
      <c r="B78" s="429"/>
      <c r="C78" s="234"/>
      <c r="D78" s="234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20"/>
        <v>6</v>
      </c>
      <c r="B79" s="429"/>
      <c r="C79" s="234"/>
      <c r="D79" s="234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20"/>
        <v>7</v>
      </c>
      <c r="B80" s="429"/>
      <c r="C80" s="234"/>
      <c r="D80" s="234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20"/>
        <v>8</v>
      </c>
      <c r="B81" s="429"/>
      <c r="C81" s="234"/>
      <c r="D81" s="234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0" customHeight="1">
      <c r="A82" s="428">
        <f t="shared" si="20"/>
        <v>9</v>
      </c>
      <c r="B82" s="429"/>
      <c r="C82" s="234"/>
      <c r="D82" s="234"/>
      <c r="E82" s="35"/>
      <c r="F82" s="429"/>
      <c r="G82" s="429"/>
      <c r="H82" s="429"/>
      <c r="I82" s="429"/>
      <c r="J82" s="429"/>
      <c r="K82" s="430"/>
      <c r="L82" s="431"/>
      <c r="M82" s="431"/>
      <c r="N82" s="431"/>
      <c r="O82" s="431"/>
      <c r="P82" s="431"/>
      <c r="Q82" s="431"/>
      <c r="R82" s="431"/>
      <c r="S82" s="432"/>
      <c r="T82" s="433"/>
      <c r="U82" s="433"/>
      <c r="V82" s="433"/>
      <c r="W82" s="433"/>
      <c r="X82" s="434"/>
      <c r="Y82" s="434"/>
      <c r="Z82" s="434"/>
      <c r="AA82" s="434"/>
      <c r="AB82" s="434"/>
      <c r="AC82" s="434"/>
      <c r="AD82" s="435"/>
      <c r="AF82" s="53"/>
    </row>
    <row r="83" spans="1:32" ht="36" thickBot="1">
      <c r="A83" s="421" t="s">
        <v>599</v>
      </c>
      <c r="B83" s="421"/>
      <c r="C83" s="421"/>
      <c r="D83" s="421"/>
      <c r="E83" s="421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22" t="s">
        <v>113</v>
      </c>
      <c r="B84" s="423"/>
      <c r="C84" s="449" t="s">
        <v>52</v>
      </c>
      <c r="D84" s="449"/>
      <c r="E84" s="449" t="s">
        <v>53</v>
      </c>
      <c r="F84" s="449"/>
      <c r="G84" s="449"/>
      <c r="H84" s="449"/>
      <c r="I84" s="449"/>
      <c r="J84" s="449"/>
      <c r="K84" s="449" t="s">
        <v>54</v>
      </c>
      <c r="L84" s="449"/>
      <c r="M84" s="449"/>
      <c r="N84" s="449"/>
      <c r="O84" s="449"/>
      <c r="P84" s="449"/>
      <c r="Q84" s="449"/>
      <c r="R84" s="449"/>
      <c r="S84" s="449"/>
      <c r="T84" s="449" t="s">
        <v>55</v>
      </c>
      <c r="U84" s="449"/>
      <c r="V84" s="449" t="s">
        <v>56</v>
      </c>
      <c r="W84" s="449"/>
      <c r="X84" s="449"/>
      <c r="Y84" s="449" t="s">
        <v>51</v>
      </c>
      <c r="Z84" s="449"/>
      <c r="AA84" s="449"/>
      <c r="AB84" s="449"/>
      <c r="AC84" s="449"/>
      <c r="AD84" s="450"/>
      <c r="AF84" s="53"/>
    </row>
    <row r="85" spans="1:32" ht="30.75" customHeight="1">
      <c r="A85" s="436">
        <v>1</v>
      </c>
      <c r="B85" s="437"/>
      <c r="C85" s="451"/>
      <c r="D85" s="451"/>
      <c r="E85" s="451"/>
      <c r="F85" s="451"/>
      <c r="G85" s="451"/>
      <c r="H85" s="451"/>
      <c r="I85" s="451"/>
      <c r="J85" s="451"/>
      <c r="K85" s="451"/>
      <c r="L85" s="451"/>
      <c r="M85" s="451"/>
      <c r="N85" s="451"/>
      <c r="O85" s="451"/>
      <c r="P85" s="451"/>
      <c r="Q85" s="451"/>
      <c r="R85" s="451"/>
      <c r="S85" s="451"/>
      <c r="T85" s="451"/>
      <c r="U85" s="451"/>
      <c r="V85" s="452"/>
      <c r="W85" s="452"/>
      <c r="X85" s="452"/>
      <c r="Y85" s="453"/>
      <c r="Z85" s="453"/>
      <c r="AA85" s="453"/>
      <c r="AB85" s="453"/>
      <c r="AC85" s="453"/>
      <c r="AD85" s="454"/>
      <c r="AF85" s="53"/>
    </row>
    <row r="86" spans="1:32" ht="30.75" customHeight="1">
      <c r="A86" s="428">
        <v>2</v>
      </c>
      <c r="B86" s="429"/>
      <c r="C86" s="462"/>
      <c r="D86" s="462"/>
      <c r="E86" s="462"/>
      <c r="F86" s="462"/>
      <c r="G86" s="462"/>
      <c r="H86" s="462"/>
      <c r="I86" s="462"/>
      <c r="J86" s="462"/>
      <c r="K86" s="462"/>
      <c r="L86" s="462"/>
      <c r="M86" s="462"/>
      <c r="N86" s="462"/>
      <c r="O86" s="462"/>
      <c r="P86" s="462"/>
      <c r="Q86" s="462"/>
      <c r="R86" s="462"/>
      <c r="S86" s="462"/>
      <c r="T86" s="463"/>
      <c r="U86" s="463"/>
      <c r="V86" s="464"/>
      <c r="W86" s="464"/>
      <c r="X86" s="464"/>
      <c r="Y86" s="455"/>
      <c r="Z86" s="455"/>
      <c r="AA86" s="455"/>
      <c r="AB86" s="455"/>
      <c r="AC86" s="455"/>
      <c r="AD86" s="456"/>
      <c r="AF86" s="53"/>
    </row>
    <row r="87" spans="1:32" ht="30.75" customHeight="1" thickBot="1">
      <c r="A87" s="457">
        <v>3</v>
      </c>
      <c r="B87" s="458"/>
      <c r="C87" s="459"/>
      <c r="D87" s="459"/>
      <c r="E87" s="459"/>
      <c r="F87" s="459"/>
      <c r="G87" s="459"/>
      <c r="H87" s="459"/>
      <c r="I87" s="459"/>
      <c r="J87" s="459"/>
      <c r="K87" s="459"/>
      <c r="L87" s="459"/>
      <c r="M87" s="459"/>
      <c r="N87" s="459"/>
      <c r="O87" s="459"/>
      <c r="P87" s="459"/>
      <c r="Q87" s="459"/>
      <c r="R87" s="459"/>
      <c r="S87" s="459"/>
      <c r="T87" s="459"/>
      <c r="U87" s="459"/>
      <c r="V87" s="459"/>
      <c r="W87" s="459"/>
      <c r="X87" s="459"/>
      <c r="Y87" s="460"/>
      <c r="Z87" s="460"/>
      <c r="AA87" s="460"/>
      <c r="AB87" s="460"/>
      <c r="AC87" s="460"/>
      <c r="AD87" s="461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topLeftCell="A25" zoomScale="72" zoomScaleNormal="72" zoomScaleSheetLayoutView="70" workbookViewId="0">
      <selection activeCell="A54" sqref="A54:M5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5" t="s">
        <v>600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2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246" t="s">
        <v>17</v>
      </c>
      <c r="L5" s="246" t="s">
        <v>18</v>
      </c>
      <c r="M5" s="246" t="s">
        <v>19</v>
      </c>
      <c r="N5" s="24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2" ht="27" customHeight="1">
      <c r="A6" s="108">
        <v>1</v>
      </c>
      <c r="B6" s="11" t="s">
        <v>57</v>
      </c>
      <c r="C6" s="37" t="s">
        <v>122</v>
      </c>
      <c r="D6" s="55" t="s">
        <v>127</v>
      </c>
      <c r="E6" s="57" t="s">
        <v>367</v>
      </c>
      <c r="F6" s="33" t="s">
        <v>153</v>
      </c>
      <c r="G6" s="36">
        <v>1</v>
      </c>
      <c r="H6" s="38">
        <v>25</v>
      </c>
      <c r="I6" s="7">
        <v>11000</v>
      </c>
      <c r="J6" s="5">
        <v>4520</v>
      </c>
      <c r="K6" s="15">
        <f>L6+4098+4720+5063+4243+4675</f>
        <v>27319</v>
      </c>
      <c r="L6" s="15">
        <f>2109+2411</f>
        <v>4520</v>
      </c>
      <c r="M6" s="16">
        <f t="shared" ref="M6:M21" si="0">L6-N6</f>
        <v>4520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24</v>
      </c>
      <c r="Q6" s="43">
        <f t="shared" ref="Q6:Q21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9">
        <f t="shared" ref="AE6:AE12" si="7">$AD$22</f>
        <v>0.58309079001821407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123</v>
      </c>
      <c r="D7" s="55" t="s">
        <v>156</v>
      </c>
      <c r="E7" s="57" t="s">
        <v>311</v>
      </c>
      <c r="F7" s="33" t="s">
        <v>312</v>
      </c>
      <c r="G7" s="12">
        <v>3</v>
      </c>
      <c r="H7" s="13">
        <v>25</v>
      </c>
      <c r="I7" s="34">
        <v>100000</v>
      </c>
      <c r="J7" s="5">
        <v>15560</v>
      </c>
      <c r="K7" s="15">
        <f>L7+11583+14484+15558</f>
        <v>41625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0.58309079001821407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472</v>
      </c>
      <c r="D8" s="55" t="s">
        <v>561</v>
      </c>
      <c r="E8" s="57" t="s">
        <v>562</v>
      </c>
      <c r="F8" s="33" t="s">
        <v>529</v>
      </c>
      <c r="G8" s="12">
        <v>2</v>
      </c>
      <c r="H8" s="13">
        <v>25</v>
      </c>
      <c r="I8" s="34">
        <v>80000</v>
      </c>
      <c r="J8" s="5">
        <v>12980</v>
      </c>
      <c r="K8" s="15">
        <f>L8+6076</f>
        <v>19050</v>
      </c>
      <c r="L8" s="15">
        <f>3466*2+3021*2</f>
        <v>12974</v>
      </c>
      <c r="M8" s="16">
        <f t="shared" si="0"/>
        <v>12974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0.99953775038520798</v>
      </c>
      <c r="AC8" s="9">
        <f t="shared" si="5"/>
        <v>1</v>
      </c>
      <c r="AD8" s="10">
        <f t="shared" si="6"/>
        <v>0.99953775038520798</v>
      </c>
      <c r="AE8" s="39">
        <f t="shared" si="7"/>
        <v>0.58309079001821407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122</v>
      </c>
      <c r="D9" s="55" t="s">
        <v>121</v>
      </c>
      <c r="E9" s="57" t="s">
        <v>154</v>
      </c>
      <c r="F9" s="33" t="s">
        <v>140</v>
      </c>
      <c r="G9" s="36">
        <v>1</v>
      </c>
      <c r="H9" s="38">
        <v>25</v>
      </c>
      <c r="I9" s="7">
        <v>17000</v>
      </c>
      <c r="J9" s="5">
        <v>5020</v>
      </c>
      <c r="K9" s="15">
        <f>L9+4446</f>
        <v>9458</v>
      </c>
      <c r="L9" s="15">
        <f>3058+1954</f>
        <v>5012</v>
      </c>
      <c r="M9" s="16">
        <f t="shared" si="0"/>
        <v>5012</v>
      </c>
      <c r="N9" s="16">
        <v>0</v>
      </c>
      <c r="O9" s="62">
        <f t="shared" si="1"/>
        <v>0</v>
      </c>
      <c r="P9" s="42">
        <f t="shared" si="2"/>
        <v>21</v>
      </c>
      <c r="Q9" s="43">
        <f t="shared" si="3"/>
        <v>3</v>
      </c>
      <c r="R9" s="7"/>
      <c r="S9" s="6"/>
      <c r="T9" s="17"/>
      <c r="U9" s="17"/>
      <c r="V9" s="18"/>
      <c r="W9" s="19"/>
      <c r="X9" s="17"/>
      <c r="Y9" s="20"/>
      <c r="Z9" s="20"/>
      <c r="AA9" s="21">
        <v>3</v>
      </c>
      <c r="AB9" s="8">
        <f t="shared" si="4"/>
        <v>0.99840637450199199</v>
      </c>
      <c r="AC9" s="9">
        <f t="shared" si="5"/>
        <v>0.875</v>
      </c>
      <c r="AD9" s="10">
        <f t="shared" si="6"/>
        <v>0.87360557768924296</v>
      </c>
      <c r="AE9" s="39">
        <f t="shared" si="7"/>
        <v>0.58309079001821407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146</v>
      </c>
      <c r="D10" s="55" t="s">
        <v>488</v>
      </c>
      <c r="E10" s="57" t="s">
        <v>439</v>
      </c>
      <c r="F10" s="12" t="s">
        <v>566</v>
      </c>
      <c r="G10" s="12" t="s">
        <v>567</v>
      </c>
      <c r="H10" s="13">
        <v>20</v>
      </c>
      <c r="I10" s="34">
        <v>4000</v>
      </c>
      <c r="J10" s="14">
        <v>800</v>
      </c>
      <c r="K10" s="15">
        <f>L10+3096</f>
        <v>3896</v>
      </c>
      <c r="L10" s="15">
        <v>800</v>
      </c>
      <c r="M10" s="16">
        <f t="shared" si="0"/>
        <v>800</v>
      </c>
      <c r="N10" s="16">
        <v>0</v>
      </c>
      <c r="O10" s="62">
        <f t="shared" si="1"/>
        <v>0</v>
      </c>
      <c r="P10" s="42">
        <f t="shared" si="2"/>
        <v>5</v>
      </c>
      <c r="Q10" s="43">
        <f t="shared" si="3"/>
        <v>19</v>
      </c>
      <c r="R10" s="7"/>
      <c r="S10" s="6"/>
      <c r="T10" s="17"/>
      <c r="U10" s="17"/>
      <c r="V10" s="18"/>
      <c r="W10" s="19">
        <v>19</v>
      </c>
      <c r="X10" s="17"/>
      <c r="Y10" s="20"/>
      <c r="Z10" s="20"/>
      <c r="AA10" s="21"/>
      <c r="AB10" s="8">
        <f t="shared" si="4"/>
        <v>1</v>
      </c>
      <c r="AC10" s="9">
        <f t="shared" si="5"/>
        <v>0.20833333333333334</v>
      </c>
      <c r="AD10" s="10">
        <f t="shared" si="6"/>
        <v>0.20833333333333334</v>
      </c>
      <c r="AE10" s="39">
        <f t="shared" si="7"/>
        <v>0.58309079001821407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472</v>
      </c>
      <c r="D11" s="55" t="s">
        <v>121</v>
      </c>
      <c r="E11" s="57" t="s">
        <v>568</v>
      </c>
      <c r="F11" s="12" t="s">
        <v>557</v>
      </c>
      <c r="G11" s="12">
        <v>2</v>
      </c>
      <c r="H11" s="13">
        <v>25</v>
      </c>
      <c r="I11" s="34">
        <v>80000</v>
      </c>
      <c r="J11" s="14">
        <v>8520</v>
      </c>
      <c r="K11" s="15">
        <f>L11+3674</f>
        <v>12194</v>
      </c>
      <c r="L11" s="15">
        <f>2862*2+1398*2</f>
        <v>8520</v>
      </c>
      <c r="M11" s="16">
        <f t="shared" si="0"/>
        <v>8520</v>
      </c>
      <c r="N11" s="16">
        <v>0</v>
      </c>
      <c r="O11" s="62">
        <f t="shared" si="1"/>
        <v>0</v>
      </c>
      <c r="P11" s="42">
        <f t="shared" si="2"/>
        <v>20</v>
      </c>
      <c r="Q11" s="43">
        <f t="shared" si="3"/>
        <v>4</v>
      </c>
      <c r="R11" s="7"/>
      <c r="S11" s="6">
        <v>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0.83333333333333337</v>
      </c>
      <c r="AD11" s="10">
        <f t="shared" si="6"/>
        <v>0.83333333333333337</v>
      </c>
      <c r="AE11" s="39">
        <f t="shared" si="7"/>
        <v>0.58309079001821407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122</v>
      </c>
      <c r="D12" s="55" t="s">
        <v>133</v>
      </c>
      <c r="E12" s="57" t="s">
        <v>469</v>
      </c>
      <c r="F12" s="12" t="s">
        <v>350</v>
      </c>
      <c r="G12" s="12">
        <v>1</v>
      </c>
      <c r="H12" s="13">
        <v>25</v>
      </c>
      <c r="I12" s="7">
        <v>30000</v>
      </c>
      <c r="J12" s="14">
        <v>2590</v>
      </c>
      <c r="K12" s="15">
        <f>L12+3124+3021+1845</f>
        <v>10576</v>
      </c>
      <c r="L12" s="15">
        <f>2101+485</f>
        <v>2586</v>
      </c>
      <c r="M12" s="16">
        <f t="shared" si="0"/>
        <v>2586</v>
      </c>
      <c r="N12" s="16">
        <v>0</v>
      </c>
      <c r="O12" s="62">
        <f t="shared" si="1"/>
        <v>0</v>
      </c>
      <c r="P12" s="42">
        <f t="shared" si="2"/>
        <v>16</v>
      </c>
      <c r="Q12" s="43">
        <f t="shared" si="3"/>
        <v>8</v>
      </c>
      <c r="R12" s="7"/>
      <c r="S12" s="6">
        <v>8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0.9984555984555985</v>
      </c>
      <c r="AC12" s="9">
        <f t="shared" si="5"/>
        <v>0.66666666666666663</v>
      </c>
      <c r="AD12" s="10">
        <f t="shared" si="6"/>
        <v>0.66563706563706559</v>
      </c>
      <c r="AE12" s="39">
        <f t="shared" si="7"/>
        <v>0.58309079001821407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122</v>
      </c>
      <c r="D13" s="55" t="s">
        <v>133</v>
      </c>
      <c r="E13" s="57" t="s">
        <v>401</v>
      </c>
      <c r="F13" s="12" t="s">
        <v>402</v>
      </c>
      <c r="G13" s="12">
        <v>1</v>
      </c>
      <c r="H13" s="13">
        <v>25</v>
      </c>
      <c r="I13" s="7">
        <v>4000</v>
      </c>
      <c r="J13" s="14">
        <v>1090</v>
      </c>
      <c r="K13" s="15">
        <f>L13+2605</f>
        <v>3695</v>
      </c>
      <c r="L13" s="15">
        <v>1090</v>
      </c>
      <c r="M13" s="16">
        <f t="shared" si="0"/>
        <v>1090</v>
      </c>
      <c r="N13" s="16">
        <v>0</v>
      </c>
      <c r="O13" s="62">
        <f t="shared" si="1"/>
        <v>0</v>
      </c>
      <c r="P13" s="42">
        <f t="shared" si="2"/>
        <v>8</v>
      </c>
      <c r="Q13" s="43">
        <f t="shared" si="3"/>
        <v>16</v>
      </c>
      <c r="R13" s="7"/>
      <c r="S13" s="6"/>
      <c r="T13" s="17"/>
      <c r="U13" s="17"/>
      <c r="V13" s="18"/>
      <c r="W13" s="19">
        <v>16</v>
      </c>
      <c r="X13" s="17"/>
      <c r="Y13" s="20"/>
      <c r="Z13" s="20"/>
      <c r="AA13" s="21"/>
      <c r="AB13" s="8">
        <f t="shared" si="4"/>
        <v>1</v>
      </c>
      <c r="AC13" s="9">
        <f t="shared" si="5"/>
        <v>0.33333333333333331</v>
      </c>
      <c r="AD13" s="10">
        <f t="shared" si="6"/>
        <v>0.33333333333333331</v>
      </c>
      <c r="AE13" s="39">
        <f t="shared" ref="AE13" si="9">$AD$21</f>
        <v>0</v>
      </c>
      <c r="AF13" s="94">
        <f t="shared" si="8"/>
        <v>8</v>
      </c>
    </row>
    <row r="14" spans="1:32" ht="27" customHeight="1">
      <c r="A14" s="110">
        <v>8</v>
      </c>
      <c r="B14" s="11" t="s">
        <v>57</v>
      </c>
      <c r="C14" s="11" t="s">
        <v>122</v>
      </c>
      <c r="D14" s="55" t="s">
        <v>144</v>
      </c>
      <c r="E14" s="57" t="s">
        <v>177</v>
      </c>
      <c r="F14" s="12" t="s">
        <v>491</v>
      </c>
      <c r="G14" s="12">
        <v>1</v>
      </c>
      <c r="H14" s="13">
        <v>25</v>
      </c>
      <c r="I14" s="7">
        <v>15000</v>
      </c>
      <c r="J14" s="14">
        <v>2610</v>
      </c>
      <c r="K14" s="15">
        <f>L14+3142+2378</f>
        <v>8128</v>
      </c>
      <c r="L14" s="15">
        <v>2608</v>
      </c>
      <c r="M14" s="16">
        <f t="shared" si="0"/>
        <v>2608</v>
      </c>
      <c r="N14" s="16">
        <v>0</v>
      </c>
      <c r="O14" s="62">
        <f t="shared" si="1"/>
        <v>0</v>
      </c>
      <c r="P14" s="42">
        <f t="shared" si="2"/>
        <v>14</v>
      </c>
      <c r="Q14" s="43">
        <f t="shared" si="3"/>
        <v>10</v>
      </c>
      <c r="R14" s="7"/>
      <c r="S14" s="6">
        <v>10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0.99923371647509573</v>
      </c>
      <c r="AC14" s="9">
        <f t="shared" si="5"/>
        <v>0.58333333333333337</v>
      </c>
      <c r="AD14" s="10">
        <f t="shared" si="6"/>
        <v>0.58288633461047257</v>
      </c>
      <c r="AE14" s="39">
        <f t="shared" ref="AE14:AE21" si="10">$AD$22</f>
        <v>0.58309079001821407</v>
      </c>
      <c r="AF14" s="94">
        <f t="shared" si="8"/>
        <v>8</v>
      </c>
    </row>
    <row r="15" spans="1:32" ht="27" customHeight="1">
      <c r="A15" s="109">
        <v>9</v>
      </c>
      <c r="B15" s="11" t="s">
        <v>57</v>
      </c>
      <c r="C15" s="37" t="s">
        <v>114</v>
      </c>
      <c r="D15" s="55" t="s">
        <v>128</v>
      </c>
      <c r="E15" s="57" t="s">
        <v>174</v>
      </c>
      <c r="F15" s="33" t="s">
        <v>181</v>
      </c>
      <c r="G15" s="36">
        <v>1</v>
      </c>
      <c r="H15" s="38">
        <v>25</v>
      </c>
      <c r="I15" s="7">
        <v>200</v>
      </c>
      <c r="J15" s="5">
        <v>206</v>
      </c>
      <c r="K15" s="15">
        <f>L15+190+206</f>
        <v>396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10"/>
        <v>0.58309079001821407</v>
      </c>
      <c r="AF15" s="94">
        <f t="shared" si="8"/>
        <v>9</v>
      </c>
    </row>
    <row r="16" spans="1:32" ht="27" customHeight="1">
      <c r="A16" s="109">
        <v>10</v>
      </c>
      <c r="B16" s="11" t="s">
        <v>57</v>
      </c>
      <c r="C16" s="11" t="s">
        <v>123</v>
      </c>
      <c r="D16" s="55" t="s">
        <v>249</v>
      </c>
      <c r="E16" s="57" t="s">
        <v>247</v>
      </c>
      <c r="F16" s="12" t="s">
        <v>151</v>
      </c>
      <c r="G16" s="12">
        <v>4</v>
      </c>
      <c r="H16" s="13">
        <v>24</v>
      </c>
      <c r="I16" s="34">
        <v>30000</v>
      </c>
      <c r="J16" s="14">
        <v>23320</v>
      </c>
      <c r="K16" s="15">
        <f>L16+21536+23312</f>
        <v>44848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10"/>
        <v>0.58309079001821407</v>
      </c>
      <c r="AF16" s="94">
        <f t="shared" si="8"/>
        <v>10</v>
      </c>
    </row>
    <row r="17" spans="1:36" ht="27.75" customHeight="1">
      <c r="A17" s="109">
        <v>11</v>
      </c>
      <c r="B17" s="11" t="s">
        <v>57</v>
      </c>
      <c r="C17" s="11" t="s">
        <v>472</v>
      </c>
      <c r="D17" s="55" t="s">
        <v>135</v>
      </c>
      <c r="E17" s="56" t="s">
        <v>528</v>
      </c>
      <c r="F17" s="12" t="s">
        <v>529</v>
      </c>
      <c r="G17" s="36">
        <v>2</v>
      </c>
      <c r="H17" s="38">
        <v>25</v>
      </c>
      <c r="I17" s="7">
        <v>80000</v>
      </c>
      <c r="J17" s="14">
        <v>12610</v>
      </c>
      <c r="K17" s="15">
        <f>L17+5764+11522</f>
        <v>29896</v>
      </c>
      <c r="L17" s="15">
        <f>3324*2+2981*2</f>
        <v>12610</v>
      </c>
      <c r="M17" s="16">
        <f t="shared" si="0"/>
        <v>12610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10"/>
        <v>0.58309079001821407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57</v>
      </c>
      <c r="C18" s="37" t="s">
        <v>472</v>
      </c>
      <c r="D18" s="55" t="s">
        <v>127</v>
      </c>
      <c r="E18" s="57" t="s">
        <v>570</v>
      </c>
      <c r="F18" s="12" t="s">
        <v>557</v>
      </c>
      <c r="G18" s="12">
        <v>2</v>
      </c>
      <c r="H18" s="13">
        <v>25</v>
      </c>
      <c r="I18" s="34">
        <v>80000</v>
      </c>
      <c r="J18" s="5">
        <v>13120</v>
      </c>
      <c r="K18" s="15">
        <f>L18+10938</f>
        <v>24054</v>
      </c>
      <c r="L18" s="15">
        <f>3482*2+3076*2</f>
        <v>13116</v>
      </c>
      <c r="M18" s="16">
        <f t="shared" si="0"/>
        <v>13116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0.99969512195121957</v>
      </c>
      <c r="AC18" s="9">
        <f t="shared" si="5"/>
        <v>1</v>
      </c>
      <c r="AD18" s="10">
        <f t="shared" si="6"/>
        <v>0.99969512195121957</v>
      </c>
      <c r="AE18" s="39">
        <f t="shared" si="10"/>
        <v>0.58309079001821407</v>
      </c>
      <c r="AF18" s="94">
        <f t="shared" ref="AF18:AF19" si="11">A18</f>
        <v>12</v>
      </c>
    </row>
    <row r="19" spans="1:36" ht="27" customHeight="1">
      <c r="A19" s="110">
        <v>13</v>
      </c>
      <c r="B19" s="11" t="s">
        <v>57</v>
      </c>
      <c r="C19" s="37" t="s">
        <v>472</v>
      </c>
      <c r="D19" s="55" t="s">
        <v>133</v>
      </c>
      <c r="E19" s="57" t="s">
        <v>510</v>
      </c>
      <c r="F19" s="33" t="s">
        <v>532</v>
      </c>
      <c r="G19" s="36">
        <v>1</v>
      </c>
      <c r="H19" s="38">
        <v>25</v>
      </c>
      <c r="I19" s="7">
        <v>80000</v>
      </c>
      <c r="J19" s="5">
        <v>6970</v>
      </c>
      <c r="K19" s="15">
        <f>L19+3954+5120</f>
        <v>16044</v>
      </c>
      <c r="L19" s="15">
        <f>2735*2+750*2</f>
        <v>6970</v>
      </c>
      <c r="M19" s="16">
        <f t="shared" si="0"/>
        <v>6970</v>
      </c>
      <c r="N19" s="16">
        <v>0</v>
      </c>
      <c r="O19" s="62">
        <f t="shared" si="1"/>
        <v>0</v>
      </c>
      <c r="P19" s="42">
        <f t="shared" si="2"/>
        <v>18</v>
      </c>
      <c r="Q19" s="43">
        <f t="shared" si="3"/>
        <v>6</v>
      </c>
      <c r="R19" s="7"/>
      <c r="S19" s="6">
        <v>6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0.75</v>
      </c>
      <c r="AD19" s="10">
        <f t="shared" si="6"/>
        <v>0.75</v>
      </c>
      <c r="AE19" s="39">
        <f t="shared" si="10"/>
        <v>0.58309079001821407</v>
      </c>
      <c r="AF19" s="94">
        <f t="shared" si="11"/>
        <v>13</v>
      </c>
    </row>
    <row r="20" spans="1:36" ht="27" customHeight="1">
      <c r="A20" s="110">
        <v>14</v>
      </c>
      <c r="B20" s="11" t="s">
        <v>57</v>
      </c>
      <c r="C20" s="11" t="s">
        <v>146</v>
      </c>
      <c r="D20" s="55" t="s">
        <v>169</v>
      </c>
      <c r="E20" s="57" t="s">
        <v>168</v>
      </c>
      <c r="F20" s="12" t="s">
        <v>138</v>
      </c>
      <c r="G20" s="12" t="s">
        <v>170</v>
      </c>
      <c r="H20" s="13">
        <v>25</v>
      </c>
      <c r="I20" s="7">
        <v>130000</v>
      </c>
      <c r="J20" s="14">
        <v>2970</v>
      </c>
      <c r="K20" s="15">
        <f>L20+3258+4398+5144+3460+6323+4564+5384+7161+2960+2789+7049</f>
        <v>55460</v>
      </c>
      <c r="L20" s="15">
        <v>2970</v>
      </c>
      <c r="M20" s="16">
        <f t="shared" si="0"/>
        <v>2970</v>
      </c>
      <c r="N20" s="16">
        <v>0</v>
      </c>
      <c r="O20" s="62">
        <f t="shared" si="1"/>
        <v>0</v>
      </c>
      <c r="P20" s="42">
        <f t="shared" si="2"/>
        <v>12</v>
      </c>
      <c r="Q20" s="43">
        <f t="shared" si="3"/>
        <v>12</v>
      </c>
      <c r="R20" s="7"/>
      <c r="S20" s="6">
        <v>12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0.5</v>
      </c>
      <c r="AD20" s="10">
        <f t="shared" si="6"/>
        <v>0.5</v>
      </c>
      <c r="AE20" s="39">
        <f t="shared" si="10"/>
        <v>0.58309079001821407</v>
      </c>
      <c r="AF20" s="94">
        <f t="shared" si="8"/>
        <v>14</v>
      </c>
    </row>
    <row r="21" spans="1:36" ht="27" customHeight="1" thickBot="1">
      <c r="A21" s="110">
        <v>15</v>
      </c>
      <c r="B21" s="11" t="s">
        <v>57</v>
      </c>
      <c r="C21" s="11" t="s">
        <v>124</v>
      </c>
      <c r="D21" s="55"/>
      <c r="E21" s="56" t="s">
        <v>274</v>
      </c>
      <c r="F21" s="12" t="s">
        <v>125</v>
      </c>
      <c r="G21" s="12">
        <v>4</v>
      </c>
      <c r="H21" s="38">
        <v>20</v>
      </c>
      <c r="I21" s="7">
        <v>800000</v>
      </c>
      <c r="J21" s="14">
        <v>5640</v>
      </c>
      <c r="K21" s="15">
        <f>L21+29128+42972+45096+45728+43064+5640</f>
        <v>211628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10"/>
        <v>0.58309079001821407</v>
      </c>
      <c r="AF21" s="94">
        <f t="shared" si="8"/>
        <v>15</v>
      </c>
    </row>
    <row r="22" spans="1:36" ht="31.5" customHeight="1" thickBot="1">
      <c r="A22" s="369" t="s">
        <v>34</v>
      </c>
      <c r="B22" s="370"/>
      <c r="C22" s="370"/>
      <c r="D22" s="370"/>
      <c r="E22" s="370"/>
      <c r="F22" s="370"/>
      <c r="G22" s="370"/>
      <c r="H22" s="371"/>
      <c r="I22" s="25">
        <f t="shared" ref="I22:N22" si="12">SUM(I6:I21)</f>
        <v>1541200</v>
      </c>
      <c r="J22" s="22">
        <f t="shared" si="12"/>
        <v>118526</v>
      </c>
      <c r="K22" s="23">
        <f t="shared" si="12"/>
        <v>518267</v>
      </c>
      <c r="L22" s="24">
        <f t="shared" si="12"/>
        <v>73776</v>
      </c>
      <c r="M22" s="23">
        <f t="shared" si="12"/>
        <v>73776</v>
      </c>
      <c r="N22" s="24">
        <f t="shared" si="12"/>
        <v>0</v>
      </c>
      <c r="O22" s="44">
        <f t="shared" si="1"/>
        <v>0</v>
      </c>
      <c r="P22" s="45">
        <f t="shared" ref="P22:AA22" si="13">SUM(P6:P21)</f>
        <v>210</v>
      </c>
      <c r="Q22" s="46">
        <f t="shared" si="13"/>
        <v>174</v>
      </c>
      <c r="R22" s="26">
        <f t="shared" si="13"/>
        <v>0</v>
      </c>
      <c r="S22" s="27">
        <f t="shared" si="13"/>
        <v>40</v>
      </c>
      <c r="T22" s="27">
        <f t="shared" si="13"/>
        <v>0</v>
      </c>
      <c r="U22" s="27">
        <f t="shared" si="13"/>
        <v>0</v>
      </c>
      <c r="V22" s="28">
        <f t="shared" si="13"/>
        <v>0</v>
      </c>
      <c r="W22" s="29">
        <f t="shared" si="13"/>
        <v>131</v>
      </c>
      <c r="X22" s="30">
        <f t="shared" si="13"/>
        <v>0</v>
      </c>
      <c r="Y22" s="30">
        <f t="shared" si="13"/>
        <v>0</v>
      </c>
      <c r="Z22" s="30">
        <f t="shared" si="13"/>
        <v>0</v>
      </c>
      <c r="AA22" s="30">
        <f t="shared" si="13"/>
        <v>3</v>
      </c>
      <c r="AB22" s="31">
        <f>SUM(AB6:AB21)/15</f>
        <v>0.79968857078460753</v>
      </c>
      <c r="AC22" s="4">
        <f>SUM(AC6:AC21)/15</f>
        <v>0.58333333333333337</v>
      </c>
      <c r="AD22" s="4">
        <f>SUM(AD6:AD21)/15</f>
        <v>0.58309079001821407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72" t="s">
        <v>45</v>
      </c>
      <c r="B49" s="372"/>
      <c r="C49" s="372"/>
      <c r="D49" s="372"/>
      <c r="E49" s="37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73" t="s">
        <v>601</v>
      </c>
      <c r="B50" s="374"/>
      <c r="C50" s="374"/>
      <c r="D50" s="374"/>
      <c r="E50" s="374"/>
      <c r="F50" s="374"/>
      <c r="G50" s="374"/>
      <c r="H50" s="374"/>
      <c r="I50" s="374"/>
      <c r="J50" s="374"/>
      <c r="K50" s="374"/>
      <c r="L50" s="374"/>
      <c r="M50" s="375"/>
      <c r="N50" s="376" t="s">
        <v>606</v>
      </c>
      <c r="O50" s="377"/>
      <c r="P50" s="377"/>
      <c r="Q50" s="377"/>
      <c r="R50" s="377"/>
      <c r="S50" s="377"/>
      <c r="T50" s="377"/>
      <c r="U50" s="377"/>
      <c r="V50" s="377"/>
      <c r="W50" s="377"/>
      <c r="X50" s="377"/>
      <c r="Y50" s="377"/>
      <c r="Z50" s="377"/>
      <c r="AA50" s="377"/>
      <c r="AB50" s="377"/>
      <c r="AC50" s="377"/>
      <c r="AD50" s="378"/>
    </row>
    <row r="51" spans="1:32" ht="27" customHeight="1">
      <c r="A51" s="379" t="s">
        <v>2</v>
      </c>
      <c r="B51" s="380"/>
      <c r="C51" s="247" t="s">
        <v>46</v>
      </c>
      <c r="D51" s="247" t="s">
        <v>47</v>
      </c>
      <c r="E51" s="247" t="s">
        <v>108</v>
      </c>
      <c r="F51" s="380" t="s">
        <v>107</v>
      </c>
      <c r="G51" s="380"/>
      <c r="H51" s="380"/>
      <c r="I51" s="380"/>
      <c r="J51" s="380"/>
      <c r="K51" s="380"/>
      <c r="L51" s="380"/>
      <c r="M51" s="381"/>
      <c r="N51" s="73" t="s">
        <v>112</v>
      </c>
      <c r="O51" s="247" t="s">
        <v>46</v>
      </c>
      <c r="P51" s="382" t="s">
        <v>47</v>
      </c>
      <c r="Q51" s="383"/>
      <c r="R51" s="382" t="s">
        <v>38</v>
      </c>
      <c r="S51" s="384"/>
      <c r="T51" s="384"/>
      <c r="U51" s="383"/>
      <c r="V51" s="382" t="s">
        <v>48</v>
      </c>
      <c r="W51" s="384"/>
      <c r="X51" s="384"/>
      <c r="Y51" s="384"/>
      <c r="Z51" s="384"/>
      <c r="AA51" s="384"/>
      <c r="AB51" s="384"/>
      <c r="AC51" s="384"/>
      <c r="AD51" s="385"/>
    </row>
    <row r="52" spans="1:32" ht="27" customHeight="1">
      <c r="A52" s="396" t="s">
        <v>122</v>
      </c>
      <c r="B52" s="397"/>
      <c r="C52" s="248" t="s">
        <v>278</v>
      </c>
      <c r="D52" s="249" t="s">
        <v>121</v>
      </c>
      <c r="E52" s="248" t="s">
        <v>154</v>
      </c>
      <c r="F52" s="398" t="s">
        <v>602</v>
      </c>
      <c r="G52" s="398"/>
      <c r="H52" s="398"/>
      <c r="I52" s="398"/>
      <c r="J52" s="398"/>
      <c r="K52" s="398"/>
      <c r="L52" s="398"/>
      <c r="M52" s="399"/>
      <c r="N52" s="253" t="s">
        <v>122</v>
      </c>
      <c r="O52" s="74" t="s">
        <v>607</v>
      </c>
      <c r="P52" s="400" t="s">
        <v>608</v>
      </c>
      <c r="Q52" s="401"/>
      <c r="R52" s="402" t="s">
        <v>609</v>
      </c>
      <c r="S52" s="402"/>
      <c r="T52" s="402"/>
      <c r="U52" s="402"/>
      <c r="V52" s="398" t="s">
        <v>610</v>
      </c>
      <c r="W52" s="398"/>
      <c r="X52" s="398"/>
      <c r="Y52" s="398"/>
      <c r="Z52" s="398"/>
      <c r="AA52" s="398"/>
      <c r="AB52" s="398"/>
      <c r="AC52" s="398"/>
      <c r="AD52" s="399"/>
    </row>
    <row r="53" spans="1:32" ht="27" customHeight="1">
      <c r="A53" s="396" t="s">
        <v>412</v>
      </c>
      <c r="B53" s="397"/>
      <c r="C53" s="248" t="s">
        <v>325</v>
      </c>
      <c r="D53" s="249" t="s">
        <v>133</v>
      </c>
      <c r="E53" s="248" t="s">
        <v>177</v>
      </c>
      <c r="F53" s="398" t="s">
        <v>603</v>
      </c>
      <c r="G53" s="398"/>
      <c r="H53" s="398"/>
      <c r="I53" s="398"/>
      <c r="J53" s="398"/>
      <c r="K53" s="398"/>
      <c r="L53" s="398"/>
      <c r="M53" s="399"/>
      <c r="N53" s="253"/>
      <c r="O53" s="74"/>
      <c r="P53" s="400"/>
      <c r="Q53" s="401"/>
      <c r="R53" s="402"/>
      <c r="S53" s="402"/>
      <c r="T53" s="402"/>
      <c r="U53" s="402"/>
      <c r="V53" s="398"/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 t="s">
        <v>171</v>
      </c>
      <c r="B54" s="397"/>
      <c r="C54" s="248" t="s">
        <v>131</v>
      </c>
      <c r="D54" s="249" t="s">
        <v>169</v>
      </c>
      <c r="E54" s="248" t="s">
        <v>168</v>
      </c>
      <c r="F54" s="398" t="s">
        <v>604</v>
      </c>
      <c r="G54" s="398"/>
      <c r="H54" s="398"/>
      <c r="I54" s="398"/>
      <c r="J54" s="398"/>
      <c r="K54" s="398"/>
      <c r="L54" s="398"/>
      <c r="M54" s="399"/>
      <c r="N54" s="253"/>
      <c r="O54" s="74"/>
      <c r="P54" s="402"/>
      <c r="Q54" s="402"/>
      <c r="R54" s="402"/>
      <c r="S54" s="402"/>
      <c r="T54" s="402"/>
      <c r="U54" s="402"/>
      <c r="V54" s="398"/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 t="s">
        <v>472</v>
      </c>
      <c r="B55" s="397"/>
      <c r="C55" s="248" t="s">
        <v>132</v>
      </c>
      <c r="D55" s="249" t="s">
        <v>128</v>
      </c>
      <c r="E55" s="248" t="s">
        <v>510</v>
      </c>
      <c r="F55" s="398" t="s">
        <v>603</v>
      </c>
      <c r="G55" s="398"/>
      <c r="H55" s="398"/>
      <c r="I55" s="398"/>
      <c r="J55" s="398"/>
      <c r="K55" s="398"/>
      <c r="L55" s="398"/>
      <c r="M55" s="399"/>
      <c r="N55" s="253"/>
      <c r="O55" s="74"/>
      <c r="P55" s="402"/>
      <c r="Q55" s="402"/>
      <c r="R55" s="402"/>
      <c r="S55" s="402"/>
      <c r="T55" s="402"/>
      <c r="U55" s="402"/>
      <c r="V55" s="398"/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 t="s">
        <v>167</v>
      </c>
      <c r="B56" s="397"/>
      <c r="C56" s="248" t="s">
        <v>281</v>
      </c>
      <c r="D56" s="249" t="s">
        <v>128</v>
      </c>
      <c r="E56" s="248" t="s">
        <v>469</v>
      </c>
      <c r="F56" s="398" t="s">
        <v>603</v>
      </c>
      <c r="G56" s="398"/>
      <c r="H56" s="398"/>
      <c r="I56" s="398"/>
      <c r="J56" s="398"/>
      <c r="K56" s="398"/>
      <c r="L56" s="398"/>
      <c r="M56" s="399"/>
      <c r="N56" s="253"/>
      <c r="O56" s="74"/>
      <c r="P56" s="402"/>
      <c r="Q56" s="402"/>
      <c r="R56" s="402"/>
      <c r="S56" s="402"/>
      <c r="T56" s="402"/>
      <c r="U56" s="402"/>
      <c r="V56" s="398"/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 t="s">
        <v>472</v>
      </c>
      <c r="B57" s="397"/>
      <c r="C57" s="248" t="s">
        <v>192</v>
      </c>
      <c r="D57" s="249" t="s">
        <v>121</v>
      </c>
      <c r="E57" s="248" t="s">
        <v>579</v>
      </c>
      <c r="F57" s="398" t="s">
        <v>603</v>
      </c>
      <c r="G57" s="398"/>
      <c r="H57" s="398"/>
      <c r="I57" s="398"/>
      <c r="J57" s="398"/>
      <c r="K57" s="398"/>
      <c r="L57" s="398"/>
      <c r="M57" s="399"/>
      <c r="N57" s="253"/>
      <c r="O57" s="74"/>
      <c r="P57" s="402"/>
      <c r="Q57" s="402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 t="s">
        <v>122</v>
      </c>
      <c r="B58" s="397"/>
      <c r="C58" s="248" t="s">
        <v>195</v>
      </c>
      <c r="D58" s="249" t="s">
        <v>133</v>
      </c>
      <c r="E58" s="248" t="s">
        <v>605</v>
      </c>
      <c r="F58" s="398" t="s">
        <v>603</v>
      </c>
      <c r="G58" s="398"/>
      <c r="H58" s="398"/>
      <c r="I58" s="398"/>
      <c r="J58" s="398"/>
      <c r="K58" s="398"/>
      <c r="L58" s="398"/>
      <c r="M58" s="399"/>
      <c r="N58" s="253"/>
      <c r="O58" s="74"/>
      <c r="P58" s="400"/>
      <c r="Q58" s="401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396"/>
      <c r="B59" s="397"/>
      <c r="C59" s="248"/>
      <c r="D59" s="249"/>
      <c r="E59" s="248"/>
      <c r="F59" s="398"/>
      <c r="G59" s="398"/>
      <c r="H59" s="398"/>
      <c r="I59" s="398"/>
      <c r="J59" s="398"/>
      <c r="K59" s="398"/>
      <c r="L59" s="398"/>
      <c r="M59" s="399"/>
      <c r="N59" s="253"/>
      <c r="O59" s="74"/>
      <c r="P59" s="400"/>
      <c r="Q59" s="401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</row>
    <row r="60" spans="1:32" ht="27" customHeight="1">
      <c r="A60" s="412"/>
      <c r="B60" s="402"/>
      <c r="C60" s="249"/>
      <c r="D60" s="249"/>
      <c r="E60" s="249"/>
      <c r="F60" s="398"/>
      <c r="G60" s="398"/>
      <c r="H60" s="398"/>
      <c r="I60" s="398"/>
      <c r="J60" s="398"/>
      <c r="K60" s="398"/>
      <c r="L60" s="398"/>
      <c r="M60" s="399"/>
      <c r="N60" s="253"/>
      <c r="O60" s="74"/>
      <c r="P60" s="402"/>
      <c r="Q60" s="402"/>
      <c r="R60" s="402"/>
      <c r="S60" s="402"/>
      <c r="T60" s="402"/>
      <c r="U60" s="402"/>
      <c r="V60" s="398"/>
      <c r="W60" s="398"/>
      <c r="X60" s="398"/>
      <c r="Y60" s="398"/>
      <c r="Z60" s="398"/>
      <c r="AA60" s="398"/>
      <c r="AB60" s="398"/>
      <c r="AC60" s="398"/>
      <c r="AD60" s="399"/>
      <c r="AF60" s="94">
        <f>8*3000</f>
        <v>24000</v>
      </c>
    </row>
    <row r="61" spans="1:32" ht="27" customHeight="1" thickBot="1">
      <c r="A61" s="403"/>
      <c r="B61" s="404"/>
      <c r="C61" s="251"/>
      <c r="D61" s="251"/>
      <c r="E61" s="251"/>
      <c r="F61" s="405"/>
      <c r="G61" s="405"/>
      <c r="H61" s="405"/>
      <c r="I61" s="405"/>
      <c r="J61" s="405"/>
      <c r="K61" s="405"/>
      <c r="L61" s="405"/>
      <c r="M61" s="406"/>
      <c r="N61" s="250"/>
      <c r="O61" s="121"/>
      <c r="P61" s="404"/>
      <c r="Q61" s="404"/>
      <c r="R61" s="404"/>
      <c r="S61" s="404"/>
      <c r="T61" s="404"/>
      <c r="U61" s="404"/>
      <c r="V61" s="405"/>
      <c r="W61" s="405"/>
      <c r="X61" s="405"/>
      <c r="Y61" s="405"/>
      <c r="Z61" s="405"/>
      <c r="AA61" s="405"/>
      <c r="AB61" s="405"/>
      <c r="AC61" s="405"/>
      <c r="AD61" s="406"/>
      <c r="AF61" s="94">
        <f>16*3000</f>
        <v>48000</v>
      </c>
    </row>
    <row r="62" spans="1:32" ht="27.75" thickBot="1">
      <c r="A62" s="407" t="s">
        <v>611</v>
      </c>
      <c r="B62" s="407"/>
      <c r="C62" s="407"/>
      <c r="D62" s="407"/>
      <c r="E62" s="40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08" t="s">
        <v>113</v>
      </c>
      <c r="B63" s="409"/>
      <c r="C63" s="252" t="s">
        <v>2</v>
      </c>
      <c r="D63" s="252" t="s">
        <v>37</v>
      </c>
      <c r="E63" s="252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252" t="s">
        <v>40</v>
      </c>
      <c r="N63" s="409" t="s">
        <v>41</v>
      </c>
      <c r="O63" s="409"/>
      <c r="P63" s="410" t="s">
        <v>42</v>
      </c>
      <c r="Q63" s="411"/>
      <c r="R63" s="410" t="s">
        <v>43</v>
      </c>
      <c r="S63" s="413"/>
      <c r="T63" s="413"/>
      <c r="U63" s="413"/>
      <c r="V63" s="413"/>
      <c r="W63" s="413"/>
      <c r="X63" s="413"/>
      <c r="Y63" s="413"/>
      <c r="Z63" s="413"/>
      <c r="AA63" s="411"/>
      <c r="AB63" s="409" t="s">
        <v>44</v>
      </c>
      <c r="AC63" s="409"/>
      <c r="AD63" s="414"/>
      <c r="AF63" s="94">
        <f>SUM(AF60:AF62)</f>
        <v>96000</v>
      </c>
    </row>
    <row r="64" spans="1:32" ht="25.5" customHeight="1">
      <c r="A64" s="415">
        <v>1</v>
      </c>
      <c r="B64" s="416"/>
      <c r="C64" s="124" t="s">
        <v>167</v>
      </c>
      <c r="D64" s="256"/>
      <c r="E64" s="254" t="s">
        <v>133</v>
      </c>
      <c r="F64" s="417" t="s">
        <v>588</v>
      </c>
      <c r="G64" s="418"/>
      <c r="H64" s="418"/>
      <c r="I64" s="418"/>
      <c r="J64" s="418"/>
      <c r="K64" s="418" t="s">
        <v>589</v>
      </c>
      <c r="L64" s="418"/>
      <c r="M64" s="54" t="s">
        <v>397</v>
      </c>
      <c r="N64" s="418">
        <v>4</v>
      </c>
      <c r="O64" s="418"/>
      <c r="P64" s="419">
        <v>100</v>
      </c>
      <c r="Q64" s="419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418"/>
      <c r="AC64" s="418"/>
      <c r="AD64" s="420"/>
      <c r="AF64" s="53"/>
    </row>
    <row r="65" spans="1:32" ht="25.5" customHeight="1">
      <c r="A65" s="415">
        <v>2</v>
      </c>
      <c r="B65" s="416"/>
      <c r="C65" s="124"/>
      <c r="D65" s="256"/>
      <c r="E65" s="254"/>
      <c r="F65" s="417"/>
      <c r="G65" s="418"/>
      <c r="H65" s="418"/>
      <c r="I65" s="418"/>
      <c r="J65" s="418"/>
      <c r="K65" s="418"/>
      <c r="L65" s="418"/>
      <c r="M65" s="54"/>
      <c r="N65" s="418"/>
      <c r="O65" s="418"/>
      <c r="P65" s="419"/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3</v>
      </c>
      <c r="B66" s="416"/>
      <c r="C66" s="124"/>
      <c r="D66" s="256"/>
      <c r="E66" s="254"/>
      <c r="F66" s="417"/>
      <c r="G66" s="418"/>
      <c r="H66" s="418"/>
      <c r="I66" s="418"/>
      <c r="J66" s="418"/>
      <c r="K66" s="418"/>
      <c r="L66" s="418"/>
      <c r="M66" s="54"/>
      <c r="N66" s="418"/>
      <c r="O66" s="418"/>
      <c r="P66" s="419"/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4</v>
      </c>
      <c r="B67" s="416"/>
      <c r="C67" s="124"/>
      <c r="D67" s="256"/>
      <c r="E67" s="254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5</v>
      </c>
      <c r="B68" s="416"/>
      <c r="C68" s="124"/>
      <c r="D68" s="256"/>
      <c r="E68" s="254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6</v>
      </c>
      <c r="B69" s="416"/>
      <c r="C69" s="124"/>
      <c r="D69" s="256"/>
      <c r="E69" s="254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7</v>
      </c>
      <c r="B70" s="416"/>
      <c r="C70" s="124"/>
      <c r="D70" s="256"/>
      <c r="E70" s="254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5.5" customHeight="1">
      <c r="A71" s="415">
        <v>8</v>
      </c>
      <c r="B71" s="416"/>
      <c r="C71" s="124"/>
      <c r="D71" s="256"/>
      <c r="E71" s="254"/>
      <c r="F71" s="417"/>
      <c r="G71" s="418"/>
      <c r="H71" s="418"/>
      <c r="I71" s="418"/>
      <c r="J71" s="418"/>
      <c r="K71" s="418"/>
      <c r="L71" s="418"/>
      <c r="M71" s="54"/>
      <c r="N71" s="418"/>
      <c r="O71" s="418"/>
      <c r="P71" s="419"/>
      <c r="Q71" s="419"/>
      <c r="R71" s="398"/>
      <c r="S71" s="398"/>
      <c r="T71" s="398"/>
      <c r="U71" s="398"/>
      <c r="V71" s="398"/>
      <c r="W71" s="398"/>
      <c r="X71" s="398"/>
      <c r="Y71" s="398"/>
      <c r="Z71" s="398"/>
      <c r="AA71" s="398"/>
      <c r="AB71" s="418"/>
      <c r="AC71" s="418"/>
      <c r="AD71" s="420"/>
      <c r="AF71" s="53"/>
    </row>
    <row r="72" spans="1:32" ht="26.25" customHeight="1" thickBot="1">
      <c r="A72" s="421" t="s">
        <v>612</v>
      </c>
      <c r="B72" s="421"/>
      <c r="C72" s="421"/>
      <c r="D72" s="421"/>
      <c r="E72" s="421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2" t="s">
        <v>113</v>
      </c>
      <c r="B73" s="423"/>
      <c r="C73" s="255" t="s">
        <v>2</v>
      </c>
      <c r="D73" s="255" t="s">
        <v>37</v>
      </c>
      <c r="E73" s="255" t="s">
        <v>3</v>
      </c>
      <c r="F73" s="423" t="s">
        <v>38</v>
      </c>
      <c r="G73" s="423"/>
      <c r="H73" s="423"/>
      <c r="I73" s="423"/>
      <c r="J73" s="423"/>
      <c r="K73" s="424" t="s">
        <v>58</v>
      </c>
      <c r="L73" s="425"/>
      <c r="M73" s="425"/>
      <c r="N73" s="425"/>
      <c r="O73" s="425"/>
      <c r="P73" s="425"/>
      <c r="Q73" s="425"/>
      <c r="R73" s="425"/>
      <c r="S73" s="426"/>
      <c r="T73" s="423" t="s">
        <v>49</v>
      </c>
      <c r="U73" s="423"/>
      <c r="V73" s="424" t="s">
        <v>50</v>
      </c>
      <c r="W73" s="426"/>
      <c r="X73" s="425" t="s">
        <v>51</v>
      </c>
      <c r="Y73" s="425"/>
      <c r="Z73" s="425"/>
      <c r="AA73" s="425"/>
      <c r="AB73" s="425"/>
      <c r="AC73" s="425"/>
      <c r="AD73" s="427"/>
      <c r="AF73" s="53"/>
    </row>
    <row r="74" spans="1:32" ht="33.75" customHeight="1">
      <c r="A74" s="436">
        <v>1</v>
      </c>
      <c r="B74" s="437"/>
      <c r="C74" s="257" t="s">
        <v>114</v>
      </c>
      <c r="D74" s="257"/>
      <c r="E74" s="71" t="s">
        <v>119</v>
      </c>
      <c r="F74" s="438" t="s">
        <v>120</v>
      </c>
      <c r="G74" s="439"/>
      <c r="H74" s="439"/>
      <c r="I74" s="439"/>
      <c r="J74" s="440"/>
      <c r="K74" s="441" t="s">
        <v>115</v>
      </c>
      <c r="L74" s="442"/>
      <c r="M74" s="442"/>
      <c r="N74" s="442"/>
      <c r="O74" s="442"/>
      <c r="P74" s="442"/>
      <c r="Q74" s="442"/>
      <c r="R74" s="442"/>
      <c r="S74" s="443"/>
      <c r="T74" s="444">
        <v>42901</v>
      </c>
      <c r="U74" s="445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28">
        <f>A74+1</f>
        <v>2</v>
      </c>
      <c r="B75" s="429"/>
      <c r="C75" s="256" t="s">
        <v>114</v>
      </c>
      <c r="D75" s="256"/>
      <c r="E75" s="35" t="s">
        <v>116</v>
      </c>
      <c r="F75" s="429" t="s">
        <v>117</v>
      </c>
      <c r="G75" s="429"/>
      <c r="H75" s="429"/>
      <c r="I75" s="429"/>
      <c r="J75" s="429"/>
      <c r="K75" s="430" t="s">
        <v>118</v>
      </c>
      <c r="L75" s="431"/>
      <c r="M75" s="431"/>
      <c r="N75" s="431"/>
      <c r="O75" s="431"/>
      <c r="P75" s="431"/>
      <c r="Q75" s="431"/>
      <c r="R75" s="431"/>
      <c r="S75" s="432"/>
      <c r="T75" s="433">
        <v>42867</v>
      </c>
      <c r="U75" s="433"/>
      <c r="V75" s="433"/>
      <c r="W75" s="433"/>
      <c r="X75" s="434"/>
      <c r="Y75" s="434"/>
      <c r="Z75" s="434"/>
      <c r="AA75" s="434"/>
      <c r="AB75" s="434"/>
      <c r="AC75" s="434"/>
      <c r="AD75" s="435"/>
      <c r="AF75" s="53"/>
    </row>
    <row r="76" spans="1:32" ht="30" customHeight="1">
      <c r="A76" s="428">
        <f t="shared" ref="A76:A82" si="14">A75+1</f>
        <v>3</v>
      </c>
      <c r="B76" s="429"/>
      <c r="C76" s="256"/>
      <c r="D76" s="256"/>
      <c r="E76" s="35"/>
      <c r="F76" s="429"/>
      <c r="G76" s="429"/>
      <c r="H76" s="429"/>
      <c r="I76" s="429"/>
      <c r="J76" s="429"/>
      <c r="K76" s="430"/>
      <c r="L76" s="431"/>
      <c r="M76" s="431"/>
      <c r="N76" s="431"/>
      <c r="O76" s="431"/>
      <c r="P76" s="431"/>
      <c r="Q76" s="431"/>
      <c r="R76" s="431"/>
      <c r="S76" s="432"/>
      <c r="T76" s="433"/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si="14"/>
        <v>4</v>
      </c>
      <c r="B77" s="429"/>
      <c r="C77" s="256"/>
      <c r="D77" s="256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14"/>
        <v>5</v>
      </c>
      <c r="B78" s="429"/>
      <c r="C78" s="256"/>
      <c r="D78" s="256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14"/>
        <v>6</v>
      </c>
      <c r="B79" s="429"/>
      <c r="C79" s="256"/>
      <c r="D79" s="256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14"/>
        <v>7</v>
      </c>
      <c r="B80" s="429"/>
      <c r="C80" s="256"/>
      <c r="D80" s="256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14"/>
        <v>8</v>
      </c>
      <c r="B81" s="429"/>
      <c r="C81" s="256"/>
      <c r="D81" s="256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0" customHeight="1">
      <c r="A82" s="428">
        <f t="shared" si="14"/>
        <v>9</v>
      </c>
      <c r="B82" s="429"/>
      <c r="C82" s="256"/>
      <c r="D82" s="256"/>
      <c r="E82" s="35"/>
      <c r="F82" s="429"/>
      <c r="G82" s="429"/>
      <c r="H82" s="429"/>
      <c r="I82" s="429"/>
      <c r="J82" s="429"/>
      <c r="K82" s="430"/>
      <c r="L82" s="431"/>
      <c r="M82" s="431"/>
      <c r="N82" s="431"/>
      <c r="O82" s="431"/>
      <c r="P82" s="431"/>
      <c r="Q82" s="431"/>
      <c r="R82" s="431"/>
      <c r="S82" s="432"/>
      <c r="T82" s="433"/>
      <c r="U82" s="433"/>
      <c r="V82" s="433"/>
      <c r="W82" s="433"/>
      <c r="X82" s="434"/>
      <c r="Y82" s="434"/>
      <c r="Z82" s="434"/>
      <c r="AA82" s="434"/>
      <c r="AB82" s="434"/>
      <c r="AC82" s="434"/>
      <c r="AD82" s="435"/>
      <c r="AF82" s="53"/>
    </row>
    <row r="83" spans="1:32" ht="36" thickBot="1">
      <c r="A83" s="421" t="s">
        <v>613</v>
      </c>
      <c r="B83" s="421"/>
      <c r="C83" s="421"/>
      <c r="D83" s="421"/>
      <c r="E83" s="421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22" t="s">
        <v>113</v>
      </c>
      <c r="B84" s="423"/>
      <c r="C84" s="449" t="s">
        <v>52</v>
      </c>
      <c r="D84" s="449"/>
      <c r="E84" s="449" t="s">
        <v>53</v>
      </c>
      <c r="F84" s="449"/>
      <c r="G84" s="449"/>
      <c r="H84" s="449"/>
      <c r="I84" s="449"/>
      <c r="J84" s="449"/>
      <c r="K84" s="449" t="s">
        <v>54</v>
      </c>
      <c r="L84" s="449"/>
      <c r="M84" s="449"/>
      <c r="N84" s="449"/>
      <c r="O84" s="449"/>
      <c r="P84" s="449"/>
      <c r="Q84" s="449"/>
      <c r="R84" s="449"/>
      <c r="S84" s="449"/>
      <c r="T84" s="449" t="s">
        <v>55</v>
      </c>
      <c r="U84" s="449"/>
      <c r="V84" s="449" t="s">
        <v>56</v>
      </c>
      <c r="W84" s="449"/>
      <c r="X84" s="449"/>
      <c r="Y84" s="449" t="s">
        <v>51</v>
      </c>
      <c r="Z84" s="449"/>
      <c r="AA84" s="449"/>
      <c r="AB84" s="449"/>
      <c r="AC84" s="449"/>
      <c r="AD84" s="450"/>
      <c r="AF84" s="53"/>
    </row>
    <row r="85" spans="1:32" ht="30.75" customHeight="1">
      <c r="A85" s="436">
        <v>1</v>
      </c>
      <c r="B85" s="437"/>
      <c r="C85" s="451"/>
      <c r="D85" s="451"/>
      <c r="E85" s="451"/>
      <c r="F85" s="451"/>
      <c r="G85" s="451"/>
      <c r="H85" s="451"/>
      <c r="I85" s="451"/>
      <c r="J85" s="451"/>
      <c r="K85" s="451"/>
      <c r="L85" s="451"/>
      <c r="M85" s="451"/>
      <c r="N85" s="451"/>
      <c r="O85" s="451"/>
      <c r="P85" s="451"/>
      <c r="Q85" s="451"/>
      <c r="R85" s="451"/>
      <c r="S85" s="451"/>
      <c r="T85" s="451"/>
      <c r="U85" s="451"/>
      <c r="V85" s="452"/>
      <c r="W85" s="452"/>
      <c r="X85" s="452"/>
      <c r="Y85" s="453"/>
      <c r="Z85" s="453"/>
      <c r="AA85" s="453"/>
      <c r="AB85" s="453"/>
      <c r="AC85" s="453"/>
      <c r="AD85" s="454"/>
      <c r="AF85" s="53"/>
    </row>
    <row r="86" spans="1:32" ht="30.75" customHeight="1">
      <c r="A86" s="428">
        <v>2</v>
      </c>
      <c r="B86" s="429"/>
      <c r="C86" s="462"/>
      <c r="D86" s="462"/>
      <c r="E86" s="462"/>
      <c r="F86" s="462"/>
      <c r="G86" s="462"/>
      <c r="H86" s="462"/>
      <c r="I86" s="462"/>
      <c r="J86" s="462"/>
      <c r="K86" s="462"/>
      <c r="L86" s="462"/>
      <c r="M86" s="462"/>
      <c r="N86" s="462"/>
      <c r="O86" s="462"/>
      <c r="P86" s="462"/>
      <c r="Q86" s="462"/>
      <c r="R86" s="462"/>
      <c r="S86" s="462"/>
      <c r="T86" s="463"/>
      <c r="U86" s="463"/>
      <c r="V86" s="464"/>
      <c r="W86" s="464"/>
      <c r="X86" s="464"/>
      <c r="Y86" s="455"/>
      <c r="Z86" s="455"/>
      <c r="AA86" s="455"/>
      <c r="AB86" s="455"/>
      <c r="AC86" s="455"/>
      <c r="AD86" s="456"/>
      <c r="AF86" s="53"/>
    </row>
    <row r="87" spans="1:32" ht="30.75" customHeight="1" thickBot="1">
      <c r="A87" s="457">
        <v>3</v>
      </c>
      <c r="B87" s="458"/>
      <c r="C87" s="459"/>
      <c r="D87" s="459"/>
      <c r="E87" s="459"/>
      <c r="F87" s="459"/>
      <c r="G87" s="459"/>
      <c r="H87" s="459"/>
      <c r="I87" s="459"/>
      <c r="J87" s="459"/>
      <c r="K87" s="459"/>
      <c r="L87" s="459"/>
      <c r="M87" s="459"/>
      <c r="N87" s="459"/>
      <c r="O87" s="459"/>
      <c r="P87" s="459"/>
      <c r="Q87" s="459"/>
      <c r="R87" s="459"/>
      <c r="S87" s="459"/>
      <c r="T87" s="459"/>
      <c r="U87" s="459"/>
      <c r="V87" s="459"/>
      <c r="W87" s="459"/>
      <c r="X87" s="459"/>
      <c r="Y87" s="460"/>
      <c r="Z87" s="460"/>
      <c r="AA87" s="460"/>
      <c r="AB87" s="460"/>
      <c r="AC87" s="460"/>
      <c r="AD87" s="461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19" zoomScale="72" zoomScaleNormal="72" zoomScaleSheetLayoutView="70" workbookViewId="0">
      <selection activeCell="F56" sqref="F56:M5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55" t="s">
        <v>614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6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269" t="s">
        <v>17</v>
      </c>
      <c r="L5" s="269" t="s">
        <v>18</v>
      </c>
      <c r="M5" s="269" t="s">
        <v>19</v>
      </c>
      <c r="N5" s="26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6" ht="27" customHeight="1">
      <c r="A6" s="108">
        <v>1</v>
      </c>
      <c r="B6" s="11" t="s">
        <v>57</v>
      </c>
      <c r="C6" s="37" t="s">
        <v>122</v>
      </c>
      <c r="D6" s="55" t="s">
        <v>127</v>
      </c>
      <c r="E6" s="57" t="s">
        <v>615</v>
      </c>
      <c r="F6" s="33" t="s">
        <v>153</v>
      </c>
      <c r="G6" s="36">
        <v>1</v>
      </c>
      <c r="H6" s="38">
        <v>25</v>
      </c>
      <c r="I6" s="7">
        <v>10000</v>
      </c>
      <c r="J6" s="5">
        <v>4520</v>
      </c>
      <c r="K6" s="15">
        <f>L6</f>
        <v>3911</v>
      </c>
      <c r="L6" s="15">
        <f>2437+1474</f>
        <v>3911</v>
      </c>
      <c r="M6" s="16">
        <f t="shared" ref="M6:M20" si="0">L6-N6</f>
        <v>3911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23</v>
      </c>
      <c r="Q6" s="43">
        <f t="shared" ref="Q6:Q20" si="3">SUM(R6:AA6)</f>
        <v>1</v>
      </c>
      <c r="R6" s="7"/>
      <c r="S6" s="6"/>
      <c r="T6" s="17">
        <v>1</v>
      </c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0.86526548672566372</v>
      </c>
      <c r="AC6" s="9">
        <f t="shared" ref="AC6:AC20" si="5">IF(P6=0,"0",(P6/24))</f>
        <v>0.95833333333333337</v>
      </c>
      <c r="AD6" s="10">
        <f t="shared" ref="AD6:AD20" si="6">AC6*AB6*(1-O6)</f>
        <v>0.82921275811209438</v>
      </c>
      <c r="AE6" s="39">
        <f t="shared" ref="AE6:AE12" si="7">$AD$21</f>
        <v>0.56594453562252967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123</v>
      </c>
      <c r="D7" s="55" t="s">
        <v>156</v>
      </c>
      <c r="E7" s="57" t="s">
        <v>311</v>
      </c>
      <c r="F7" s="33" t="s">
        <v>312</v>
      </c>
      <c r="G7" s="12">
        <v>3</v>
      </c>
      <c r="H7" s="13">
        <v>25</v>
      </c>
      <c r="I7" s="34">
        <v>100000</v>
      </c>
      <c r="J7" s="5">
        <v>15560</v>
      </c>
      <c r="K7" s="15">
        <f>L7+11583+14484+15558</f>
        <v>41625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0.56594453562252967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472</v>
      </c>
      <c r="D8" s="55" t="s">
        <v>295</v>
      </c>
      <c r="E8" s="57" t="s">
        <v>502</v>
      </c>
      <c r="F8" s="33" t="s">
        <v>529</v>
      </c>
      <c r="G8" s="12">
        <v>2</v>
      </c>
      <c r="H8" s="13">
        <v>25</v>
      </c>
      <c r="I8" s="34">
        <v>80000</v>
      </c>
      <c r="J8" s="5">
        <v>10370</v>
      </c>
      <c r="K8" s="15">
        <f>L8+6076+12974</f>
        <v>29418</v>
      </c>
      <c r="L8" s="15">
        <f>2986*2+2198*2</f>
        <v>10368</v>
      </c>
      <c r="M8" s="16">
        <f t="shared" si="0"/>
        <v>10368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0.99980713596914172</v>
      </c>
      <c r="AC8" s="9">
        <f t="shared" si="5"/>
        <v>1</v>
      </c>
      <c r="AD8" s="10">
        <f t="shared" si="6"/>
        <v>0.99980713596914172</v>
      </c>
      <c r="AE8" s="39">
        <f t="shared" si="7"/>
        <v>0.56594453562252967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122</v>
      </c>
      <c r="D9" s="55" t="s">
        <v>121</v>
      </c>
      <c r="E9" s="57" t="s">
        <v>154</v>
      </c>
      <c r="F9" s="33" t="s">
        <v>140</v>
      </c>
      <c r="G9" s="36">
        <v>1</v>
      </c>
      <c r="H9" s="38">
        <v>25</v>
      </c>
      <c r="I9" s="7">
        <v>17000</v>
      </c>
      <c r="J9" s="5">
        <v>5390</v>
      </c>
      <c r="K9" s="15">
        <f>L9+4446+5012</f>
        <v>14840</v>
      </c>
      <c r="L9" s="15">
        <f>3067+2315</f>
        <v>5382</v>
      </c>
      <c r="M9" s="16">
        <f t="shared" si="0"/>
        <v>5382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0.99851576994434132</v>
      </c>
      <c r="AC9" s="9">
        <f t="shared" si="5"/>
        <v>1</v>
      </c>
      <c r="AD9" s="10">
        <f t="shared" si="6"/>
        <v>0.99851576994434132</v>
      </c>
      <c r="AE9" s="39">
        <f t="shared" si="7"/>
        <v>0.56594453562252967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146</v>
      </c>
      <c r="D10" s="55" t="s">
        <v>348</v>
      </c>
      <c r="E10" s="57" t="s">
        <v>349</v>
      </c>
      <c r="F10" s="12" t="s">
        <v>616</v>
      </c>
      <c r="G10" s="12">
        <v>2</v>
      </c>
      <c r="H10" s="13">
        <v>20</v>
      </c>
      <c r="I10" s="34">
        <v>200000</v>
      </c>
      <c r="J10" s="14">
        <v>800</v>
      </c>
      <c r="K10" s="15">
        <f>L10</f>
        <v>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/>
      <c r="X10" s="17"/>
      <c r="Y10" s="20"/>
      <c r="Z10" s="20"/>
      <c r="AA10" s="21">
        <v>24</v>
      </c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0.56594453562252967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472</v>
      </c>
      <c r="D11" s="55" t="s">
        <v>121</v>
      </c>
      <c r="E11" s="57" t="s">
        <v>508</v>
      </c>
      <c r="F11" s="12" t="s">
        <v>557</v>
      </c>
      <c r="G11" s="12">
        <v>2</v>
      </c>
      <c r="H11" s="13">
        <v>25</v>
      </c>
      <c r="I11" s="34">
        <v>80000</v>
      </c>
      <c r="J11" s="14">
        <v>10260</v>
      </c>
      <c r="K11" s="15">
        <f>L11+3674+8520</f>
        <v>22452</v>
      </c>
      <c r="L11" s="15">
        <f>2904*2+2225*2</f>
        <v>10258</v>
      </c>
      <c r="M11" s="16">
        <f t="shared" si="0"/>
        <v>10258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0.99980506822612081</v>
      </c>
      <c r="AC11" s="9">
        <f t="shared" si="5"/>
        <v>1</v>
      </c>
      <c r="AD11" s="10">
        <f t="shared" si="6"/>
        <v>0.99980506822612081</v>
      </c>
      <c r="AE11" s="39">
        <f t="shared" si="7"/>
        <v>0.56594453562252967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122</v>
      </c>
      <c r="D12" s="55" t="s">
        <v>133</v>
      </c>
      <c r="E12" s="57" t="s">
        <v>469</v>
      </c>
      <c r="F12" s="12" t="s">
        <v>350</v>
      </c>
      <c r="G12" s="12">
        <v>1</v>
      </c>
      <c r="H12" s="13">
        <v>25</v>
      </c>
      <c r="I12" s="7">
        <v>30000</v>
      </c>
      <c r="J12" s="14">
        <v>3620</v>
      </c>
      <c r="K12" s="15">
        <f>L12+3124+3021+1845+2586</f>
        <v>14187</v>
      </c>
      <c r="L12" s="15">
        <f>1996+1615</f>
        <v>3611</v>
      </c>
      <c r="M12" s="16">
        <f t="shared" si="0"/>
        <v>3611</v>
      </c>
      <c r="N12" s="16">
        <v>0</v>
      </c>
      <c r="O12" s="62">
        <f t="shared" si="1"/>
        <v>0</v>
      </c>
      <c r="P12" s="42">
        <f t="shared" si="2"/>
        <v>20</v>
      </c>
      <c r="Q12" s="43">
        <f t="shared" si="3"/>
        <v>4</v>
      </c>
      <c r="R12" s="7"/>
      <c r="S12" s="6">
        <v>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0.99751381215469614</v>
      </c>
      <c r="AC12" s="9">
        <f t="shared" si="5"/>
        <v>0.83333333333333337</v>
      </c>
      <c r="AD12" s="10">
        <f t="shared" si="6"/>
        <v>0.83126151012891347</v>
      </c>
      <c r="AE12" s="39">
        <f t="shared" si="7"/>
        <v>0.56594453562252967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122</v>
      </c>
      <c r="D13" s="55" t="s">
        <v>144</v>
      </c>
      <c r="E13" s="57" t="s">
        <v>177</v>
      </c>
      <c r="F13" s="12" t="s">
        <v>350</v>
      </c>
      <c r="G13" s="12">
        <v>1</v>
      </c>
      <c r="H13" s="13">
        <v>25</v>
      </c>
      <c r="I13" s="7">
        <v>15000</v>
      </c>
      <c r="J13" s="14">
        <v>3350</v>
      </c>
      <c r="K13" s="15">
        <f>L13+3142+2378+2608</f>
        <v>11474</v>
      </c>
      <c r="L13" s="15">
        <f>1202+2144</f>
        <v>3346</v>
      </c>
      <c r="M13" s="16">
        <f t="shared" si="0"/>
        <v>3346</v>
      </c>
      <c r="N13" s="16">
        <v>0</v>
      </c>
      <c r="O13" s="62">
        <f t="shared" si="1"/>
        <v>0</v>
      </c>
      <c r="P13" s="42">
        <f t="shared" si="2"/>
        <v>20</v>
      </c>
      <c r="Q13" s="43">
        <f t="shared" si="3"/>
        <v>4</v>
      </c>
      <c r="R13" s="7"/>
      <c r="S13" s="6"/>
      <c r="T13" s="17"/>
      <c r="U13" s="17"/>
      <c r="V13" s="18"/>
      <c r="W13" s="19">
        <v>4</v>
      </c>
      <c r="X13" s="17"/>
      <c r="Y13" s="20"/>
      <c r="Z13" s="20"/>
      <c r="AA13" s="21"/>
      <c r="AB13" s="8">
        <f t="shared" si="4"/>
        <v>0.99880597014925376</v>
      </c>
      <c r="AC13" s="9">
        <f t="shared" si="5"/>
        <v>0.83333333333333337</v>
      </c>
      <c r="AD13" s="10">
        <f t="shared" si="6"/>
        <v>0.83233830845771151</v>
      </c>
      <c r="AE13" s="39">
        <f t="shared" ref="AE13:AE20" si="9">$AD$21</f>
        <v>0.56594453562252967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128</v>
      </c>
      <c r="E14" s="57" t="s">
        <v>174</v>
      </c>
      <c r="F14" s="33" t="s">
        <v>181</v>
      </c>
      <c r="G14" s="36">
        <v>1</v>
      </c>
      <c r="H14" s="38">
        <v>25</v>
      </c>
      <c r="I14" s="7">
        <v>200</v>
      </c>
      <c r="J14" s="5">
        <v>206</v>
      </c>
      <c r="K14" s="15">
        <f>L14+190+206</f>
        <v>396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9"/>
        <v>0.56594453562252967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123</v>
      </c>
      <c r="D15" s="55" t="s">
        <v>249</v>
      </c>
      <c r="E15" s="57" t="s">
        <v>247</v>
      </c>
      <c r="F15" s="12" t="s">
        <v>151</v>
      </c>
      <c r="G15" s="12">
        <v>4</v>
      </c>
      <c r="H15" s="13">
        <v>24</v>
      </c>
      <c r="I15" s="34">
        <v>30000</v>
      </c>
      <c r="J15" s="14">
        <v>23320</v>
      </c>
      <c r="K15" s="15">
        <f>L15+21536+23312</f>
        <v>44848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9"/>
        <v>0.56594453562252967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472</v>
      </c>
      <c r="D16" s="55" t="s">
        <v>135</v>
      </c>
      <c r="E16" s="56" t="s">
        <v>505</v>
      </c>
      <c r="F16" s="12" t="s">
        <v>529</v>
      </c>
      <c r="G16" s="36">
        <v>2</v>
      </c>
      <c r="H16" s="38">
        <v>25</v>
      </c>
      <c r="I16" s="7">
        <v>80000</v>
      </c>
      <c r="J16" s="14">
        <v>10600</v>
      </c>
      <c r="K16" s="15">
        <f>L16+5764+11522+12610</f>
        <v>40494</v>
      </c>
      <c r="L16" s="15">
        <f>3105*2+2194*2</f>
        <v>10598</v>
      </c>
      <c r="M16" s="16">
        <f t="shared" si="0"/>
        <v>10598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0.99981132075471701</v>
      </c>
      <c r="AC16" s="9">
        <f t="shared" si="5"/>
        <v>1</v>
      </c>
      <c r="AD16" s="10">
        <f t="shared" si="6"/>
        <v>0.99981132075471701</v>
      </c>
      <c r="AE16" s="39">
        <f t="shared" si="9"/>
        <v>0.56594453562252967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472</v>
      </c>
      <c r="D17" s="55" t="s">
        <v>127</v>
      </c>
      <c r="E17" s="57" t="s">
        <v>570</v>
      </c>
      <c r="F17" s="12" t="s">
        <v>557</v>
      </c>
      <c r="G17" s="12">
        <v>2</v>
      </c>
      <c r="H17" s="13">
        <v>25</v>
      </c>
      <c r="I17" s="34">
        <v>80000</v>
      </c>
      <c r="J17" s="5">
        <v>11230</v>
      </c>
      <c r="K17" s="15">
        <f>L17+10938+13116</f>
        <v>35276</v>
      </c>
      <c r="L17" s="15">
        <f>3112*2+2499*2</f>
        <v>11222</v>
      </c>
      <c r="M17" s="16">
        <f t="shared" si="0"/>
        <v>11222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0.99928762243989311</v>
      </c>
      <c r="AC17" s="9">
        <f t="shared" si="5"/>
        <v>1</v>
      </c>
      <c r="AD17" s="10">
        <f t="shared" si="6"/>
        <v>0.99928762243989311</v>
      </c>
      <c r="AE17" s="39">
        <f t="shared" si="9"/>
        <v>0.56594453562252967</v>
      </c>
      <c r="AF17" s="94">
        <f t="shared" ref="AF17:AF18" si="10">A17</f>
        <v>12</v>
      </c>
    </row>
    <row r="18" spans="1:32" ht="27" customHeight="1">
      <c r="A18" s="110">
        <v>13</v>
      </c>
      <c r="B18" s="11" t="s">
        <v>57</v>
      </c>
      <c r="C18" s="37" t="s">
        <v>472</v>
      </c>
      <c r="D18" s="55" t="s">
        <v>133</v>
      </c>
      <c r="E18" s="57" t="s">
        <v>510</v>
      </c>
      <c r="F18" s="33" t="s">
        <v>529</v>
      </c>
      <c r="G18" s="36">
        <v>1</v>
      </c>
      <c r="H18" s="38">
        <v>25</v>
      </c>
      <c r="I18" s="7">
        <v>80000</v>
      </c>
      <c r="J18" s="5">
        <v>9180</v>
      </c>
      <c r="K18" s="15">
        <f>L18+3954+5120+6970</f>
        <v>25216</v>
      </c>
      <c r="L18" s="15">
        <f>2737*2+1849*2</f>
        <v>9172</v>
      </c>
      <c r="M18" s="16">
        <f t="shared" si="0"/>
        <v>9172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0.99912854030501086</v>
      </c>
      <c r="AC18" s="9">
        <f t="shared" si="5"/>
        <v>1</v>
      </c>
      <c r="AD18" s="10">
        <f t="shared" si="6"/>
        <v>0.99912854030501086</v>
      </c>
      <c r="AE18" s="39">
        <f t="shared" si="9"/>
        <v>0.56594453562252967</v>
      </c>
      <c r="AF18" s="94">
        <f t="shared" si="10"/>
        <v>13</v>
      </c>
    </row>
    <row r="19" spans="1:32" ht="27" customHeight="1">
      <c r="A19" s="110">
        <v>14</v>
      </c>
      <c r="B19" s="11" t="s">
        <v>57</v>
      </c>
      <c r="C19" s="11" t="s">
        <v>146</v>
      </c>
      <c r="D19" s="55" t="s">
        <v>169</v>
      </c>
      <c r="E19" s="57" t="s">
        <v>168</v>
      </c>
      <c r="F19" s="12" t="s">
        <v>138</v>
      </c>
      <c r="G19" s="12" t="s">
        <v>170</v>
      </c>
      <c r="H19" s="13">
        <v>25</v>
      </c>
      <c r="I19" s="7">
        <v>130000</v>
      </c>
      <c r="J19" s="14">
        <v>2970</v>
      </c>
      <c r="K19" s="15">
        <f>L19+3258+4398+5144+3460+6323+4564+5384+7161+2960+2789+7049+2970</f>
        <v>55460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>
        <v>24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9"/>
        <v>0.56594453562252967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124</v>
      </c>
      <c r="D20" s="55"/>
      <c r="E20" s="56" t="s">
        <v>240</v>
      </c>
      <c r="F20" s="12" t="s">
        <v>125</v>
      </c>
      <c r="G20" s="12">
        <v>4</v>
      </c>
      <c r="H20" s="38">
        <v>20</v>
      </c>
      <c r="I20" s="7">
        <v>800000</v>
      </c>
      <c r="J20" s="14">
        <v>5640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9"/>
        <v>0.56594453562252967</v>
      </c>
      <c r="AF20" s="94">
        <f t="shared" si="8"/>
        <v>15</v>
      </c>
    </row>
    <row r="21" spans="1:32" ht="31.5" customHeight="1" thickBot="1">
      <c r="A21" s="369" t="s">
        <v>34</v>
      </c>
      <c r="B21" s="370"/>
      <c r="C21" s="370"/>
      <c r="D21" s="370"/>
      <c r="E21" s="370"/>
      <c r="F21" s="370"/>
      <c r="G21" s="370"/>
      <c r="H21" s="371"/>
      <c r="I21" s="25">
        <f t="shared" ref="I21:N21" si="11">SUM(I6:I20)</f>
        <v>1732200</v>
      </c>
      <c r="J21" s="22">
        <f t="shared" si="11"/>
        <v>117016</v>
      </c>
      <c r="K21" s="23">
        <f t="shared" si="11"/>
        <v>551225</v>
      </c>
      <c r="L21" s="24">
        <f t="shared" si="11"/>
        <v>67868</v>
      </c>
      <c r="M21" s="23">
        <f t="shared" si="11"/>
        <v>67868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207</v>
      </c>
      <c r="Q21" s="46">
        <f t="shared" si="12"/>
        <v>153</v>
      </c>
      <c r="R21" s="26">
        <f t="shared" si="12"/>
        <v>0</v>
      </c>
      <c r="S21" s="27">
        <f t="shared" si="12"/>
        <v>28</v>
      </c>
      <c r="T21" s="27">
        <f t="shared" si="12"/>
        <v>1</v>
      </c>
      <c r="U21" s="27">
        <f t="shared" si="12"/>
        <v>0</v>
      </c>
      <c r="V21" s="28">
        <f t="shared" si="12"/>
        <v>0</v>
      </c>
      <c r="W21" s="29">
        <f t="shared" si="12"/>
        <v>100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24</v>
      </c>
      <c r="AB21" s="31">
        <f>SUM(AB6:AB20)/15</f>
        <v>0.59052938177792258</v>
      </c>
      <c r="AC21" s="4">
        <f>SUM(AC6:AC20)/15</f>
        <v>0.57499999999999996</v>
      </c>
      <c r="AD21" s="4">
        <f>SUM(AD6:AD20)/15</f>
        <v>0.56594453562252967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2" t="s">
        <v>45</v>
      </c>
      <c r="B48" s="372"/>
      <c r="C48" s="372"/>
      <c r="D48" s="372"/>
      <c r="E48" s="37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3" t="s">
        <v>617</v>
      </c>
      <c r="B49" s="374"/>
      <c r="C49" s="374"/>
      <c r="D49" s="374"/>
      <c r="E49" s="374"/>
      <c r="F49" s="374"/>
      <c r="G49" s="374"/>
      <c r="H49" s="374"/>
      <c r="I49" s="374"/>
      <c r="J49" s="374"/>
      <c r="K49" s="374"/>
      <c r="L49" s="374"/>
      <c r="M49" s="375"/>
      <c r="N49" s="376" t="s">
        <v>625</v>
      </c>
      <c r="O49" s="377"/>
      <c r="P49" s="377"/>
      <c r="Q49" s="377"/>
      <c r="R49" s="377"/>
      <c r="S49" s="377"/>
      <c r="T49" s="377"/>
      <c r="U49" s="377"/>
      <c r="V49" s="377"/>
      <c r="W49" s="377"/>
      <c r="X49" s="377"/>
      <c r="Y49" s="377"/>
      <c r="Z49" s="377"/>
      <c r="AA49" s="377"/>
      <c r="AB49" s="377"/>
      <c r="AC49" s="377"/>
      <c r="AD49" s="378"/>
    </row>
    <row r="50" spans="1:32" ht="27" customHeight="1">
      <c r="A50" s="379" t="s">
        <v>2</v>
      </c>
      <c r="B50" s="380"/>
      <c r="C50" s="268" t="s">
        <v>46</v>
      </c>
      <c r="D50" s="268" t="s">
        <v>47</v>
      </c>
      <c r="E50" s="268" t="s">
        <v>108</v>
      </c>
      <c r="F50" s="380" t="s">
        <v>107</v>
      </c>
      <c r="G50" s="380"/>
      <c r="H50" s="380"/>
      <c r="I50" s="380"/>
      <c r="J50" s="380"/>
      <c r="K50" s="380"/>
      <c r="L50" s="380"/>
      <c r="M50" s="381"/>
      <c r="N50" s="73" t="s">
        <v>112</v>
      </c>
      <c r="O50" s="268" t="s">
        <v>46</v>
      </c>
      <c r="P50" s="382" t="s">
        <v>47</v>
      </c>
      <c r="Q50" s="383"/>
      <c r="R50" s="382" t="s">
        <v>38</v>
      </c>
      <c r="S50" s="384"/>
      <c r="T50" s="384"/>
      <c r="U50" s="383"/>
      <c r="V50" s="382" t="s">
        <v>48</v>
      </c>
      <c r="W50" s="384"/>
      <c r="X50" s="384"/>
      <c r="Y50" s="384"/>
      <c r="Z50" s="384"/>
      <c r="AA50" s="384"/>
      <c r="AB50" s="384"/>
      <c r="AC50" s="384"/>
      <c r="AD50" s="385"/>
    </row>
    <row r="51" spans="1:32" ht="27" customHeight="1">
      <c r="A51" s="396" t="s">
        <v>122</v>
      </c>
      <c r="B51" s="397"/>
      <c r="C51" s="267" t="s">
        <v>386</v>
      </c>
      <c r="D51" s="264" t="s">
        <v>618</v>
      </c>
      <c r="E51" s="267" t="s">
        <v>619</v>
      </c>
      <c r="F51" s="398" t="s">
        <v>620</v>
      </c>
      <c r="G51" s="398"/>
      <c r="H51" s="398"/>
      <c r="I51" s="398"/>
      <c r="J51" s="398"/>
      <c r="K51" s="398"/>
      <c r="L51" s="398"/>
      <c r="M51" s="399"/>
      <c r="N51" s="263" t="s">
        <v>626</v>
      </c>
      <c r="O51" s="74" t="s">
        <v>195</v>
      </c>
      <c r="P51" s="400" t="s">
        <v>295</v>
      </c>
      <c r="Q51" s="401"/>
      <c r="R51" s="402" t="s">
        <v>627</v>
      </c>
      <c r="S51" s="402"/>
      <c r="T51" s="402"/>
      <c r="U51" s="402"/>
      <c r="V51" s="398" t="s">
        <v>190</v>
      </c>
      <c r="W51" s="398"/>
      <c r="X51" s="398"/>
      <c r="Y51" s="398"/>
      <c r="Z51" s="398"/>
      <c r="AA51" s="398"/>
      <c r="AB51" s="398"/>
      <c r="AC51" s="398"/>
      <c r="AD51" s="399"/>
    </row>
    <row r="52" spans="1:32" ht="27" customHeight="1">
      <c r="A52" s="396" t="s">
        <v>157</v>
      </c>
      <c r="B52" s="397"/>
      <c r="C52" s="267" t="s">
        <v>131</v>
      </c>
      <c r="D52" s="264" t="s">
        <v>169</v>
      </c>
      <c r="E52" s="267" t="s">
        <v>168</v>
      </c>
      <c r="F52" s="398" t="s">
        <v>621</v>
      </c>
      <c r="G52" s="398"/>
      <c r="H52" s="398"/>
      <c r="I52" s="398"/>
      <c r="J52" s="398"/>
      <c r="K52" s="398"/>
      <c r="L52" s="398"/>
      <c r="M52" s="399"/>
      <c r="N52" s="263" t="s">
        <v>628</v>
      </c>
      <c r="O52" s="74" t="s">
        <v>629</v>
      </c>
      <c r="P52" s="400" t="s">
        <v>630</v>
      </c>
      <c r="Q52" s="401"/>
      <c r="R52" s="402"/>
      <c r="S52" s="402"/>
      <c r="T52" s="402"/>
      <c r="U52" s="402"/>
      <c r="V52" s="398" t="s">
        <v>190</v>
      </c>
      <c r="W52" s="398"/>
      <c r="X52" s="398"/>
      <c r="Y52" s="398"/>
      <c r="Z52" s="398"/>
      <c r="AA52" s="398"/>
      <c r="AB52" s="398"/>
      <c r="AC52" s="398"/>
      <c r="AD52" s="399"/>
    </row>
    <row r="53" spans="1:32" ht="27" customHeight="1">
      <c r="A53" s="396" t="s">
        <v>157</v>
      </c>
      <c r="B53" s="397"/>
      <c r="C53" s="267" t="s">
        <v>622</v>
      </c>
      <c r="D53" s="264" t="s">
        <v>623</v>
      </c>
      <c r="E53" s="267" t="s">
        <v>636</v>
      </c>
      <c r="F53" s="398" t="s">
        <v>624</v>
      </c>
      <c r="G53" s="398"/>
      <c r="H53" s="398"/>
      <c r="I53" s="398"/>
      <c r="J53" s="398"/>
      <c r="K53" s="398"/>
      <c r="L53" s="398"/>
      <c r="M53" s="399"/>
      <c r="N53" s="263" t="s">
        <v>631</v>
      </c>
      <c r="O53" s="74" t="s">
        <v>278</v>
      </c>
      <c r="P53" s="402" t="s">
        <v>632</v>
      </c>
      <c r="Q53" s="402"/>
      <c r="R53" s="402" t="s">
        <v>633</v>
      </c>
      <c r="S53" s="402"/>
      <c r="T53" s="402"/>
      <c r="U53" s="402"/>
      <c r="V53" s="398" t="s">
        <v>190</v>
      </c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/>
      <c r="B54" s="397"/>
      <c r="C54" s="267"/>
      <c r="D54" s="264"/>
      <c r="E54" s="267"/>
      <c r="F54" s="398"/>
      <c r="G54" s="398"/>
      <c r="H54" s="398"/>
      <c r="I54" s="398"/>
      <c r="J54" s="398"/>
      <c r="K54" s="398"/>
      <c r="L54" s="398"/>
      <c r="M54" s="399"/>
      <c r="N54" s="263"/>
      <c r="O54" s="74"/>
      <c r="P54" s="402"/>
      <c r="Q54" s="402"/>
      <c r="R54" s="402"/>
      <c r="S54" s="402"/>
      <c r="T54" s="402"/>
      <c r="U54" s="402"/>
      <c r="V54" s="398"/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/>
      <c r="B55" s="397"/>
      <c r="C55" s="267"/>
      <c r="D55" s="264"/>
      <c r="E55" s="267"/>
      <c r="F55" s="398"/>
      <c r="G55" s="398"/>
      <c r="H55" s="398"/>
      <c r="I55" s="398"/>
      <c r="J55" s="398"/>
      <c r="K55" s="398"/>
      <c r="L55" s="398"/>
      <c r="M55" s="399"/>
      <c r="N55" s="263"/>
      <c r="O55" s="74"/>
      <c r="P55" s="402"/>
      <c r="Q55" s="402"/>
      <c r="R55" s="402"/>
      <c r="S55" s="402"/>
      <c r="T55" s="402"/>
      <c r="U55" s="402"/>
      <c r="V55" s="398"/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/>
      <c r="B56" s="397"/>
      <c r="C56" s="267"/>
      <c r="D56" s="264"/>
      <c r="E56" s="267"/>
      <c r="F56" s="398"/>
      <c r="G56" s="398"/>
      <c r="H56" s="398"/>
      <c r="I56" s="398"/>
      <c r="J56" s="398"/>
      <c r="K56" s="398"/>
      <c r="L56" s="398"/>
      <c r="M56" s="399"/>
      <c r="N56" s="263"/>
      <c r="O56" s="74"/>
      <c r="P56" s="402"/>
      <c r="Q56" s="402"/>
      <c r="R56" s="402"/>
      <c r="S56" s="402"/>
      <c r="T56" s="402"/>
      <c r="U56" s="402"/>
      <c r="V56" s="398"/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/>
      <c r="B57" s="397"/>
      <c r="C57" s="267"/>
      <c r="D57" s="264"/>
      <c r="E57" s="267"/>
      <c r="F57" s="398"/>
      <c r="G57" s="398"/>
      <c r="H57" s="398"/>
      <c r="I57" s="398"/>
      <c r="J57" s="398"/>
      <c r="K57" s="398"/>
      <c r="L57" s="398"/>
      <c r="M57" s="399"/>
      <c r="N57" s="263"/>
      <c r="O57" s="74"/>
      <c r="P57" s="400"/>
      <c r="Q57" s="401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/>
      <c r="B58" s="397"/>
      <c r="C58" s="267"/>
      <c r="D58" s="264"/>
      <c r="E58" s="267"/>
      <c r="F58" s="398"/>
      <c r="G58" s="398"/>
      <c r="H58" s="398"/>
      <c r="I58" s="398"/>
      <c r="J58" s="398"/>
      <c r="K58" s="398"/>
      <c r="L58" s="398"/>
      <c r="M58" s="399"/>
      <c r="N58" s="263"/>
      <c r="O58" s="74"/>
      <c r="P58" s="400"/>
      <c r="Q58" s="401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412"/>
      <c r="B59" s="402"/>
      <c r="C59" s="264"/>
      <c r="D59" s="264"/>
      <c r="E59" s="264"/>
      <c r="F59" s="398"/>
      <c r="G59" s="398"/>
      <c r="H59" s="398"/>
      <c r="I59" s="398"/>
      <c r="J59" s="398"/>
      <c r="K59" s="398"/>
      <c r="L59" s="398"/>
      <c r="M59" s="399"/>
      <c r="N59" s="263"/>
      <c r="O59" s="74"/>
      <c r="P59" s="402"/>
      <c r="Q59" s="402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  <c r="AF59" s="94">
        <f>8*3000</f>
        <v>24000</v>
      </c>
    </row>
    <row r="60" spans="1:32" ht="27" customHeight="1" thickBot="1">
      <c r="A60" s="403"/>
      <c r="B60" s="404"/>
      <c r="C60" s="266"/>
      <c r="D60" s="266"/>
      <c r="E60" s="266"/>
      <c r="F60" s="405"/>
      <c r="G60" s="405"/>
      <c r="H60" s="405"/>
      <c r="I60" s="405"/>
      <c r="J60" s="405"/>
      <c r="K60" s="405"/>
      <c r="L60" s="405"/>
      <c r="M60" s="406"/>
      <c r="N60" s="265"/>
      <c r="O60" s="121"/>
      <c r="P60" s="404"/>
      <c r="Q60" s="404"/>
      <c r="R60" s="404"/>
      <c r="S60" s="404"/>
      <c r="T60" s="404"/>
      <c r="U60" s="404"/>
      <c r="V60" s="405"/>
      <c r="W60" s="405"/>
      <c r="X60" s="405"/>
      <c r="Y60" s="405"/>
      <c r="Z60" s="405"/>
      <c r="AA60" s="405"/>
      <c r="AB60" s="405"/>
      <c r="AC60" s="405"/>
      <c r="AD60" s="406"/>
      <c r="AF60" s="94">
        <f>16*3000</f>
        <v>48000</v>
      </c>
    </row>
    <row r="61" spans="1:32" ht="27.75" thickBot="1">
      <c r="A61" s="407" t="s">
        <v>634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262" t="s">
        <v>2</v>
      </c>
      <c r="D62" s="262" t="s">
        <v>37</v>
      </c>
      <c r="E62" s="262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262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3"/>
      <c r="T62" s="413"/>
      <c r="U62" s="413"/>
      <c r="V62" s="413"/>
      <c r="W62" s="413"/>
      <c r="X62" s="413"/>
      <c r="Y62" s="413"/>
      <c r="Z62" s="413"/>
      <c r="AA62" s="411"/>
      <c r="AB62" s="409" t="s">
        <v>44</v>
      </c>
      <c r="AC62" s="409"/>
      <c r="AD62" s="414"/>
      <c r="AF62" s="94">
        <f>SUM(AF59:AF61)</f>
        <v>96000</v>
      </c>
    </row>
    <row r="63" spans="1:32" ht="25.5" customHeight="1">
      <c r="A63" s="415">
        <v>1</v>
      </c>
      <c r="B63" s="416"/>
      <c r="C63" s="124" t="s">
        <v>635</v>
      </c>
      <c r="D63" s="258"/>
      <c r="E63" s="261" t="s">
        <v>348</v>
      </c>
      <c r="F63" s="417" t="s">
        <v>349</v>
      </c>
      <c r="G63" s="418"/>
      <c r="H63" s="418"/>
      <c r="I63" s="418"/>
      <c r="J63" s="418"/>
      <c r="K63" s="418" t="s">
        <v>350</v>
      </c>
      <c r="L63" s="418"/>
      <c r="M63" s="54" t="s">
        <v>397</v>
      </c>
      <c r="N63" s="418">
        <v>5</v>
      </c>
      <c r="O63" s="418"/>
      <c r="P63" s="419">
        <v>200</v>
      </c>
      <c r="Q63" s="419"/>
      <c r="R63" s="398" t="s">
        <v>637</v>
      </c>
      <c r="S63" s="398"/>
      <c r="T63" s="398"/>
      <c r="U63" s="398"/>
      <c r="V63" s="398"/>
      <c r="W63" s="398"/>
      <c r="X63" s="398"/>
      <c r="Y63" s="398"/>
      <c r="Z63" s="398"/>
      <c r="AA63" s="398"/>
      <c r="AB63" s="418"/>
      <c r="AC63" s="418"/>
      <c r="AD63" s="420"/>
      <c r="AF63" s="53"/>
    </row>
    <row r="64" spans="1:32" ht="25.5" customHeight="1">
      <c r="A64" s="415">
        <v>2</v>
      </c>
      <c r="B64" s="416"/>
      <c r="C64" s="124"/>
      <c r="D64" s="258"/>
      <c r="E64" s="261"/>
      <c r="F64" s="417"/>
      <c r="G64" s="418"/>
      <c r="H64" s="418"/>
      <c r="I64" s="418"/>
      <c r="J64" s="418"/>
      <c r="K64" s="418"/>
      <c r="L64" s="418"/>
      <c r="M64" s="54"/>
      <c r="N64" s="418"/>
      <c r="O64" s="418"/>
      <c r="P64" s="419"/>
      <c r="Q64" s="419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418"/>
      <c r="AC64" s="418"/>
      <c r="AD64" s="420"/>
      <c r="AF64" s="53"/>
    </row>
    <row r="65" spans="1:32" ht="25.5" customHeight="1">
      <c r="A65" s="415">
        <v>3</v>
      </c>
      <c r="B65" s="416"/>
      <c r="C65" s="124"/>
      <c r="D65" s="258"/>
      <c r="E65" s="261"/>
      <c r="F65" s="417"/>
      <c r="G65" s="418"/>
      <c r="H65" s="418"/>
      <c r="I65" s="418"/>
      <c r="J65" s="418"/>
      <c r="K65" s="418"/>
      <c r="L65" s="418"/>
      <c r="M65" s="54"/>
      <c r="N65" s="418"/>
      <c r="O65" s="418"/>
      <c r="P65" s="419"/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4</v>
      </c>
      <c r="B66" s="416"/>
      <c r="C66" s="124"/>
      <c r="D66" s="258"/>
      <c r="E66" s="261"/>
      <c r="F66" s="417"/>
      <c r="G66" s="418"/>
      <c r="H66" s="418"/>
      <c r="I66" s="418"/>
      <c r="J66" s="418"/>
      <c r="K66" s="418"/>
      <c r="L66" s="418"/>
      <c r="M66" s="54"/>
      <c r="N66" s="418"/>
      <c r="O66" s="418"/>
      <c r="P66" s="419"/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5</v>
      </c>
      <c r="B67" s="416"/>
      <c r="C67" s="124"/>
      <c r="D67" s="258"/>
      <c r="E67" s="261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6</v>
      </c>
      <c r="B68" s="416"/>
      <c r="C68" s="124"/>
      <c r="D68" s="258"/>
      <c r="E68" s="261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7</v>
      </c>
      <c r="B69" s="416"/>
      <c r="C69" s="124"/>
      <c r="D69" s="258"/>
      <c r="E69" s="261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8</v>
      </c>
      <c r="B70" s="416"/>
      <c r="C70" s="124"/>
      <c r="D70" s="258"/>
      <c r="E70" s="261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6.25" customHeight="1" thickBot="1">
      <c r="A71" s="421" t="s">
        <v>638</v>
      </c>
      <c r="B71" s="421"/>
      <c r="C71" s="421"/>
      <c r="D71" s="421"/>
      <c r="E71" s="42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2" t="s">
        <v>113</v>
      </c>
      <c r="B72" s="423"/>
      <c r="C72" s="260" t="s">
        <v>2</v>
      </c>
      <c r="D72" s="260" t="s">
        <v>37</v>
      </c>
      <c r="E72" s="260" t="s">
        <v>3</v>
      </c>
      <c r="F72" s="423" t="s">
        <v>38</v>
      </c>
      <c r="G72" s="423"/>
      <c r="H72" s="423"/>
      <c r="I72" s="423"/>
      <c r="J72" s="423"/>
      <c r="K72" s="424" t="s">
        <v>58</v>
      </c>
      <c r="L72" s="425"/>
      <c r="M72" s="425"/>
      <c r="N72" s="425"/>
      <c r="O72" s="425"/>
      <c r="P72" s="425"/>
      <c r="Q72" s="425"/>
      <c r="R72" s="425"/>
      <c r="S72" s="426"/>
      <c r="T72" s="423" t="s">
        <v>49</v>
      </c>
      <c r="U72" s="423"/>
      <c r="V72" s="424" t="s">
        <v>50</v>
      </c>
      <c r="W72" s="426"/>
      <c r="X72" s="425" t="s">
        <v>51</v>
      </c>
      <c r="Y72" s="425"/>
      <c r="Z72" s="425"/>
      <c r="AA72" s="425"/>
      <c r="AB72" s="425"/>
      <c r="AC72" s="425"/>
      <c r="AD72" s="427"/>
      <c r="AF72" s="53"/>
    </row>
    <row r="73" spans="1:32" ht="33.75" customHeight="1">
      <c r="A73" s="436">
        <v>1</v>
      </c>
      <c r="B73" s="437"/>
      <c r="C73" s="259" t="s">
        <v>114</v>
      </c>
      <c r="D73" s="259"/>
      <c r="E73" s="71" t="s">
        <v>119</v>
      </c>
      <c r="F73" s="438" t="s">
        <v>120</v>
      </c>
      <c r="G73" s="439"/>
      <c r="H73" s="439"/>
      <c r="I73" s="439"/>
      <c r="J73" s="440"/>
      <c r="K73" s="441" t="s">
        <v>115</v>
      </c>
      <c r="L73" s="442"/>
      <c r="M73" s="442"/>
      <c r="N73" s="442"/>
      <c r="O73" s="442"/>
      <c r="P73" s="442"/>
      <c r="Q73" s="442"/>
      <c r="R73" s="442"/>
      <c r="S73" s="443"/>
      <c r="T73" s="444">
        <v>42901</v>
      </c>
      <c r="U73" s="445"/>
      <c r="V73" s="446"/>
      <c r="W73" s="446"/>
      <c r="X73" s="447"/>
      <c r="Y73" s="447"/>
      <c r="Z73" s="447"/>
      <c r="AA73" s="447"/>
      <c r="AB73" s="447"/>
      <c r="AC73" s="447"/>
      <c r="AD73" s="448"/>
      <c r="AF73" s="53"/>
    </row>
    <row r="74" spans="1:32" ht="30" customHeight="1">
      <c r="A74" s="428">
        <f>A73+1</f>
        <v>2</v>
      </c>
      <c r="B74" s="429"/>
      <c r="C74" s="258" t="s">
        <v>114</v>
      </c>
      <c r="D74" s="258"/>
      <c r="E74" s="35" t="s">
        <v>116</v>
      </c>
      <c r="F74" s="429" t="s">
        <v>117</v>
      </c>
      <c r="G74" s="429"/>
      <c r="H74" s="429"/>
      <c r="I74" s="429"/>
      <c r="J74" s="429"/>
      <c r="K74" s="430" t="s">
        <v>118</v>
      </c>
      <c r="L74" s="431"/>
      <c r="M74" s="431"/>
      <c r="N74" s="431"/>
      <c r="O74" s="431"/>
      <c r="P74" s="431"/>
      <c r="Q74" s="431"/>
      <c r="R74" s="431"/>
      <c r="S74" s="432"/>
      <c r="T74" s="433">
        <v>42867</v>
      </c>
      <c r="U74" s="433"/>
      <c r="V74" s="433"/>
      <c r="W74" s="433"/>
      <c r="X74" s="434"/>
      <c r="Y74" s="434"/>
      <c r="Z74" s="434"/>
      <c r="AA74" s="434"/>
      <c r="AB74" s="434"/>
      <c r="AC74" s="434"/>
      <c r="AD74" s="435"/>
      <c r="AF74" s="53"/>
    </row>
    <row r="75" spans="1:32" ht="30" customHeight="1">
      <c r="A75" s="428">
        <f t="shared" ref="A75:A81" si="13">A74+1</f>
        <v>3</v>
      </c>
      <c r="B75" s="429"/>
      <c r="C75" s="258"/>
      <c r="D75" s="258"/>
      <c r="E75" s="35"/>
      <c r="F75" s="429"/>
      <c r="G75" s="429"/>
      <c r="H75" s="429"/>
      <c r="I75" s="429"/>
      <c r="J75" s="429"/>
      <c r="K75" s="430"/>
      <c r="L75" s="431"/>
      <c r="M75" s="431"/>
      <c r="N75" s="431"/>
      <c r="O75" s="431"/>
      <c r="P75" s="431"/>
      <c r="Q75" s="431"/>
      <c r="R75" s="431"/>
      <c r="S75" s="432"/>
      <c r="T75" s="433"/>
      <c r="U75" s="433"/>
      <c r="V75" s="433"/>
      <c r="W75" s="433"/>
      <c r="X75" s="434"/>
      <c r="Y75" s="434"/>
      <c r="Z75" s="434"/>
      <c r="AA75" s="434"/>
      <c r="AB75" s="434"/>
      <c r="AC75" s="434"/>
      <c r="AD75" s="435"/>
      <c r="AF75" s="53"/>
    </row>
    <row r="76" spans="1:32" ht="30" customHeight="1">
      <c r="A76" s="428">
        <f t="shared" si="13"/>
        <v>4</v>
      </c>
      <c r="B76" s="429"/>
      <c r="C76" s="258"/>
      <c r="D76" s="258"/>
      <c r="E76" s="35"/>
      <c r="F76" s="429"/>
      <c r="G76" s="429"/>
      <c r="H76" s="429"/>
      <c r="I76" s="429"/>
      <c r="J76" s="429"/>
      <c r="K76" s="430"/>
      <c r="L76" s="431"/>
      <c r="M76" s="431"/>
      <c r="N76" s="431"/>
      <c r="O76" s="431"/>
      <c r="P76" s="431"/>
      <c r="Q76" s="431"/>
      <c r="R76" s="431"/>
      <c r="S76" s="432"/>
      <c r="T76" s="433"/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si="13"/>
        <v>5</v>
      </c>
      <c r="B77" s="429"/>
      <c r="C77" s="258"/>
      <c r="D77" s="258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13"/>
        <v>6</v>
      </c>
      <c r="B78" s="429"/>
      <c r="C78" s="258"/>
      <c r="D78" s="258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13"/>
        <v>7</v>
      </c>
      <c r="B79" s="429"/>
      <c r="C79" s="258"/>
      <c r="D79" s="258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13"/>
        <v>8</v>
      </c>
      <c r="B80" s="429"/>
      <c r="C80" s="258"/>
      <c r="D80" s="258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13"/>
        <v>9</v>
      </c>
      <c r="B81" s="429"/>
      <c r="C81" s="258"/>
      <c r="D81" s="258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6" thickBot="1">
      <c r="A82" s="421" t="s">
        <v>639</v>
      </c>
      <c r="B82" s="421"/>
      <c r="C82" s="421"/>
      <c r="D82" s="421"/>
      <c r="E82" s="42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2" t="s">
        <v>113</v>
      </c>
      <c r="B83" s="423"/>
      <c r="C83" s="449" t="s">
        <v>52</v>
      </c>
      <c r="D83" s="449"/>
      <c r="E83" s="449" t="s">
        <v>53</v>
      </c>
      <c r="F83" s="449"/>
      <c r="G83" s="449"/>
      <c r="H83" s="449"/>
      <c r="I83" s="449"/>
      <c r="J83" s="449"/>
      <c r="K83" s="449" t="s">
        <v>54</v>
      </c>
      <c r="L83" s="449"/>
      <c r="M83" s="449"/>
      <c r="N83" s="449"/>
      <c r="O83" s="449"/>
      <c r="P83" s="449"/>
      <c r="Q83" s="449"/>
      <c r="R83" s="449"/>
      <c r="S83" s="449"/>
      <c r="T83" s="449" t="s">
        <v>55</v>
      </c>
      <c r="U83" s="449"/>
      <c r="V83" s="449" t="s">
        <v>56</v>
      </c>
      <c r="W83" s="449"/>
      <c r="X83" s="449"/>
      <c r="Y83" s="449" t="s">
        <v>51</v>
      </c>
      <c r="Z83" s="449"/>
      <c r="AA83" s="449"/>
      <c r="AB83" s="449"/>
      <c r="AC83" s="449"/>
      <c r="AD83" s="450"/>
      <c r="AF83" s="53"/>
    </row>
    <row r="84" spans="1:32" ht="30.75" customHeight="1">
      <c r="A84" s="436">
        <v>1</v>
      </c>
      <c r="B84" s="437"/>
      <c r="C84" s="451"/>
      <c r="D84" s="451"/>
      <c r="E84" s="451"/>
      <c r="F84" s="451"/>
      <c r="G84" s="451"/>
      <c r="H84" s="451"/>
      <c r="I84" s="451"/>
      <c r="J84" s="451"/>
      <c r="K84" s="451"/>
      <c r="L84" s="451"/>
      <c r="M84" s="451"/>
      <c r="N84" s="451"/>
      <c r="O84" s="451"/>
      <c r="P84" s="451"/>
      <c r="Q84" s="451"/>
      <c r="R84" s="451"/>
      <c r="S84" s="451"/>
      <c r="T84" s="451"/>
      <c r="U84" s="451"/>
      <c r="V84" s="452"/>
      <c r="W84" s="452"/>
      <c r="X84" s="452"/>
      <c r="Y84" s="453"/>
      <c r="Z84" s="453"/>
      <c r="AA84" s="453"/>
      <c r="AB84" s="453"/>
      <c r="AC84" s="453"/>
      <c r="AD84" s="454"/>
      <c r="AF84" s="53"/>
    </row>
    <row r="85" spans="1:32" ht="30.75" customHeight="1">
      <c r="A85" s="428">
        <v>2</v>
      </c>
      <c r="B85" s="429"/>
      <c r="C85" s="462"/>
      <c r="D85" s="462"/>
      <c r="E85" s="462"/>
      <c r="F85" s="462"/>
      <c r="G85" s="462"/>
      <c r="H85" s="462"/>
      <c r="I85" s="462"/>
      <c r="J85" s="462"/>
      <c r="K85" s="462"/>
      <c r="L85" s="462"/>
      <c r="M85" s="462"/>
      <c r="N85" s="462"/>
      <c r="O85" s="462"/>
      <c r="P85" s="462"/>
      <c r="Q85" s="462"/>
      <c r="R85" s="462"/>
      <c r="S85" s="462"/>
      <c r="T85" s="463"/>
      <c r="U85" s="463"/>
      <c r="V85" s="464"/>
      <c r="W85" s="464"/>
      <c r="X85" s="464"/>
      <c r="Y85" s="455"/>
      <c r="Z85" s="455"/>
      <c r="AA85" s="455"/>
      <c r="AB85" s="455"/>
      <c r="AC85" s="455"/>
      <c r="AD85" s="456"/>
      <c r="AF85" s="53"/>
    </row>
    <row r="86" spans="1:32" ht="30.75" customHeight="1" thickBot="1">
      <c r="A86" s="457">
        <v>3</v>
      </c>
      <c r="B86" s="458"/>
      <c r="C86" s="459"/>
      <c r="D86" s="459"/>
      <c r="E86" s="459"/>
      <c r="F86" s="459"/>
      <c r="G86" s="459"/>
      <c r="H86" s="459"/>
      <c r="I86" s="459"/>
      <c r="J86" s="459"/>
      <c r="K86" s="459"/>
      <c r="L86" s="459"/>
      <c r="M86" s="459"/>
      <c r="N86" s="459"/>
      <c r="O86" s="459"/>
      <c r="P86" s="459"/>
      <c r="Q86" s="459"/>
      <c r="R86" s="459"/>
      <c r="S86" s="459"/>
      <c r="T86" s="459"/>
      <c r="U86" s="459"/>
      <c r="V86" s="459"/>
      <c r="W86" s="459"/>
      <c r="X86" s="459"/>
      <c r="Y86" s="460"/>
      <c r="Z86" s="460"/>
      <c r="AA86" s="460"/>
      <c r="AB86" s="460"/>
      <c r="AC86" s="460"/>
      <c r="AD86" s="46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8"/>
  <sheetViews>
    <sheetView zoomScale="72" zoomScaleNormal="72" zoomScaleSheetLayoutView="70" workbookViewId="0">
      <selection activeCell="A85" sqref="A85:B8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5" t="s">
        <v>640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2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270" t="s">
        <v>17</v>
      </c>
      <c r="L5" s="270" t="s">
        <v>18</v>
      </c>
      <c r="M5" s="270" t="s">
        <v>19</v>
      </c>
      <c r="N5" s="27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2" ht="27" customHeight="1">
      <c r="A6" s="108">
        <v>1</v>
      </c>
      <c r="B6" s="11" t="s">
        <v>57</v>
      </c>
      <c r="C6" s="37" t="s">
        <v>122</v>
      </c>
      <c r="D6" s="55" t="s">
        <v>127</v>
      </c>
      <c r="E6" s="57" t="s">
        <v>609</v>
      </c>
      <c r="F6" s="33" t="s">
        <v>153</v>
      </c>
      <c r="G6" s="36">
        <v>1</v>
      </c>
      <c r="H6" s="38">
        <v>25</v>
      </c>
      <c r="I6" s="7">
        <v>10000</v>
      </c>
      <c r="J6" s="5">
        <v>4880</v>
      </c>
      <c r="K6" s="15">
        <f>L6+3911</f>
        <v>8784</v>
      </c>
      <c r="L6" s="15">
        <f>2520+2353</f>
        <v>4873</v>
      </c>
      <c r="M6" s="16">
        <f t="shared" ref="M6:M22" si="0">L6-N6</f>
        <v>4873</v>
      </c>
      <c r="N6" s="16">
        <v>0</v>
      </c>
      <c r="O6" s="62">
        <f t="shared" ref="O6:O23" si="1">IF(L6=0,"0",N6/L6)</f>
        <v>0</v>
      </c>
      <c r="P6" s="42">
        <f t="shared" ref="P6:P22" si="2">IF(L6=0,"0",(24-Q6))</f>
        <v>24</v>
      </c>
      <c r="Q6" s="43">
        <f t="shared" ref="Q6:Q22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2" si="4">IF(J6=0,"0",(L6/J6))</f>
        <v>0.99856557377049182</v>
      </c>
      <c r="AC6" s="9">
        <f t="shared" ref="AC6:AC22" si="5">IF(P6=0,"0",(P6/24))</f>
        <v>1</v>
      </c>
      <c r="AD6" s="10">
        <f t="shared" ref="AD6:AD22" si="6">AC6*AB6*(1-O6)</f>
        <v>0.99856557377049182</v>
      </c>
      <c r="AE6" s="39">
        <f t="shared" ref="AE6:AE22" si="7">$AD$23</f>
        <v>0.5800509123503409</v>
      </c>
      <c r="AF6" s="94">
        <f t="shared" ref="AF6:AF22" si="8">A6</f>
        <v>1</v>
      </c>
    </row>
    <row r="7" spans="1:32" ht="27" customHeight="1">
      <c r="A7" s="108">
        <v>2</v>
      </c>
      <c r="B7" s="11" t="s">
        <v>57</v>
      </c>
      <c r="C7" s="37" t="s">
        <v>123</v>
      </c>
      <c r="D7" s="55" t="s">
        <v>156</v>
      </c>
      <c r="E7" s="57" t="s">
        <v>311</v>
      </c>
      <c r="F7" s="33" t="s">
        <v>312</v>
      </c>
      <c r="G7" s="12">
        <v>3</v>
      </c>
      <c r="H7" s="13">
        <v>25</v>
      </c>
      <c r="I7" s="34">
        <v>100000</v>
      </c>
      <c r="J7" s="5">
        <v>15560</v>
      </c>
      <c r="K7" s="15">
        <f>L7+11583+14484+15558</f>
        <v>41625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0.5800509123503409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472</v>
      </c>
      <c r="D8" s="55" t="s">
        <v>295</v>
      </c>
      <c r="E8" s="57" t="s">
        <v>502</v>
      </c>
      <c r="F8" s="33" t="s">
        <v>529</v>
      </c>
      <c r="G8" s="12">
        <v>2</v>
      </c>
      <c r="H8" s="13">
        <v>25</v>
      </c>
      <c r="I8" s="34">
        <v>80000</v>
      </c>
      <c r="J8" s="5">
        <v>11460</v>
      </c>
      <c r="K8" s="15">
        <f>L8+6076+12974+10368</f>
        <v>40870</v>
      </c>
      <c r="L8" s="15">
        <f>3108*2+2618*2</f>
        <v>11452</v>
      </c>
      <c r="M8" s="16">
        <f t="shared" si="0"/>
        <v>11452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0.99930191972076787</v>
      </c>
      <c r="AC8" s="9">
        <f t="shared" si="5"/>
        <v>1</v>
      </c>
      <c r="AD8" s="10">
        <f t="shared" si="6"/>
        <v>0.99930191972076787</v>
      </c>
      <c r="AE8" s="39">
        <f t="shared" si="7"/>
        <v>0.5800509123503409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122</v>
      </c>
      <c r="D9" s="55" t="s">
        <v>121</v>
      </c>
      <c r="E9" s="57" t="s">
        <v>154</v>
      </c>
      <c r="F9" s="33" t="s">
        <v>140</v>
      </c>
      <c r="G9" s="36">
        <v>1</v>
      </c>
      <c r="H9" s="38">
        <v>25</v>
      </c>
      <c r="I9" s="7">
        <v>17000</v>
      </c>
      <c r="J9" s="5">
        <v>1870</v>
      </c>
      <c r="K9" s="15">
        <f>L9+4446+5012+5382</f>
        <v>16705</v>
      </c>
      <c r="L9" s="15">
        <v>1865</v>
      </c>
      <c r="M9" s="16">
        <f t="shared" si="0"/>
        <v>1865</v>
      </c>
      <c r="N9" s="16">
        <v>0</v>
      </c>
      <c r="O9" s="62">
        <f t="shared" si="1"/>
        <v>0</v>
      </c>
      <c r="P9" s="42">
        <f t="shared" si="2"/>
        <v>6</v>
      </c>
      <c r="Q9" s="43">
        <f t="shared" si="3"/>
        <v>18</v>
      </c>
      <c r="R9" s="7"/>
      <c r="S9" s="6"/>
      <c r="T9" s="17"/>
      <c r="U9" s="17"/>
      <c r="V9" s="18"/>
      <c r="W9" s="19">
        <v>18</v>
      </c>
      <c r="X9" s="17"/>
      <c r="Y9" s="20"/>
      <c r="Z9" s="20"/>
      <c r="AA9" s="21"/>
      <c r="AB9" s="8">
        <f t="shared" si="4"/>
        <v>0.99732620320855614</v>
      </c>
      <c r="AC9" s="9">
        <f t="shared" si="5"/>
        <v>0.25</v>
      </c>
      <c r="AD9" s="10">
        <f t="shared" si="6"/>
        <v>0.24933155080213903</v>
      </c>
      <c r="AE9" s="39">
        <f t="shared" si="7"/>
        <v>0.5800509123503409</v>
      </c>
      <c r="AF9" s="94">
        <f t="shared" si="8"/>
        <v>4</v>
      </c>
    </row>
    <row r="10" spans="1:32" ht="27" customHeight="1">
      <c r="A10" s="110">
        <v>4</v>
      </c>
      <c r="B10" s="11" t="s">
        <v>57</v>
      </c>
      <c r="C10" s="37" t="s">
        <v>122</v>
      </c>
      <c r="D10" s="55" t="s">
        <v>641</v>
      </c>
      <c r="E10" s="57" t="s">
        <v>642</v>
      </c>
      <c r="F10" s="33" t="s">
        <v>643</v>
      </c>
      <c r="G10" s="36">
        <v>16</v>
      </c>
      <c r="H10" s="38">
        <v>25</v>
      </c>
      <c r="I10" s="7">
        <v>17000</v>
      </c>
      <c r="J10" s="5">
        <v>1870</v>
      </c>
      <c r="K10" s="15">
        <f>L10</f>
        <v>0</v>
      </c>
      <c r="L10" s="15">
        <v>0</v>
      </c>
      <c r="M10" s="16">
        <f t="shared" ref="M10" si="9">L10-N10</f>
        <v>0</v>
      </c>
      <c r="N10" s="16">
        <v>0</v>
      </c>
      <c r="O10" s="62" t="str">
        <f t="shared" ref="O10" si="10">IF(L10=0,"0",N10/L10)</f>
        <v>0</v>
      </c>
      <c r="P10" s="42" t="str">
        <f t="shared" ref="P10" si="11">IF(L10=0,"0",(24-Q10))</f>
        <v>0</v>
      </c>
      <c r="Q10" s="43">
        <f t="shared" ref="Q10" si="12">SUM(R10:AA10)</f>
        <v>18</v>
      </c>
      <c r="R10" s="7"/>
      <c r="S10" s="6">
        <v>18</v>
      </c>
      <c r="T10" s="17"/>
      <c r="U10" s="17"/>
      <c r="V10" s="18"/>
      <c r="W10" s="19"/>
      <c r="X10" s="17"/>
      <c r="Y10" s="20"/>
      <c r="Z10" s="20"/>
      <c r="AA10" s="21"/>
      <c r="AB10" s="8">
        <f t="shared" ref="AB10" si="13">IF(J10=0,"0",(L10/J10))</f>
        <v>0</v>
      </c>
      <c r="AC10" s="9">
        <f t="shared" ref="AC10" si="14">IF(P10=0,"0",(P10/24))</f>
        <v>0</v>
      </c>
      <c r="AD10" s="10">
        <f t="shared" ref="AD10" si="15">AC10*AB10*(1-O10)</f>
        <v>0</v>
      </c>
      <c r="AE10" s="39">
        <f t="shared" si="7"/>
        <v>0.5800509123503409</v>
      </c>
      <c r="AF10" s="94">
        <f t="shared" ref="AF10" si="16">A10</f>
        <v>4</v>
      </c>
    </row>
    <row r="11" spans="1:32" ht="27" customHeight="1">
      <c r="A11" s="110">
        <v>5</v>
      </c>
      <c r="B11" s="11" t="s">
        <v>57</v>
      </c>
      <c r="C11" s="11" t="s">
        <v>146</v>
      </c>
      <c r="D11" s="55" t="s">
        <v>348</v>
      </c>
      <c r="E11" s="57" t="s">
        <v>349</v>
      </c>
      <c r="F11" s="12" t="s">
        <v>616</v>
      </c>
      <c r="G11" s="12">
        <v>2</v>
      </c>
      <c r="H11" s="13">
        <v>20</v>
      </c>
      <c r="I11" s="34">
        <v>100000</v>
      </c>
      <c r="J11" s="14">
        <v>800</v>
      </c>
      <c r="K11" s="15">
        <f>L11</f>
        <v>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0.5800509123503409</v>
      </c>
      <c r="AF11" s="94">
        <f t="shared" si="8"/>
        <v>5</v>
      </c>
    </row>
    <row r="12" spans="1:32" ht="27" customHeight="1">
      <c r="A12" s="110">
        <v>6</v>
      </c>
      <c r="B12" s="11" t="s">
        <v>57</v>
      </c>
      <c r="C12" s="11" t="s">
        <v>472</v>
      </c>
      <c r="D12" s="55" t="s">
        <v>121</v>
      </c>
      <c r="E12" s="57" t="s">
        <v>508</v>
      </c>
      <c r="F12" s="12" t="s">
        <v>557</v>
      </c>
      <c r="G12" s="12">
        <v>2</v>
      </c>
      <c r="H12" s="13">
        <v>25</v>
      </c>
      <c r="I12" s="34">
        <v>80000</v>
      </c>
      <c r="J12" s="14">
        <v>9000</v>
      </c>
      <c r="K12" s="15">
        <f>L12+3674+8520+10258</f>
        <v>31450</v>
      </c>
      <c r="L12" s="15">
        <f>2736*2+1763*2</f>
        <v>8998</v>
      </c>
      <c r="M12" s="16">
        <f t="shared" si="0"/>
        <v>8998</v>
      </c>
      <c r="N12" s="16">
        <v>0</v>
      </c>
      <c r="O12" s="62">
        <f t="shared" si="1"/>
        <v>0</v>
      </c>
      <c r="P12" s="42">
        <f t="shared" si="2"/>
        <v>22</v>
      </c>
      <c r="Q12" s="43">
        <f t="shared" si="3"/>
        <v>2</v>
      </c>
      <c r="R12" s="7"/>
      <c r="S12" s="6">
        <v>2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0.99977777777777777</v>
      </c>
      <c r="AC12" s="9">
        <f t="shared" si="5"/>
        <v>0.91666666666666663</v>
      </c>
      <c r="AD12" s="10">
        <f t="shared" si="6"/>
        <v>0.91646296296296292</v>
      </c>
      <c r="AE12" s="39">
        <f t="shared" si="7"/>
        <v>0.5800509123503409</v>
      </c>
      <c r="AF12" s="94">
        <f t="shared" si="8"/>
        <v>6</v>
      </c>
    </row>
    <row r="13" spans="1:32" ht="27" customHeight="1">
      <c r="A13" s="110">
        <v>7</v>
      </c>
      <c r="B13" s="11" t="s">
        <v>57</v>
      </c>
      <c r="C13" s="11" t="s">
        <v>644</v>
      </c>
      <c r="D13" s="55" t="s">
        <v>645</v>
      </c>
      <c r="E13" s="57" t="s">
        <v>646</v>
      </c>
      <c r="F13" s="12" t="s">
        <v>647</v>
      </c>
      <c r="G13" s="12" t="s">
        <v>648</v>
      </c>
      <c r="H13" s="13">
        <v>25</v>
      </c>
      <c r="I13" s="7">
        <v>500</v>
      </c>
      <c r="J13" s="14">
        <v>1230</v>
      </c>
      <c r="K13" s="15">
        <f>L13</f>
        <v>1223</v>
      </c>
      <c r="L13" s="15">
        <v>1223</v>
      </c>
      <c r="M13" s="16">
        <f t="shared" si="0"/>
        <v>1223</v>
      </c>
      <c r="N13" s="16">
        <v>0</v>
      </c>
      <c r="O13" s="62">
        <f t="shared" si="1"/>
        <v>0</v>
      </c>
      <c r="P13" s="42">
        <f t="shared" si="2"/>
        <v>5</v>
      </c>
      <c r="Q13" s="43">
        <f t="shared" si="3"/>
        <v>19</v>
      </c>
      <c r="R13" s="7"/>
      <c r="S13" s="6"/>
      <c r="T13" s="17"/>
      <c r="U13" s="17"/>
      <c r="V13" s="18"/>
      <c r="W13" s="19">
        <v>19</v>
      </c>
      <c r="X13" s="17"/>
      <c r="Y13" s="20"/>
      <c r="Z13" s="20"/>
      <c r="AA13" s="21"/>
      <c r="AB13" s="8">
        <f t="shared" si="4"/>
        <v>0.99430894308943085</v>
      </c>
      <c r="AC13" s="9">
        <f t="shared" si="5"/>
        <v>0.20833333333333334</v>
      </c>
      <c r="AD13" s="10">
        <f t="shared" si="6"/>
        <v>0.20714769647696477</v>
      </c>
      <c r="AE13" s="39">
        <f t="shared" si="7"/>
        <v>0.5800509123503409</v>
      </c>
      <c r="AF13" s="94">
        <f t="shared" si="8"/>
        <v>7</v>
      </c>
    </row>
    <row r="14" spans="1:32" ht="27" customHeight="1">
      <c r="A14" s="110">
        <v>7</v>
      </c>
      <c r="B14" s="11" t="s">
        <v>57</v>
      </c>
      <c r="C14" s="11" t="s">
        <v>483</v>
      </c>
      <c r="D14" s="55" t="s">
        <v>649</v>
      </c>
      <c r="E14" s="57" t="s">
        <v>650</v>
      </c>
      <c r="F14" s="12">
        <v>7301</v>
      </c>
      <c r="G14" s="12">
        <v>1</v>
      </c>
      <c r="H14" s="13">
        <v>25</v>
      </c>
      <c r="I14" s="7">
        <v>10000</v>
      </c>
      <c r="J14" s="14">
        <v>3340</v>
      </c>
      <c r="K14" s="15">
        <f>L14</f>
        <v>3335</v>
      </c>
      <c r="L14" s="15">
        <f>515+2820</f>
        <v>3335</v>
      </c>
      <c r="M14" s="16">
        <f t="shared" ref="M14" si="17">L14-N14</f>
        <v>3335</v>
      </c>
      <c r="N14" s="16">
        <v>0</v>
      </c>
      <c r="O14" s="62">
        <f t="shared" ref="O14" si="18">IF(L14=0,"0",N14/L14)</f>
        <v>0</v>
      </c>
      <c r="P14" s="42">
        <f t="shared" ref="P14" si="19">IF(L14=0,"0",(24-Q14))</f>
        <v>18</v>
      </c>
      <c r="Q14" s="43">
        <f t="shared" ref="Q14" si="20">SUM(R14:AA14)</f>
        <v>6</v>
      </c>
      <c r="R14" s="7"/>
      <c r="S14" s="6">
        <v>6</v>
      </c>
      <c r="T14" s="17"/>
      <c r="U14" s="17"/>
      <c r="V14" s="18"/>
      <c r="W14" s="19"/>
      <c r="X14" s="17"/>
      <c r="Y14" s="20"/>
      <c r="Z14" s="20"/>
      <c r="AA14" s="21"/>
      <c r="AB14" s="8">
        <f t="shared" ref="AB14" si="21">IF(J14=0,"0",(L14/J14))</f>
        <v>0.99850299401197606</v>
      </c>
      <c r="AC14" s="9">
        <f t="shared" ref="AC14" si="22">IF(P14=0,"0",(P14/24))</f>
        <v>0.75</v>
      </c>
      <c r="AD14" s="10">
        <f t="shared" ref="AD14" si="23">AC14*AB14*(1-O14)</f>
        <v>0.74887724550898205</v>
      </c>
      <c r="AE14" s="39">
        <f t="shared" si="7"/>
        <v>0.5800509123503409</v>
      </c>
      <c r="AF14" s="94">
        <f t="shared" ref="AF14" si="24">A14</f>
        <v>7</v>
      </c>
    </row>
    <row r="15" spans="1:32" ht="27" customHeight="1">
      <c r="A15" s="110">
        <v>8</v>
      </c>
      <c r="B15" s="11" t="s">
        <v>57</v>
      </c>
      <c r="C15" s="11" t="s">
        <v>483</v>
      </c>
      <c r="D15" s="55" t="s">
        <v>651</v>
      </c>
      <c r="E15" s="57" t="s">
        <v>653</v>
      </c>
      <c r="F15" s="12">
        <v>7301</v>
      </c>
      <c r="G15" s="12">
        <v>1</v>
      </c>
      <c r="H15" s="13">
        <v>25</v>
      </c>
      <c r="I15" s="7">
        <v>10000</v>
      </c>
      <c r="J15" s="14">
        <v>5850</v>
      </c>
      <c r="K15" s="15">
        <f>L15</f>
        <v>5843</v>
      </c>
      <c r="L15" s="15">
        <f>3216+2627</f>
        <v>5843</v>
      </c>
      <c r="M15" s="16">
        <f t="shared" si="0"/>
        <v>5843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0.99880341880341883</v>
      </c>
      <c r="AC15" s="9">
        <f t="shared" si="5"/>
        <v>1</v>
      </c>
      <c r="AD15" s="10">
        <f t="shared" si="6"/>
        <v>0.99880341880341883</v>
      </c>
      <c r="AE15" s="39">
        <f t="shared" si="7"/>
        <v>0.5800509123503409</v>
      </c>
      <c r="AF15" s="94">
        <f t="shared" si="8"/>
        <v>8</v>
      </c>
    </row>
    <row r="16" spans="1:32" ht="27" customHeight="1">
      <c r="A16" s="109">
        <v>9</v>
      </c>
      <c r="B16" s="11" t="s">
        <v>57</v>
      </c>
      <c r="C16" s="37" t="s">
        <v>114</v>
      </c>
      <c r="D16" s="55" t="s">
        <v>128</v>
      </c>
      <c r="E16" s="57" t="s">
        <v>174</v>
      </c>
      <c r="F16" s="33" t="s">
        <v>181</v>
      </c>
      <c r="G16" s="36">
        <v>1</v>
      </c>
      <c r="H16" s="38">
        <v>25</v>
      </c>
      <c r="I16" s="7">
        <v>200</v>
      </c>
      <c r="J16" s="5">
        <v>206</v>
      </c>
      <c r="K16" s="15">
        <f>L16+190+206</f>
        <v>396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0.5800509123503409</v>
      </c>
      <c r="AF16" s="94">
        <f t="shared" si="8"/>
        <v>9</v>
      </c>
    </row>
    <row r="17" spans="1:36" ht="27" customHeight="1">
      <c r="A17" s="109">
        <v>10</v>
      </c>
      <c r="B17" s="11" t="s">
        <v>57</v>
      </c>
      <c r="C17" s="11" t="s">
        <v>123</v>
      </c>
      <c r="D17" s="55" t="s">
        <v>249</v>
      </c>
      <c r="E17" s="57" t="s">
        <v>247</v>
      </c>
      <c r="F17" s="12" t="s">
        <v>151</v>
      </c>
      <c r="G17" s="12">
        <v>4</v>
      </c>
      <c r="H17" s="13">
        <v>24</v>
      </c>
      <c r="I17" s="34">
        <v>30000</v>
      </c>
      <c r="J17" s="14">
        <v>23320</v>
      </c>
      <c r="K17" s="15">
        <f>L17+21536+23312</f>
        <v>44848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0.5800509123503409</v>
      </c>
      <c r="AF17" s="94">
        <f t="shared" si="8"/>
        <v>10</v>
      </c>
    </row>
    <row r="18" spans="1:36" ht="27.75" customHeight="1">
      <c r="A18" s="109">
        <v>11</v>
      </c>
      <c r="B18" s="11" t="s">
        <v>57</v>
      </c>
      <c r="C18" s="11" t="s">
        <v>472</v>
      </c>
      <c r="D18" s="55" t="s">
        <v>135</v>
      </c>
      <c r="E18" s="56" t="s">
        <v>505</v>
      </c>
      <c r="F18" s="12" t="s">
        <v>529</v>
      </c>
      <c r="G18" s="36">
        <v>2</v>
      </c>
      <c r="H18" s="38">
        <v>25</v>
      </c>
      <c r="I18" s="7">
        <v>80000</v>
      </c>
      <c r="J18" s="14">
        <v>11960</v>
      </c>
      <c r="K18" s="15">
        <f>L18+5764+11522+12610+10598</f>
        <v>52452</v>
      </c>
      <c r="L18" s="15">
        <f>3121*2+2858*2</f>
        <v>11958</v>
      </c>
      <c r="M18" s="16">
        <f t="shared" si="0"/>
        <v>11958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0.99983277591973241</v>
      </c>
      <c r="AC18" s="9">
        <f t="shared" si="5"/>
        <v>1</v>
      </c>
      <c r="AD18" s="10">
        <f t="shared" si="6"/>
        <v>0.99983277591973241</v>
      </c>
      <c r="AE18" s="39">
        <f t="shared" si="7"/>
        <v>0.5800509123503409</v>
      </c>
      <c r="AF18" s="94">
        <f>A18</f>
        <v>11</v>
      </c>
      <c r="AJ18" s="15"/>
    </row>
    <row r="19" spans="1:36" ht="27" customHeight="1">
      <c r="A19" s="109">
        <v>12</v>
      </c>
      <c r="B19" s="11" t="s">
        <v>57</v>
      </c>
      <c r="C19" s="37" t="s">
        <v>472</v>
      </c>
      <c r="D19" s="55" t="s">
        <v>127</v>
      </c>
      <c r="E19" s="57" t="s">
        <v>570</v>
      </c>
      <c r="F19" s="12" t="s">
        <v>557</v>
      </c>
      <c r="G19" s="12">
        <v>2</v>
      </c>
      <c r="H19" s="13">
        <v>25</v>
      </c>
      <c r="I19" s="34">
        <v>80000</v>
      </c>
      <c r="J19" s="5">
        <v>12050</v>
      </c>
      <c r="K19" s="15">
        <f>L19+10938+13116+11222</f>
        <v>47320</v>
      </c>
      <c r="L19" s="15">
        <f>3129*2+2893*2</f>
        <v>12044</v>
      </c>
      <c r="M19" s="16">
        <f t="shared" si="0"/>
        <v>12044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0.9995020746887967</v>
      </c>
      <c r="AC19" s="9">
        <f t="shared" si="5"/>
        <v>1</v>
      </c>
      <c r="AD19" s="10">
        <f t="shared" si="6"/>
        <v>0.9995020746887967</v>
      </c>
      <c r="AE19" s="39">
        <f t="shared" si="7"/>
        <v>0.5800509123503409</v>
      </c>
      <c r="AF19" s="94">
        <f t="shared" ref="AF19:AF20" si="25">A19</f>
        <v>12</v>
      </c>
    </row>
    <row r="20" spans="1:36" ht="27" customHeight="1">
      <c r="A20" s="110">
        <v>13</v>
      </c>
      <c r="B20" s="11" t="s">
        <v>57</v>
      </c>
      <c r="C20" s="37" t="s">
        <v>472</v>
      </c>
      <c r="D20" s="55" t="s">
        <v>128</v>
      </c>
      <c r="E20" s="57" t="s">
        <v>510</v>
      </c>
      <c r="F20" s="33" t="s">
        <v>529</v>
      </c>
      <c r="G20" s="36">
        <v>1</v>
      </c>
      <c r="H20" s="38">
        <v>25</v>
      </c>
      <c r="I20" s="7">
        <v>80000</v>
      </c>
      <c r="J20" s="5">
        <v>10130</v>
      </c>
      <c r="K20" s="15">
        <f>L20+3954+5120+6970+9172</f>
        <v>35342</v>
      </c>
      <c r="L20" s="15">
        <f>2560*2+2503*2</f>
        <v>10126</v>
      </c>
      <c r="M20" s="16">
        <f t="shared" si="0"/>
        <v>10126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0.99960513326752221</v>
      </c>
      <c r="AC20" s="9">
        <f t="shared" si="5"/>
        <v>1</v>
      </c>
      <c r="AD20" s="10">
        <f t="shared" si="6"/>
        <v>0.99960513326752221</v>
      </c>
      <c r="AE20" s="39">
        <f t="shared" si="7"/>
        <v>0.5800509123503409</v>
      </c>
      <c r="AF20" s="94">
        <f t="shared" si="25"/>
        <v>13</v>
      </c>
    </row>
    <row r="21" spans="1:36" ht="27" customHeight="1">
      <c r="A21" s="110">
        <v>14</v>
      </c>
      <c r="B21" s="11" t="s">
        <v>57</v>
      </c>
      <c r="C21" s="11" t="s">
        <v>146</v>
      </c>
      <c r="D21" s="55" t="s">
        <v>169</v>
      </c>
      <c r="E21" s="57" t="s">
        <v>168</v>
      </c>
      <c r="F21" s="12" t="s">
        <v>138</v>
      </c>
      <c r="G21" s="12" t="s">
        <v>170</v>
      </c>
      <c r="H21" s="13">
        <v>25</v>
      </c>
      <c r="I21" s="7">
        <v>130000</v>
      </c>
      <c r="J21" s="14">
        <v>3630</v>
      </c>
      <c r="K21" s="15">
        <f>L21+3258+4398+5144+3460+6323+4564+5384+7161+2960+2789+7049+2970</f>
        <v>59090</v>
      </c>
      <c r="L21" s="15">
        <f>2762+868</f>
        <v>3630</v>
      </c>
      <c r="M21" s="16">
        <f t="shared" si="0"/>
        <v>3630</v>
      </c>
      <c r="N21" s="16">
        <v>0</v>
      </c>
      <c r="O21" s="62">
        <f t="shared" si="1"/>
        <v>0</v>
      </c>
      <c r="P21" s="42">
        <f t="shared" si="2"/>
        <v>14</v>
      </c>
      <c r="Q21" s="43">
        <f t="shared" si="3"/>
        <v>10</v>
      </c>
      <c r="R21" s="7"/>
      <c r="S21" s="6">
        <v>10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9">
        <f t="shared" si="7"/>
        <v>0.5800509123503409</v>
      </c>
      <c r="AF21" s="94">
        <f t="shared" si="8"/>
        <v>14</v>
      </c>
    </row>
    <row r="22" spans="1:36" ht="27" customHeight="1" thickBot="1">
      <c r="A22" s="110">
        <v>15</v>
      </c>
      <c r="B22" s="11" t="s">
        <v>57</v>
      </c>
      <c r="C22" s="11" t="s">
        <v>124</v>
      </c>
      <c r="D22" s="55"/>
      <c r="E22" s="56" t="s">
        <v>240</v>
      </c>
      <c r="F22" s="12" t="s">
        <v>125</v>
      </c>
      <c r="G22" s="12">
        <v>4</v>
      </c>
      <c r="H22" s="38">
        <v>20</v>
      </c>
      <c r="I22" s="7">
        <v>800000</v>
      </c>
      <c r="J22" s="14">
        <v>5640</v>
      </c>
      <c r="K22" s="15">
        <f>L22+29128+42972+45096+45728+43064+5640</f>
        <v>211628</v>
      </c>
      <c r="L22" s="15"/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24</v>
      </c>
      <c r="R22" s="7"/>
      <c r="S22" s="6"/>
      <c r="T22" s="17"/>
      <c r="U22" s="17"/>
      <c r="V22" s="18"/>
      <c r="W22" s="19">
        <v>24</v>
      </c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 t="shared" si="7"/>
        <v>0.5800509123503409</v>
      </c>
      <c r="AF22" s="94">
        <f t="shared" si="8"/>
        <v>15</v>
      </c>
    </row>
    <row r="23" spans="1:36" ht="31.5" customHeight="1" thickBot="1">
      <c r="A23" s="369" t="s">
        <v>34</v>
      </c>
      <c r="B23" s="370"/>
      <c r="C23" s="370"/>
      <c r="D23" s="370"/>
      <c r="E23" s="370"/>
      <c r="F23" s="370"/>
      <c r="G23" s="370"/>
      <c r="H23" s="371"/>
      <c r="I23" s="25">
        <f t="shared" ref="I23:N23" si="26">SUM(I6:I22)</f>
        <v>1624700</v>
      </c>
      <c r="J23" s="22">
        <f t="shared" si="26"/>
        <v>122796</v>
      </c>
      <c r="K23" s="23">
        <f t="shared" si="26"/>
        <v>600911</v>
      </c>
      <c r="L23" s="24">
        <f t="shared" si="26"/>
        <v>75347</v>
      </c>
      <c r="M23" s="23">
        <f t="shared" si="26"/>
        <v>75347</v>
      </c>
      <c r="N23" s="24">
        <f t="shared" si="26"/>
        <v>0</v>
      </c>
      <c r="O23" s="44">
        <f t="shared" si="1"/>
        <v>0</v>
      </c>
      <c r="P23" s="45">
        <f t="shared" ref="P23:AA23" si="27">SUM(P6:P22)</f>
        <v>209</v>
      </c>
      <c r="Q23" s="46">
        <f t="shared" si="27"/>
        <v>193</v>
      </c>
      <c r="R23" s="26">
        <f t="shared" si="27"/>
        <v>0</v>
      </c>
      <c r="S23" s="27">
        <f t="shared" si="27"/>
        <v>60</v>
      </c>
      <c r="T23" s="27">
        <f t="shared" si="27"/>
        <v>0</v>
      </c>
      <c r="U23" s="27">
        <f t="shared" si="27"/>
        <v>0</v>
      </c>
      <c r="V23" s="28">
        <f t="shared" si="27"/>
        <v>0</v>
      </c>
      <c r="W23" s="29">
        <f t="shared" si="27"/>
        <v>133</v>
      </c>
      <c r="X23" s="30">
        <f t="shared" si="27"/>
        <v>0</v>
      </c>
      <c r="Y23" s="30">
        <f t="shared" si="27"/>
        <v>0</v>
      </c>
      <c r="Z23" s="30">
        <f t="shared" si="27"/>
        <v>0</v>
      </c>
      <c r="AA23" s="30">
        <f t="shared" si="27"/>
        <v>0</v>
      </c>
      <c r="AB23" s="31">
        <f>SUM(AB6:AB22)/15</f>
        <v>0.73236845428389807</v>
      </c>
      <c r="AC23" s="4">
        <f>SUM(AC6:AC22)/15</f>
        <v>0.5805555555555556</v>
      </c>
      <c r="AD23" s="4">
        <f>SUM(AD6:AD22)/15</f>
        <v>0.5800509123503409</v>
      </c>
      <c r="AE23" s="32"/>
    </row>
    <row r="25" spans="1:36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5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372" t="s">
        <v>45</v>
      </c>
      <c r="B50" s="372"/>
      <c r="C50" s="372"/>
      <c r="D50" s="372"/>
      <c r="E50" s="37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373" t="s">
        <v>654</v>
      </c>
      <c r="B51" s="374"/>
      <c r="C51" s="374"/>
      <c r="D51" s="374"/>
      <c r="E51" s="374"/>
      <c r="F51" s="374"/>
      <c r="G51" s="374"/>
      <c r="H51" s="374"/>
      <c r="I51" s="374"/>
      <c r="J51" s="374"/>
      <c r="K51" s="374"/>
      <c r="L51" s="374"/>
      <c r="M51" s="375"/>
      <c r="N51" s="376" t="s">
        <v>668</v>
      </c>
      <c r="O51" s="377"/>
      <c r="P51" s="377"/>
      <c r="Q51" s="377"/>
      <c r="R51" s="377"/>
      <c r="S51" s="377"/>
      <c r="T51" s="377"/>
      <c r="U51" s="377"/>
      <c r="V51" s="377"/>
      <c r="W51" s="377"/>
      <c r="X51" s="377"/>
      <c r="Y51" s="377"/>
      <c r="Z51" s="377"/>
      <c r="AA51" s="377"/>
      <c r="AB51" s="377"/>
      <c r="AC51" s="377"/>
      <c r="AD51" s="378"/>
    </row>
    <row r="52" spans="1:32" ht="27" customHeight="1">
      <c r="A52" s="379" t="s">
        <v>2</v>
      </c>
      <c r="B52" s="380"/>
      <c r="C52" s="271" t="s">
        <v>46</v>
      </c>
      <c r="D52" s="271" t="s">
        <v>47</v>
      </c>
      <c r="E52" s="271" t="s">
        <v>108</v>
      </c>
      <c r="F52" s="380" t="s">
        <v>107</v>
      </c>
      <c r="G52" s="380"/>
      <c r="H52" s="380"/>
      <c r="I52" s="380"/>
      <c r="J52" s="380"/>
      <c r="K52" s="380"/>
      <c r="L52" s="380"/>
      <c r="M52" s="381"/>
      <c r="N52" s="73" t="s">
        <v>112</v>
      </c>
      <c r="O52" s="271" t="s">
        <v>46</v>
      </c>
      <c r="P52" s="382" t="s">
        <v>47</v>
      </c>
      <c r="Q52" s="383"/>
      <c r="R52" s="382" t="s">
        <v>38</v>
      </c>
      <c r="S52" s="384"/>
      <c r="T52" s="384"/>
      <c r="U52" s="383"/>
      <c r="V52" s="382" t="s">
        <v>48</v>
      </c>
      <c r="W52" s="384"/>
      <c r="X52" s="384"/>
      <c r="Y52" s="384"/>
      <c r="Z52" s="384"/>
      <c r="AA52" s="384"/>
      <c r="AB52" s="384"/>
      <c r="AC52" s="384"/>
      <c r="AD52" s="385"/>
    </row>
    <row r="53" spans="1:32" ht="27" customHeight="1">
      <c r="A53" s="396" t="s">
        <v>655</v>
      </c>
      <c r="B53" s="397"/>
      <c r="C53" s="272" t="s">
        <v>656</v>
      </c>
      <c r="D53" s="273" t="s">
        <v>657</v>
      </c>
      <c r="E53" s="272" t="s">
        <v>642</v>
      </c>
      <c r="F53" s="398" t="s">
        <v>658</v>
      </c>
      <c r="G53" s="398"/>
      <c r="H53" s="398"/>
      <c r="I53" s="398"/>
      <c r="J53" s="398"/>
      <c r="K53" s="398"/>
      <c r="L53" s="398"/>
      <c r="M53" s="399"/>
      <c r="N53" s="277" t="s">
        <v>277</v>
      </c>
      <c r="O53" s="74" t="s">
        <v>278</v>
      </c>
      <c r="P53" s="402" t="s">
        <v>632</v>
      </c>
      <c r="Q53" s="402"/>
      <c r="R53" s="402" t="s">
        <v>669</v>
      </c>
      <c r="S53" s="402"/>
      <c r="T53" s="402"/>
      <c r="U53" s="402"/>
      <c r="V53" s="398" t="s">
        <v>670</v>
      </c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 t="s">
        <v>157</v>
      </c>
      <c r="B54" s="397"/>
      <c r="C54" s="272" t="s">
        <v>131</v>
      </c>
      <c r="D54" s="273" t="s">
        <v>169</v>
      </c>
      <c r="E54" s="272" t="s">
        <v>168</v>
      </c>
      <c r="F54" s="398" t="s">
        <v>659</v>
      </c>
      <c r="G54" s="398"/>
      <c r="H54" s="398"/>
      <c r="I54" s="398"/>
      <c r="J54" s="398"/>
      <c r="K54" s="398"/>
      <c r="L54" s="398"/>
      <c r="M54" s="399"/>
      <c r="N54" s="277"/>
      <c r="O54" s="74"/>
      <c r="P54" s="400"/>
      <c r="Q54" s="401"/>
      <c r="R54" s="402"/>
      <c r="S54" s="402"/>
      <c r="T54" s="402"/>
      <c r="U54" s="402"/>
      <c r="V54" s="398"/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 t="s">
        <v>157</v>
      </c>
      <c r="B55" s="397"/>
      <c r="C55" s="272" t="s">
        <v>438</v>
      </c>
      <c r="D55" s="273" t="s">
        <v>488</v>
      </c>
      <c r="E55" s="272" t="s">
        <v>636</v>
      </c>
      <c r="F55" s="398" t="s">
        <v>660</v>
      </c>
      <c r="G55" s="398"/>
      <c r="H55" s="398"/>
      <c r="I55" s="398"/>
      <c r="J55" s="398"/>
      <c r="K55" s="398"/>
      <c r="L55" s="398"/>
      <c r="M55" s="399"/>
      <c r="N55" s="277"/>
      <c r="O55" s="74"/>
      <c r="P55" s="402"/>
      <c r="Q55" s="402"/>
      <c r="R55" s="402"/>
      <c r="S55" s="402"/>
      <c r="T55" s="402"/>
      <c r="U55" s="402"/>
      <c r="V55" s="398"/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 t="s">
        <v>661</v>
      </c>
      <c r="B56" s="397"/>
      <c r="C56" s="272" t="s">
        <v>281</v>
      </c>
      <c r="D56" s="273" t="s">
        <v>662</v>
      </c>
      <c r="E56" s="272" t="s">
        <v>652</v>
      </c>
      <c r="F56" s="398" t="s">
        <v>663</v>
      </c>
      <c r="G56" s="398"/>
      <c r="H56" s="398"/>
      <c r="I56" s="398"/>
      <c r="J56" s="398"/>
      <c r="K56" s="398"/>
      <c r="L56" s="398"/>
      <c r="M56" s="399"/>
      <c r="N56" s="277"/>
      <c r="O56" s="74"/>
      <c r="P56" s="402"/>
      <c r="Q56" s="402"/>
      <c r="R56" s="402"/>
      <c r="S56" s="402"/>
      <c r="T56" s="402"/>
      <c r="U56" s="402"/>
      <c r="V56" s="398"/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 t="s">
        <v>483</v>
      </c>
      <c r="B57" s="397"/>
      <c r="C57" s="272" t="s">
        <v>126</v>
      </c>
      <c r="D57" s="273" t="s">
        <v>651</v>
      </c>
      <c r="E57" s="272" t="s">
        <v>653</v>
      </c>
      <c r="F57" s="398" t="s">
        <v>663</v>
      </c>
      <c r="G57" s="398"/>
      <c r="H57" s="398"/>
      <c r="I57" s="398"/>
      <c r="J57" s="398"/>
      <c r="K57" s="398"/>
      <c r="L57" s="398"/>
      <c r="M57" s="399"/>
      <c r="N57" s="277"/>
      <c r="O57" s="74"/>
      <c r="P57" s="402"/>
      <c r="Q57" s="402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 t="s">
        <v>664</v>
      </c>
      <c r="B58" s="397"/>
      <c r="C58" s="272" t="s">
        <v>281</v>
      </c>
      <c r="D58" s="273" t="s">
        <v>665</v>
      </c>
      <c r="E58" s="272" t="s">
        <v>666</v>
      </c>
      <c r="F58" s="398" t="s">
        <v>667</v>
      </c>
      <c r="G58" s="398"/>
      <c r="H58" s="398"/>
      <c r="I58" s="398"/>
      <c r="J58" s="398"/>
      <c r="K58" s="398"/>
      <c r="L58" s="398"/>
      <c r="M58" s="399"/>
      <c r="N58" s="277"/>
      <c r="O58" s="74"/>
      <c r="P58" s="402"/>
      <c r="Q58" s="402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396"/>
      <c r="B59" s="397"/>
      <c r="C59" s="272"/>
      <c r="D59" s="273"/>
      <c r="E59" s="272"/>
      <c r="F59" s="398"/>
      <c r="G59" s="398"/>
      <c r="H59" s="398"/>
      <c r="I59" s="398"/>
      <c r="J59" s="398"/>
      <c r="K59" s="398"/>
      <c r="L59" s="398"/>
      <c r="M59" s="399"/>
      <c r="N59" s="277"/>
      <c r="O59" s="74"/>
      <c r="P59" s="400"/>
      <c r="Q59" s="401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</row>
    <row r="60" spans="1:32" ht="27" customHeight="1">
      <c r="A60" s="396"/>
      <c r="B60" s="397"/>
      <c r="C60" s="272"/>
      <c r="D60" s="273"/>
      <c r="E60" s="272"/>
      <c r="F60" s="398"/>
      <c r="G60" s="398"/>
      <c r="H60" s="398"/>
      <c r="I60" s="398"/>
      <c r="J60" s="398"/>
      <c r="K60" s="398"/>
      <c r="L60" s="398"/>
      <c r="M60" s="399"/>
      <c r="N60" s="277"/>
      <c r="O60" s="74"/>
      <c r="P60" s="400"/>
      <c r="Q60" s="401"/>
      <c r="R60" s="402"/>
      <c r="S60" s="402"/>
      <c r="T60" s="402"/>
      <c r="U60" s="402"/>
      <c r="V60" s="398"/>
      <c r="W60" s="398"/>
      <c r="X60" s="398"/>
      <c r="Y60" s="398"/>
      <c r="Z60" s="398"/>
      <c r="AA60" s="398"/>
      <c r="AB60" s="398"/>
      <c r="AC60" s="398"/>
      <c r="AD60" s="399"/>
    </row>
    <row r="61" spans="1:32" ht="27" customHeight="1">
      <c r="A61" s="412"/>
      <c r="B61" s="402"/>
      <c r="C61" s="273"/>
      <c r="D61" s="273"/>
      <c r="E61" s="273"/>
      <c r="F61" s="398"/>
      <c r="G61" s="398"/>
      <c r="H61" s="398"/>
      <c r="I61" s="398"/>
      <c r="J61" s="398"/>
      <c r="K61" s="398"/>
      <c r="L61" s="398"/>
      <c r="M61" s="399"/>
      <c r="N61" s="277"/>
      <c r="O61" s="74"/>
      <c r="P61" s="402"/>
      <c r="Q61" s="402"/>
      <c r="R61" s="402"/>
      <c r="S61" s="402"/>
      <c r="T61" s="402"/>
      <c r="U61" s="402"/>
      <c r="V61" s="398"/>
      <c r="W61" s="398"/>
      <c r="X61" s="398"/>
      <c r="Y61" s="398"/>
      <c r="Z61" s="398"/>
      <c r="AA61" s="398"/>
      <c r="AB61" s="398"/>
      <c r="AC61" s="398"/>
      <c r="AD61" s="399"/>
      <c r="AF61" s="94">
        <f>8*3000</f>
        <v>24000</v>
      </c>
    </row>
    <row r="62" spans="1:32" ht="27" customHeight="1" thickBot="1">
      <c r="A62" s="403"/>
      <c r="B62" s="404"/>
      <c r="C62" s="275"/>
      <c r="D62" s="275"/>
      <c r="E62" s="275"/>
      <c r="F62" s="405"/>
      <c r="G62" s="405"/>
      <c r="H62" s="405"/>
      <c r="I62" s="405"/>
      <c r="J62" s="405"/>
      <c r="K62" s="405"/>
      <c r="L62" s="405"/>
      <c r="M62" s="406"/>
      <c r="N62" s="274"/>
      <c r="O62" s="121"/>
      <c r="P62" s="404"/>
      <c r="Q62" s="404"/>
      <c r="R62" s="404"/>
      <c r="S62" s="404"/>
      <c r="T62" s="404"/>
      <c r="U62" s="404"/>
      <c r="V62" s="405"/>
      <c r="W62" s="405"/>
      <c r="X62" s="405"/>
      <c r="Y62" s="405"/>
      <c r="Z62" s="405"/>
      <c r="AA62" s="405"/>
      <c r="AB62" s="405"/>
      <c r="AC62" s="405"/>
      <c r="AD62" s="406"/>
      <c r="AF62" s="94">
        <f>16*3000</f>
        <v>48000</v>
      </c>
    </row>
    <row r="63" spans="1:32" ht="27.75" thickBot="1">
      <c r="A63" s="407" t="s">
        <v>671</v>
      </c>
      <c r="B63" s="407"/>
      <c r="C63" s="407"/>
      <c r="D63" s="407"/>
      <c r="E63" s="407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4">
        <v>24000</v>
      </c>
    </row>
    <row r="64" spans="1:32" ht="29.25" customHeight="1" thickBot="1">
      <c r="A64" s="408" t="s">
        <v>113</v>
      </c>
      <c r="B64" s="409"/>
      <c r="C64" s="276" t="s">
        <v>2</v>
      </c>
      <c r="D64" s="276" t="s">
        <v>37</v>
      </c>
      <c r="E64" s="276" t="s">
        <v>3</v>
      </c>
      <c r="F64" s="409" t="s">
        <v>110</v>
      </c>
      <c r="G64" s="409"/>
      <c r="H64" s="409"/>
      <c r="I64" s="409"/>
      <c r="J64" s="409"/>
      <c r="K64" s="409" t="s">
        <v>39</v>
      </c>
      <c r="L64" s="409"/>
      <c r="M64" s="276" t="s">
        <v>40</v>
      </c>
      <c r="N64" s="409" t="s">
        <v>41</v>
      </c>
      <c r="O64" s="409"/>
      <c r="P64" s="410" t="s">
        <v>42</v>
      </c>
      <c r="Q64" s="411"/>
      <c r="R64" s="410" t="s">
        <v>43</v>
      </c>
      <c r="S64" s="413"/>
      <c r="T64" s="413"/>
      <c r="U64" s="413"/>
      <c r="V64" s="413"/>
      <c r="W64" s="413"/>
      <c r="X64" s="413"/>
      <c r="Y64" s="413"/>
      <c r="Z64" s="413"/>
      <c r="AA64" s="411"/>
      <c r="AB64" s="409" t="s">
        <v>44</v>
      </c>
      <c r="AC64" s="409"/>
      <c r="AD64" s="414"/>
      <c r="AF64" s="94">
        <f>SUM(AF61:AF63)</f>
        <v>96000</v>
      </c>
    </row>
    <row r="65" spans="1:32" ht="25.5" customHeight="1">
      <c r="A65" s="415">
        <v>1</v>
      </c>
      <c r="B65" s="416"/>
      <c r="C65" s="124"/>
      <c r="D65" s="280"/>
      <c r="E65" s="278"/>
      <c r="F65" s="417"/>
      <c r="G65" s="418"/>
      <c r="H65" s="418"/>
      <c r="I65" s="418"/>
      <c r="J65" s="418"/>
      <c r="K65" s="418"/>
      <c r="L65" s="418"/>
      <c r="M65" s="54"/>
      <c r="N65" s="418"/>
      <c r="O65" s="418"/>
      <c r="P65" s="419"/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2</v>
      </c>
      <c r="B66" s="416"/>
      <c r="C66" s="124"/>
      <c r="D66" s="280"/>
      <c r="E66" s="278"/>
      <c r="F66" s="417"/>
      <c r="G66" s="418"/>
      <c r="H66" s="418"/>
      <c r="I66" s="418"/>
      <c r="J66" s="418"/>
      <c r="K66" s="418"/>
      <c r="L66" s="418"/>
      <c r="M66" s="54"/>
      <c r="N66" s="418"/>
      <c r="O66" s="418"/>
      <c r="P66" s="419"/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3</v>
      </c>
      <c r="B67" s="416"/>
      <c r="C67" s="124"/>
      <c r="D67" s="280"/>
      <c r="E67" s="278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4</v>
      </c>
      <c r="B68" s="416"/>
      <c r="C68" s="124"/>
      <c r="D68" s="280"/>
      <c r="E68" s="278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5</v>
      </c>
      <c r="B69" s="416"/>
      <c r="C69" s="124"/>
      <c r="D69" s="280"/>
      <c r="E69" s="278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6</v>
      </c>
      <c r="B70" s="416"/>
      <c r="C70" s="124"/>
      <c r="D70" s="280"/>
      <c r="E70" s="278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5.5" customHeight="1">
      <c r="A71" s="415">
        <v>7</v>
      </c>
      <c r="B71" s="416"/>
      <c r="C71" s="124"/>
      <c r="D71" s="280"/>
      <c r="E71" s="278"/>
      <c r="F71" s="417"/>
      <c r="G71" s="418"/>
      <c r="H71" s="418"/>
      <c r="I71" s="418"/>
      <c r="J71" s="418"/>
      <c r="K71" s="418"/>
      <c r="L71" s="418"/>
      <c r="M71" s="54"/>
      <c r="N71" s="418"/>
      <c r="O71" s="418"/>
      <c r="P71" s="419"/>
      <c r="Q71" s="419"/>
      <c r="R71" s="398"/>
      <c r="S71" s="398"/>
      <c r="T71" s="398"/>
      <c r="U71" s="398"/>
      <c r="V71" s="398"/>
      <c r="W71" s="398"/>
      <c r="X71" s="398"/>
      <c r="Y71" s="398"/>
      <c r="Z71" s="398"/>
      <c r="AA71" s="398"/>
      <c r="AB71" s="418"/>
      <c r="AC71" s="418"/>
      <c r="AD71" s="420"/>
      <c r="AF71" s="53"/>
    </row>
    <row r="72" spans="1:32" ht="25.5" customHeight="1">
      <c r="A72" s="415">
        <v>8</v>
      </c>
      <c r="B72" s="416"/>
      <c r="C72" s="124"/>
      <c r="D72" s="280"/>
      <c r="E72" s="278"/>
      <c r="F72" s="417"/>
      <c r="G72" s="418"/>
      <c r="H72" s="418"/>
      <c r="I72" s="418"/>
      <c r="J72" s="418"/>
      <c r="K72" s="418"/>
      <c r="L72" s="418"/>
      <c r="M72" s="54"/>
      <c r="N72" s="418"/>
      <c r="O72" s="418"/>
      <c r="P72" s="419"/>
      <c r="Q72" s="419"/>
      <c r="R72" s="398"/>
      <c r="S72" s="398"/>
      <c r="T72" s="398"/>
      <c r="U72" s="398"/>
      <c r="V72" s="398"/>
      <c r="W72" s="398"/>
      <c r="X72" s="398"/>
      <c r="Y72" s="398"/>
      <c r="Z72" s="398"/>
      <c r="AA72" s="398"/>
      <c r="AB72" s="418"/>
      <c r="AC72" s="418"/>
      <c r="AD72" s="420"/>
      <c r="AF72" s="53"/>
    </row>
    <row r="73" spans="1:32" ht="26.25" customHeight="1" thickBot="1">
      <c r="A73" s="421" t="s">
        <v>672</v>
      </c>
      <c r="B73" s="421"/>
      <c r="C73" s="421"/>
      <c r="D73" s="421"/>
      <c r="E73" s="421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22" t="s">
        <v>113</v>
      </c>
      <c r="B74" s="423"/>
      <c r="C74" s="279" t="s">
        <v>2</v>
      </c>
      <c r="D74" s="279" t="s">
        <v>37</v>
      </c>
      <c r="E74" s="279" t="s">
        <v>3</v>
      </c>
      <c r="F74" s="423" t="s">
        <v>38</v>
      </c>
      <c r="G74" s="423"/>
      <c r="H74" s="423"/>
      <c r="I74" s="423"/>
      <c r="J74" s="423"/>
      <c r="K74" s="424" t="s">
        <v>58</v>
      </c>
      <c r="L74" s="425"/>
      <c r="M74" s="425"/>
      <c r="N74" s="425"/>
      <c r="O74" s="425"/>
      <c r="P74" s="425"/>
      <c r="Q74" s="425"/>
      <c r="R74" s="425"/>
      <c r="S74" s="426"/>
      <c r="T74" s="423" t="s">
        <v>49</v>
      </c>
      <c r="U74" s="423"/>
      <c r="V74" s="424" t="s">
        <v>50</v>
      </c>
      <c r="W74" s="426"/>
      <c r="X74" s="425" t="s">
        <v>51</v>
      </c>
      <c r="Y74" s="425"/>
      <c r="Z74" s="425"/>
      <c r="AA74" s="425"/>
      <c r="AB74" s="425"/>
      <c r="AC74" s="425"/>
      <c r="AD74" s="427"/>
      <c r="AF74" s="53"/>
    </row>
    <row r="75" spans="1:32" ht="33.75" customHeight="1">
      <c r="A75" s="436">
        <v>1</v>
      </c>
      <c r="B75" s="437"/>
      <c r="C75" s="281" t="s">
        <v>114</v>
      </c>
      <c r="D75" s="281"/>
      <c r="E75" s="71" t="s">
        <v>119</v>
      </c>
      <c r="F75" s="438" t="s">
        <v>120</v>
      </c>
      <c r="G75" s="439"/>
      <c r="H75" s="439"/>
      <c r="I75" s="439"/>
      <c r="J75" s="440"/>
      <c r="K75" s="441" t="s">
        <v>115</v>
      </c>
      <c r="L75" s="442"/>
      <c r="M75" s="442"/>
      <c r="N75" s="442"/>
      <c r="O75" s="442"/>
      <c r="P75" s="442"/>
      <c r="Q75" s="442"/>
      <c r="R75" s="442"/>
      <c r="S75" s="443"/>
      <c r="T75" s="444">
        <v>42901</v>
      </c>
      <c r="U75" s="445"/>
      <c r="V75" s="446"/>
      <c r="W75" s="446"/>
      <c r="X75" s="447"/>
      <c r="Y75" s="447"/>
      <c r="Z75" s="447"/>
      <c r="AA75" s="447"/>
      <c r="AB75" s="447"/>
      <c r="AC75" s="447"/>
      <c r="AD75" s="448"/>
      <c r="AF75" s="53"/>
    </row>
    <row r="76" spans="1:32" ht="30" customHeight="1">
      <c r="A76" s="428">
        <f>A75+1</f>
        <v>2</v>
      </c>
      <c r="B76" s="429"/>
      <c r="C76" s="280" t="s">
        <v>114</v>
      </c>
      <c r="D76" s="280"/>
      <c r="E76" s="35" t="s">
        <v>116</v>
      </c>
      <c r="F76" s="429" t="s">
        <v>117</v>
      </c>
      <c r="G76" s="429"/>
      <c r="H76" s="429"/>
      <c r="I76" s="429"/>
      <c r="J76" s="429"/>
      <c r="K76" s="430" t="s">
        <v>118</v>
      </c>
      <c r="L76" s="431"/>
      <c r="M76" s="431"/>
      <c r="N76" s="431"/>
      <c r="O76" s="431"/>
      <c r="P76" s="431"/>
      <c r="Q76" s="431"/>
      <c r="R76" s="431"/>
      <c r="S76" s="432"/>
      <c r="T76" s="433">
        <v>42867</v>
      </c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ref="A77:A83" si="28">A76+1</f>
        <v>3</v>
      </c>
      <c r="B77" s="429"/>
      <c r="C77" s="280"/>
      <c r="D77" s="280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28"/>
        <v>4</v>
      </c>
      <c r="B78" s="429"/>
      <c r="C78" s="280"/>
      <c r="D78" s="280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28"/>
        <v>5</v>
      </c>
      <c r="B79" s="429"/>
      <c r="C79" s="280"/>
      <c r="D79" s="280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28"/>
        <v>6</v>
      </c>
      <c r="B80" s="429"/>
      <c r="C80" s="280"/>
      <c r="D80" s="280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28"/>
        <v>7</v>
      </c>
      <c r="B81" s="429"/>
      <c r="C81" s="280"/>
      <c r="D81" s="280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0" customHeight="1">
      <c r="A82" s="428">
        <f t="shared" si="28"/>
        <v>8</v>
      </c>
      <c r="B82" s="429"/>
      <c r="C82" s="280"/>
      <c r="D82" s="280"/>
      <c r="E82" s="35"/>
      <c r="F82" s="429"/>
      <c r="G82" s="429"/>
      <c r="H82" s="429"/>
      <c r="I82" s="429"/>
      <c r="J82" s="429"/>
      <c r="K82" s="430"/>
      <c r="L82" s="431"/>
      <c r="M82" s="431"/>
      <c r="N82" s="431"/>
      <c r="O82" s="431"/>
      <c r="P82" s="431"/>
      <c r="Q82" s="431"/>
      <c r="R82" s="431"/>
      <c r="S82" s="432"/>
      <c r="T82" s="433"/>
      <c r="U82" s="433"/>
      <c r="V82" s="433"/>
      <c r="W82" s="433"/>
      <c r="X82" s="434"/>
      <c r="Y82" s="434"/>
      <c r="Z82" s="434"/>
      <c r="AA82" s="434"/>
      <c r="AB82" s="434"/>
      <c r="AC82" s="434"/>
      <c r="AD82" s="435"/>
      <c r="AF82" s="53"/>
    </row>
    <row r="83" spans="1:32" ht="30" customHeight="1">
      <c r="A83" s="428">
        <f t="shared" si="28"/>
        <v>9</v>
      </c>
      <c r="B83" s="429"/>
      <c r="C83" s="280"/>
      <c r="D83" s="280"/>
      <c r="E83" s="35"/>
      <c r="F83" s="429"/>
      <c r="G83" s="429"/>
      <c r="H83" s="429"/>
      <c r="I83" s="429"/>
      <c r="J83" s="429"/>
      <c r="K83" s="430"/>
      <c r="L83" s="431"/>
      <c r="M83" s="431"/>
      <c r="N83" s="431"/>
      <c r="O83" s="431"/>
      <c r="P83" s="431"/>
      <c r="Q83" s="431"/>
      <c r="R83" s="431"/>
      <c r="S83" s="432"/>
      <c r="T83" s="433"/>
      <c r="U83" s="433"/>
      <c r="V83" s="433"/>
      <c r="W83" s="433"/>
      <c r="X83" s="434"/>
      <c r="Y83" s="434"/>
      <c r="Z83" s="434"/>
      <c r="AA83" s="434"/>
      <c r="AB83" s="434"/>
      <c r="AC83" s="434"/>
      <c r="AD83" s="435"/>
      <c r="AF83" s="53"/>
    </row>
    <row r="84" spans="1:32" ht="36" thickBot="1">
      <c r="A84" s="421" t="s">
        <v>673</v>
      </c>
      <c r="B84" s="421"/>
      <c r="C84" s="421"/>
      <c r="D84" s="421"/>
      <c r="E84" s="421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22" t="s">
        <v>113</v>
      </c>
      <c r="B85" s="423"/>
      <c r="C85" s="449" t="s">
        <v>52</v>
      </c>
      <c r="D85" s="449"/>
      <c r="E85" s="449" t="s">
        <v>53</v>
      </c>
      <c r="F85" s="449"/>
      <c r="G85" s="449"/>
      <c r="H85" s="449"/>
      <c r="I85" s="449"/>
      <c r="J85" s="449"/>
      <c r="K85" s="449" t="s">
        <v>54</v>
      </c>
      <c r="L85" s="449"/>
      <c r="M85" s="449"/>
      <c r="N85" s="449"/>
      <c r="O85" s="449"/>
      <c r="P85" s="449"/>
      <c r="Q85" s="449"/>
      <c r="R85" s="449"/>
      <c r="S85" s="449"/>
      <c r="T85" s="449" t="s">
        <v>55</v>
      </c>
      <c r="U85" s="449"/>
      <c r="V85" s="449" t="s">
        <v>56</v>
      </c>
      <c r="W85" s="449"/>
      <c r="X85" s="449"/>
      <c r="Y85" s="449" t="s">
        <v>51</v>
      </c>
      <c r="Z85" s="449"/>
      <c r="AA85" s="449"/>
      <c r="AB85" s="449"/>
      <c r="AC85" s="449"/>
      <c r="AD85" s="450"/>
      <c r="AF85" s="53"/>
    </row>
    <row r="86" spans="1:32" ht="30.75" customHeight="1">
      <c r="A86" s="436">
        <v>1</v>
      </c>
      <c r="B86" s="437"/>
      <c r="C86" s="451"/>
      <c r="D86" s="451"/>
      <c r="E86" s="451"/>
      <c r="F86" s="451"/>
      <c r="G86" s="451"/>
      <c r="H86" s="451"/>
      <c r="I86" s="451"/>
      <c r="J86" s="451"/>
      <c r="K86" s="451"/>
      <c r="L86" s="451"/>
      <c r="M86" s="451"/>
      <c r="N86" s="451"/>
      <c r="O86" s="451"/>
      <c r="P86" s="451"/>
      <c r="Q86" s="451"/>
      <c r="R86" s="451"/>
      <c r="S86" s="451"/>
      <c r="T86" s="451"/>
      <c r="U86" s="451"/>
      <c r="V86" s="452"/>
      <c r="W86" s="452"/>
      <c r="X86" s="452"/>
      <c r="Y86" s="453"/>
      <c r="Z86" s="453"/>
      <c r="AA86" s="453"/>
      <c r="AB86" s="453"/>
      <c r="AC86" s="453"/>
      <c r="AD86" s="454"/>
      <c r="AF86" s="53"/>
    </row>
    <row r="87" spans="1:32" ht="30.75" customHeight="1">
      <c r="A87" s="428">
        <v>2</v>
      </c>
      <c r="B87" s="429"/>
      <c r="C87" s="462"/>
      <c r="D87" s="462"/>
      <c r="E87" s="462"/>
      <c r="F87" s="462"/>
      <c r="G87" s="462"/>
      <c r="H87" s="462"/>
      <c r="I87" s="462"/>
      <c r="J87" s="462"/>
      <c r="K87" s="462"/>
      <c r="L87" s="462"/>
      <c r="M87" s="462"/>
      <c r="N87" s="462"/>
      <c r="O87" s="462"/>
      <c r="P87" s="462"/>
      <c r="Q87" s="462"/>
      <c r="R87" s="462"/>
      <c r="S87" s="462"/>
      <c r="T87" s="463"/>
      <c r="U87" s="463"/>
      <c r="V87" s="464"/>
      <c r="W87" s="464"/>
      <c r="X87" s="464"/>
      <c r="Y87" s="455"/>
      <c r="Z87" s="455"/>
      <c r="AA87" s="455"/>
      <c r="AB87" s="455"/>
      <c r="AC87" s="455"/>
      <c r="AD87" s="456"/>
      <c r="AF87" s="53"/>
    </row>
    <row r="88" spans="1:32" ht="30.75" customHeight="1" thickBot="1">
      <c r="A88" s="457">
        <v>3</v>
      </c>
      <c r="B88" s="458"/>
      <c r="C88" s="459"/>
      <c r="D88" s="459"/>
      <c r="E88" s="459"/>
      <c r="F88" s="459"/>
      <c r="G88" s="459"/>
      <c r="H88" s="459"/>
      <c r="I88" s="459"/>
      <c r="J88" s="459"/>
      <c r="K88" s="459"/>
      <c r="L88" s="459"/>
      <c r="M88" s="459"/>
      <c r="N88" s="459"/>
      <c r="O88" s="459"/>
      <c r="P88" s="459"/>
      <c r="Q88" s="459"/>
      <c r="R88" s="459"/>
      <c r="S88" s="459"/>
      <c r="T88" s="459"/>
      <c r="U88" s="459"/>
      <c r="V88" s="459"/>
      <c r="W88" s="459"/>
      <c r="X88" s="459"/>
      <c r="Y88" s="460"/>
      <c r="Z88" s="460"/>
      <c r="AA88" s="460"/>
      <c r="AB88" s="460"/>
      <c r="AC88" s="460"/>
      <c r="AD88" s="461"/>
      <c r="AF88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9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46"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55" t="s">
        <v>700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6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293" t="s">
        <v>17</v>
      </c>
      <c r="L5" s="293" t="s">
        <v>18</v>
      </c>
      <c r="M5" s="293" t="s">
        <v>19</v>
      </c>
      <c r="N5" s="29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6" ht="27" customHeight="1">
      <c r="A6" s="108">
        <v>1</v>
      </c>
      <c r="B6" s="11" t="s">
        <v>57</v>
      </c>
      <c r="C6" s="37" t="s">
        <v>122</v>
      </c>
      <c r="D6" s="55" t="s">
        <v>127</v>
      </c>
      <c r="E6" s="57" t="s">
        <v>609</v>
      </c>
      <c r="F6" s="33" t="s">
        <v>153</v>
      </c>
      <c r="G6" s="36">
        <v>1</v>
      </c>
      <c r="H6" s="38">
        <v>25</v>
      </c>
      <c r="I6" s="7">
        <v>10000</v>
      </c>
      <c r="J6" s="5">
        <v>4620</v>
      </c>
      <c r="K6" s="15">
        <f>L6+3911+4873</f>
        <v>13396</v>
      </c>
      <c r="L6" s="15">
        <f>2218+2394</f>
        <v>4612</v>
      </c>
      <c r="M6" s="16">
        <f t="shared" ref="M6:M20" si="0">L6-N6</f>
        <v>4612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0.9982683982683983</v>
      </c>
      <c r="AC6" s="9">
        <f t="shared" ref="AC6:AC20" si="5">IF(P6=0,"0",(P6/24))</f>
        <v>1</v>
      </c>
      <c r="AD6" s="10">
        <f t="shared" ref="AD6:AD20" si="6">AC6*AB6*(1-O6)</f>
        <v>0.9982683982683983</v>
      </c>
      <c r="AE6" s="39">
        <f t="shared" ref="AE6:AE20" si="7">$AD$21</f>
        <v>0.60798321994458793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123</v>
      </c>
      <c r="D7" s="55" t="s">
        <v>156</v>
      </c>
      <c r="E7" s="57" t="s">
        <v>311</v>
      </c>
      <c r="F7" s="33" t="s">
        <v>312</v>
      </c>
      <c r="G7" s="12">
        <v>3</v>
      </c>
      <c r="H7" s="13">
        <v>25</v>
      </c>
      <c r="I7" s="34">
        <v>100000</v>
      </c>
      <c r="J7" s="5">
        <v>15560</v>
      </c>
      <c r="K7" s="15">
        <f>L7+11583+14484+15558</f>
        <v>41625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0.60798321994458793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472</v>
      </c>
      <c r="D8" s="55" t="s">
        <v>295</v>
      </c>
      <c r="E8" s="57" t="s">
        <v>502</v>
      </c>
      <c r="F8" s="33" t="s">
        <v>529</v>
      </c>
      <c r="G8" s="12">
        <v>2</v>
      </c>
      <c r="H8" s="13">
        <v>25</v>
      </c>
      <c r="I8" s="34">
        <v>80000</v>
      </c>
      <c r="J8" s="5">
        <v>11990</v>
      </c>
      <c r="K8" s="15">
        <f>L8+6076+12974+10368+11452</f>
        <v>52860</v>
      </c>
      <c r="L8" s="15">
        <f>2990*2+3005*2</f>
        <v>11990</v>
      </c>
      <c r="M8" s="16">
        <f t="shared" si="0"/>
        <v>11990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0.60798321994458793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122</v>
      </c>
      <c r="D9" s="55" t="s">
        <v>641</v>
      </c>
      <c r="E9" s="57" t="s">
        <v>642</v>
      </c>
      <c r="F9" s="33" t="s">
        <v>643</v>
      </c>
      <c r="G9" s="36">
        <v>16</v>
      </c>
      <c r="H9" s="38">
        <v>25</v>
      </c>
      <c r="I9" s="7">
        <v>17000</v>
      </c>
      <c r="J9" s="5">
        <v>1870</v>
      </c>
      <c r="K9" s="15">
        <f>L9</f>
        <v>0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0.60798321994458793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146</v>
      </c>
      <c r="D10" s="55" t="s">
        <v>348</v>
      </c>
      <c r="E10" s="57" t="s">
        <v>349</v>
      </c>
      <c r="F10" s="12" t="s">
        <v>616</v>
      </c>
      <c r="G10" s="12">
        <v>2</v>
      </c>
      <c r="H10" s="13">
        <v>20</v>
      </c>
      <c r="I10" s="34">
        <v>100000</v>
      </c>
      <c r="J10" s="14">
        <v>800</v>
      </c>
      <c r="K10" s="15">
        <f>L10</f>
        <v>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>
        <v>24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0.60798321994458793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472</v>
      </c>
      <c r="D11" s="55" t="s">
        <v>121</v>
      </c>
      <c r="E11" s="57" t="s">
        <v>508</v>
      </c>
      <c r="F11" s="12" t="s">
        <v>557</v>
      </c>
      <c r="G11" s="12">
        <v>2</v>
      </c>
      <c r="H11" s="13">
        <v>25</v>
      </c>
      <c r="I11" s="34">
        <v>80000</v>
      </c>
      <c r="J11" s="14">
        <v>10940</v>
      </c>
      <c r="K11" s="15">
        <f>L11+3674+8520+10258+8998</f>
        <v>42382</v>
      </c>
      <c r="L11" s="15">
        <f>2719*2+2747*2</f>
        <v>10932</v>
      </c>
      <c r="M11" s="16">
        <f t="shared" si="0"/>
        <v>10932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0.99926873857404019</v>
      </c>
      <c r="AC11" s="9">
        <f t="shared" si="5"/>
        <v>1</v>
      </c>
      <c r="AD11" s="10">
        <f t="shared" si="6"/>
        <v>0.99926873857404019</v>
      </c>
      <c r="AE11" s="39">
        <f t="shared" si="7"/>
        <v>0.60798321994458793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483</v>
      </c>
      <c r="D12" s="55" t="s">
        <v>649</v>
      </c>
      <c r="E12" s="57" t="s">
        <v>650</v>
      </c>
      <c r="F12" s="12">
        <v>7301</v>
      </c>
      <c r="G12" s="12">
        <v>1</v>
      </c>
      <c r="H12" s="13">
        <v>25</v>
      </c>
      <c r="I12" s="7">
        <v>10000</v>
      </c>
      <c r="J12" s="14">
        <v>5360</v>
      </c>
      <c r="K12" s="15">
        <f>L12+3335</f>
        <v>8692</v>
      </c>
      <c r="L12" s="15">
        <f>2599+2758</f>
        <v>5357</v>
      </c>
      <c r="M12" s="16">
        <f t="shared" si="0"/>
        <v>5357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0.99944029850746263</v>
      </c>
      <c r="AC12" s="9">
        <f t="shared" si="5"/>
        <v>1</v>
      </c>
      <c r="AD12" s="10">
        <f t="shared" si="6"/>
        <v>0.99944029850746263</v>
      </c>
      <c r="AE12" s="39">
        <f t="shared" si="7"/>
        <v>0.60798321994458793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483</v>
      </c>
      <c r="D13" s="55" t="s">
        <v>651</v>
      </c>
      <c r="E13" s="57" t="s">
        <v>653</v>
      </c>
      <c r="F13" s="12">
        <v>7301</v>
      </c>
      <c r="G13" s="12">
        <v>1</v>
      </c>
      <c r="H13" s="13">
        <v>25</v>
      </c>
      <c r="I13" s="7">
        <v>10000</v>
      </c>
      <c r="J13" s="14">
        <v>5270</v>
      </c>
      <c r="K13" s="15">
        <f>L13+5843</f>
        <v>11107</v>
      </c>
      <c r="L13" s="15">
        <f>2949+2315</f>
        <v>5264</v>
      </c>
      <c r="M13" s="16">
        <f t="shared" si="0"/>
        <v>5264</v>
      </c>
      <c r="N13" s="16">
        <v>0</v>
      </c>
      <c r="O13" s="62">
        <f t="shared" si="1"/>
        <v>0</v>
      </c>
      <c r="P13" s="42">
        <f t="shared" si="2"/>
        <v>22</v>
      </c>
      <c r="Q13" s="43">
        <f t="shared" si="3"/>
        <v>2</v>
      </c>
      <c r="R13" s="7"/>
      <c r="S13" s="6">
        <v>2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0.99886148007590136</v>
      </c>
      <c r="AC13" s="9">
        <f t="shared" si="5"/>
        <v>0.91666666666666663</v>
      </c>
      <c r="AD13" s="10">
        <f t="shared" si="6"/>
        <v>0.91562302340290957</v>
      </c>
      <c r="AE13" s="39">
        <f t="shared" si="7"/>
        <v>0.60798321994458793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128</v>
      </c>
      <c r="E14" s="57" t="s">
        <v>674</v>
      </c>
      <c r="F14" s="33" t="s">
        <v>675</v>
      </c>
      <c r="G14" s="36">
        <v>1</v>
      </c>
      <c r="H14" s="38">
        <v>25</v>
      </c>
      <c r="I14" s="7">
        <v>200</v>
      </c>
      <c r="J14" s="5">
        <v>318</v>
      </c>
      <c r="K14" s="15">
        <f>L14</f>
        <v>318</v>
      </c>
      <c r="L14" s="15">
        <f>318</f>
        <v>318</v>
      </c>
      <c r="M14" s="16">
        <f t="shared" si="0"/>
        <v>318</v>
      </c>
      <c r="N14" s="16">
        <v>0</v>
      </c>
      <c r="O14" s="62">
        <f t="shared" si="1"/>
        <v>0</v>
      </c>
      <c r="P14" s="42">
        <f t="shared" si="2"/>
        <v>5</v>
      </c>
      <c r="Q14" s="43">
        <f t="shared" si="3"/>
        <v>19</v>
      </c>
      <c r="R14" s="7"/>
      <c r="S14" s="6"/>
      <c r="T14" s="17"/>
      <c r="U14" s="17"/>
      <c r="V14" s="18"/>
      <c r="W14" s="19">
        <v>19</v>
      </c>
      <c r="X14" s="17"/>
      <c r="Y14" s="20"/>
      <c r="Z14" s="20"/>
      <c r="AA14" s="21"/>
      <c r="AB14" s="8">
        <f t="shared" si="4"/>
        <v>1</v>
      </c>
      <c r="AC14" s="9">
        <f t="shared" si="5"/>
        <v>0.20833333333333334</v>
      </c>
      <c r="AD14" s="10">
        <f t="shared" si="6"/>
        <v>0.20833333333333334</v>
      </c>
      <c r="AE14" s="39">
        <f t="shared" si="7"/>
        <v>0.60798321994458793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123</v>
      </c>
      <c r="D15" s="55" t="s">
        <v>249</v>
      </c>
      <c r="E15" s="57" t="s">
        <v>247</v>
      </c>
      <c r="F15" s="12" t="s">
        <v>151</v>
      </c>
      <c r="G15" s="12">
        <v>4</v>
      </c>
      <c r="H15" s="13">
        <v>24</v>
      </c>
      <c r="I15" s="34">
        <v>30000</v>
      </c>
      <c r="J15" s="14">
        <v>23320</v>
      </c>
      <c r="K15" s="15">
        <f>L15+21536+23312</f>
        <v>44848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0.60798321994458793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472</v>
      </c>
      <c r="D16" s="55" t="s">
        <v>135</v>
      </c>
      <c r="E16" s="56" t="s">
        <v>505</v>
      </c>
      <c r="F16" s="12" t="s">
        <v>529</v>
      </c>
      <c r="G16" s="36">
        <v>2</v>
      </c>
      <c r="H16" s="38">
        <v>25</v>
      </c>
      <c r="I16" s="7">
        <v>80000</v>
      </c>
      <c r="J16" s="14">
        <v>11690</v>
      </c>
      <c r="K16" s="15">
        <f>L16+5764+11522+12610+10598+11958</f>
        <v>64134</v>
      </c>
      <c r="L16" s="15">
        <f>2863*2+2978*2</f>
        <v>11682</v>
      </c>
      <c r="M16" s="16">
        <f t="shared" si="0"/>
        <v>11682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0.99931565440547476</v>
      </c>
      <c r="AC16" s="9">
        <f t="shared" si="5"/>
        <v>1</v>
      </c>
      <c r="AD16" s="10">
        <f t="shared" si="6"/>
        <v>0.99931565440547476</v>
      </c>
      <c r="AE16" s="39">
        <f t="shared" si="7"/>
        <v>0.60798321994458793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472</v>
      </c>
      <c r="D17" s="55" t="s">
        <v>127</v>
      </c>
      <c r="E17" s="57" t="s">
        <v>570</v>
      </c>
      <c r="F17" s="12" t="s">
        <v>557</v>
      </c>
      <c r="G17" s="12">
        <v>2</v>
      </c>
      <c r="H17" s="13">
        <v>25</v>
      </c>
      <c r="I17" s="34">
        <v>80000</v>
      </c>
      <c r="J17" s="5">
        <v>11940</v>
      </c>
      <c r="K17" s="15">
        <f>L17+10938+13116+11222+12044</f>
        <v>59258</v>
      </c>
      <c r="L17" s="15">
        <f>2989*2+2980*2</f>
        <v>11938</v>
      </c>
      <c r="M17" s="16">
        <f t="shared" si="0"/>
        <v>11938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0.99983249581239531</v>
      </c>
      <c r="AC17" s="9">
        <f t="shared" si="5"/>
        <v>1</v>
      </c>
      <c r="AD17" s="10">
        <f t="shared" si="6"/>
        <v>0.99983249581239531</v>
      </c>
      <c r="AE17" s="39">
        <f t="shared" si="7"/>
        <v>0.60798321994458793</v>
      </c>
      <c r="AF17" s="94">
        <f t="shared" ref="AF17:AF18" si="9">A17</f>
        <v>12</v>
      </c>
    </row>
    <row r="18" spans="1:32" ht="27" customHeight="1">
      <c r="A18" s="110">
        <v>13</v>
      </c>
      <c r="B18" s="11" t="s">
        <v>57</v>
      </c>
      <c r="C18" s="37" t="s">
        <v>472</v>
      </c>
      <c r="D18" s="55" t="s">
        <v>128</v>
      </c>
      <c r="E18" s="57" t="s">
        <v>510</v>
      </c>
      <c r="F18" s="33" t="s">
        <v>529</v>
      </c>
      <c r="G18" s="36">
        <v>1</v>
      </c>
      <c r="H18" s="38">
        <v>25</v>
      </c>
      <c r="I18" s="7">
        <v>80000</v>
      </c>
      <c r="J18" s="5">
        <v>10170</v>
      </c>
      <c r="K18" s="15">
        <f>L18+3954+5120+6970+9172+10126</f>
        <v>45510</v>
      </c>
      <c r="L18" s="15">
        <f>2553*2+2531*2</f>
        <v>10168</v>
      </c>
      <c r="M18" s="16">
        <f t="shared" si="0"/>
        <v>10168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0.99980334316617503</v>
      </c>
      <c r="AC18" s="9">
        <f t="shared" si="5"/>
        <v>1</v>
      </c>
      <c r="AD18" s="10">
        <f t="shared" si="6"/>
        <v>0.99980334316617503</v>
      </c>
      <c r="AE18" s="39">
        <f t="shared" si="7"/>
        <v>0.60798321994458793</v>
      </c>
      <c r="AF18" s="94">
        <f t="shared" si="9"/>
        <v>13</v>
      </c>
    </row>
    <row r="19" spans="1:32" ht="27" customHeight="1">
      <c r="A19" s="110">
        <v>14</v>
      </c>
      <c r="B19" s="11" t="s">
        <v>57</v>
      </c>
      <c r="C19" s="11" t="s">
        <v>146</v>
      </c>
      <c r="D19" s="55" t="s">
        <v>169</v>
      </c>
      <c r="E19" s="57" t="s">
        <v>168</v>
      </c>
      <c r="F19" s="12" t="s">
        <v>138</v>
      </c>
      <c r="G19" s="12" t="s">
        <v>170</v>
      </c>
      <c r="H19" s="13">
        <v>25</v>
      </c>
      <c r="I19" s="7">
        <v>130000</v>
      </c>
      <c r="J19" s="14">
        <v>7300</v>
      </c>
      <c r="K19" s="15">
        <f>L19+3258+4398+5144+3460+6323+4564+5384+7161+2960+2789+7049+2970+3630</f>
        <v>66389</v>
      </c>
      <c r="L19" s="15">
        <f>3629+3670</f>
        <v>7299</v>
      </c>
      <c r="M19" s="16">
        <f t="shared" si="0"/>
        <v>7299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0.99986301369863018</v>
      </c>
      <c r="AC19" s="9">
        <f t="shared" si="5"/>
        <v>1</v>
      </c>
      <c r="AD19" s="10">
        <f t="shared" si="6"/>
        <v>0.99986301369863018</v>
      </c>
      <c r="AE19" s="39">
        <f t="shared" si="7"/>
        <v>0.60798321994458793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124</v>
      </c>
      <c r="D20" s="55"/>
      <c r="E20" s="56" t="s">
        <v>240</v>
      </c>
      <c r="F20" s="12" t="s">
        <v>125</v>
      </c>
      <c r="G20" s="12">
        <v>4</v>
      </c>
      <c r="H20" s="38">
        <v>20</v>
      </c>
      <c r="I20" s="7">
        <v>800000</v>
      </c>
      <c r="J20" s="14">
        <v>5640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0.60798321994458793</v>
      </c>
      <c r="AF20" s="94">
        <f t="shared" si="8"/>
        <v>15</v>
      </c>
    </row>
    <row r="21" spans="1:32" ht="31.5" customHeight="1" thickBot="1">
      <c r="A21" s="369" t="s">
        <v>34</v>
      </c>
      <c r="B21" s="370"/>
      <c r="C21" s="370"/>
      <c r="D21" s="370"/>
      <c r="E21" s="370"/>
      <c r="F21" s="370"/>
      <c r="G21" s="370"/>
      <c r="H21" s="371"/>
      <c r="I21" s="25">
        <f t="shared" ref="I21:N21" si="10">SUM(I6:I20)</f>
        <v>1607200</v>
      </c>
      <c r="J21" s="22">
        <f t="shared" si="10"/>
        <v>126788</v>
      </c>
      <c r="K21" s="23">
        <f t="shared" si="10"/>
        <v>662147</v>
      </c>
      <c r="L21" s="24">
        <f t="shared" si="10"/>
        <v>79560</v>
      </c>
      <c r="M21" s="23">
        <f t="shared" si="10"/>
        <v>79560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219</v>
      </c>
      <c r="Q21" s="46">
        <f t="shared" si="11"/>
        <v>141</v>
      </c>
      <c r="R21" s="26">
        <f t="shared" si="11"/>
        <v>0</v>
      </c>
      <c r="S21" s="27">
        <f t="shared" si="11"/>
        <v>50</v>
      </c>
      <c r="T21" s="27">
        <f t="shared" si="11"/>
        <v>0</v>
      </c>
      <c r="U21" s="27">
        <f t="shared" si="11"/>
        <v>0</v>
      </c>
      <c r="V21" s="28">
        <f t="shared" si="11"/>
        <v>0</v>
      </c>
      <c r="W21" s="29">
        <f t="shared" si="11"/>
        <v>91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0.66631022816723184</v>
      </c>
      <c r="AC21" s="4">
        <f>SUM(AC6:AC20)/15</f>
        <v>0.60833333333333328</v>
      </c>
      <c r="AD21" s="4">
        <f>SUM(AD6:AD20)/15</f>
        <v>0.60798321994458793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2" t="s">
        <v>45</v>
      </c>
      <c r="B48" s="372"/>
      <c r="C48" s="372"/>
      <c r="D48" s="372"/>
      <c r="E48" s="37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3" t="s">
        <v>676</v>
      </c>
      <c r="B49" s="374"/>
      <c r="C49" s="374"/>
      <c r="D49" s="374"/>
      <c r="E49" s="374"/>
      <c r="F49" s="374"/>
      <c r="G49" s="374"/>
      <c r="H49" s="374"/>
      <c r="I49" s="374"/>
      <c r="J49" s="374"/>
      <c r="K49" s="374"/>
      <c r="L49" s="374"/>
      <c r="M49" s="375"/>
      <c r="N49" s="376" t="s">
        <v>682</v>
      </c>
      <c r="O49" s="377"/>
      <c r="P49" s="377"/>
      <c r="Q49" s="377"/>
      <c r="R49" s="377"/>
      <c r="S49" s="377"/>
      <c r="T49" s="377"/>
      <c r="U49" s="377"/>
      <c r="V49" s="377"/>
      <c r="W49" s="377"/>
      <c r="X49" s="377"/>
      <c r="Y49" s="377"/>
      <c r="Z49" s="377"/>
      <c r="AA49" s="377"/>
      <c r="AB49" s="377"/>
      <c r="AC49" s="377"/>
      <c r="AD49" s="378"/>
    </row>
    <row r="50" spans="1:32" ht="27" customHeight="1">
      <c r="A50" s="379" t="s">
        <v>2</v>
      </c>
      <c r="B50" s="380"/>
      <c r="C50" s="292" t="s">
        <v>46</v>
      </c>
      <c r="D50" s="292" t="s">
        <v>47</v>
      </c>
      <c r="E50" s="292" t="s">
        <v>108</v>
      </c>
      <c r="F50" s="380" t="s">
        <v>107</v>
      </c>
      <c r="G50" s="380"/>
      <c r="H50" s="380"/>
      <c r="I50" s="380"/>
      <c r="J50" s="380"/>
      <c r="K50" s="380"/>
      <c r="L50" s="380"/>
      <c r="M50" s="381"/>
      <c r="N50" s="73" t="s">
        <v>112</v>
      </c>
      <c r="O50" s="292" t="s">
        <v>46</v>
      </c>
      <c r="P50" s="382" t="s">
        <v>47</v>
      </c>
      <c r="Q50" s="383"/>
      <c r="R50" s="382" t="s">
        <v>38</v>
      </c>
      <c r="S50" s="384"/>
      <c r="T50" s="384"/>
      <c r="U50" s="383"/>
      <c r="V50" s="382" t="s">
        <v>48</v>
      </c>
      <c r="W50" s="384"/>
      <c r="X50" s="384"/>
      <c r="Y50" s="384"/>
      <c r="Z50" s="384"/>
      <c r="AA50" s="384"/>
      <c r="AB50" s="384"/>
      <c r="AC50" s="384"/>
      <c r="AD50" s="385"/>
    </row>
    <row r="51" spans="1:32" ht="27" customHeight="1">
      <c r="A51" s="396" t="s">
        <v>483</v>
      </c>
      <c r="B51" s="397"/>
      <c r="C51" s="291" t="s">
        <v>126</v>
      </c>
      <c r="D51" s="288" t="s">
        <v>651</v>
      </c>
      <c r="E51" s="291" t="s">
        <v>653</v>
      </c>
      <c r="F51" s="398" t="s">
        <v>677</v>
      </c>
      <c r="G51" s="398"/>
      <c r="H51" s="398"/>
      <c r="I51" s="398"/>
      <c r="J51" s="398"/>
      <c r="K51" s="398"/>
      <c r="L51" s="398"/>
      <c r="M51" s="399"/>
      <c r="N51" s="287" t="s">
        <v>684</v>
      </c>
      <c r="O51" s="74" t="s">
        <v>685</v>
      </c>
      <c r="P51" s="402" t="s">
        <v>680</v>
      </c>
      <c r="Q51" s="402"/>
      <c r="R51" s="402" t="s">
        <v>683</v>
      </c>
      <c r="S51" s="402"/>
      <c r="T51" s="402"/>
      <c r="U51" s="402"/>
      <c r="V51" s="398" t="s">
        <v>681</v>
      </c>
      <c r="W51" s="398"/>
      <c r="X51" s="398"/>
      <c r="Y51" s="398"/>
      <c r="Z51" s="398"/>
      <c r="AA51" s="398"/>
      <c r="AB51" s="398"/>
      <c r="AC51" s="398"/>
      <c r="AD51" s="399"/>
    </row>
    <row r="52" spans="1:32" ht="27" customHeight="1">
      <c r="A52" s="396" t="s">
        <v>678</v>
      </c>
      <c r="B52" s="397"/>
      <c r="C52" s="291" t="s">
        <v>679</v>
      </c>
      <c r="D52" s="288" t="s">
        <v>680</v>
      </c>
      <c r="E52" s="291" t="s">
        <v>674</v>
      </c>
      <c r="F52" s="398" t="s">
        <v>681</v>
      </c>
      <c r="G52" s="398"/>
      <c r="H52" s="398"/>
      <c r="I52" s="398"/>
      <c r="J52" s="398"/>
      <c r="K52" s="398"/>
      <c r="L52" s="398"/>
      <c r="M52" s="399"/>
      <c r="N52" s="287"/>
      <c r="O52" s="74"/>
      <c r="P52" s="400"/>
      <c r="Q52" s="401"/>
      <c r="R52" s="402"/>
      <c r="S52" s="402"/>
      <c r="T52" s="402"/>
      <c r="U52" s="402"/>
      <c r="V52" s="398"/>
      <c r="W52" s="398"/>
      <c r="X52" s="398"/>
      <c r="Y52" s="398"/>
      <c r="Z52" s="398"/>
      <c r="AA52" s="398"/>
      <c r="AB52" s="398"/>
      <c r="AC52" s="398"/>
      <c r="AD52" s="399"/>
    </row>
    <row r="53" spans="1:32" ht="27" customHeight="1">
      <c r="A53" s="396"/>
      <c r="B53" s="397"/>
      <c r="C53" s="291"/>
      <c r="D53" s="288"/>
      <c r="E53" s="291"/>
      <c r="F53" s="398"/>
      <c r="G53" s="398"/>
      <c r="H53" s="398"/>
      <c r="I53" s="398"/>
      <c r="J53" s="398"/>
      <c r="K53" s="398"/>
      <c r="L53" s="398"/>
      <c r="M53" s="399"/>
      <c r="N53" s="287"/>
      <c r="O53" s="74"/>
      <c r="P53" s="402"/>
      <c r="Q53" s="402"/>
      <c r="R53" s="402"/>
      <c r="S53" s="402"/>
      <c r="T53" s="402"/>
      <c r="U53" s="402"/>
      <c r="V53" s="398"/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/>
      <c r="B54" s="397"/>
      <c r="C54" s="291"/>
      <c r="D54" s="288"/>
      <c r="E54" s="291"/>
      <c r="F54" s="398"/>
      <c r="G54" s="398"/>
      <c r="H54" s="398"/>
      <c r="I54" s="398"/>
      <c r="J54" s="398"/>
      <c r="K54" s="398"/>
      <c r="L54" s="398"/>
      <c r="M54" s="399"/>
      <c r="N54" s="287"/>
      <c r="O54" s="74"/>
      <c r="P54" s="402"/>
      <c r="Q54" s="402"/>
      <c r="R54" s="402"/>
      <c r="S54" s="402"/>
      <c r="T54" s="402"/>
      <c r="U54" s="402"/>
      <c r="V54" s="398"/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/>
      <c r="B55" s="397"/>
      <c r="C55" s="291"/>
      <c r="D55" s="288"/>
      <c r="E55" s="291"/>
      <c r="F55" s="398"/>
      <c r="G55" s="398"/>
      <c r="H55" s="398"/>
      <c r="I55" s="398"/>
      <c r="J55" s="398"/>
      <c r="K55" s="398"/>
      <c r="L55" s="398"/>
      <c r="M55" s="399"/>
      <c r="N55" s="287"/>
      <c r="O55" s="74"/>
      <c r="P55" s="402"/>
      <c r="Q55" s="402"/>
      <c r="R55" s="402"/>
      <c r="S55" s="402"/>
      <c r="T55" s="402"/>
      <c r="U55" s="402"/>
      <c r="V55" s="398"/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/>
      <c r="B56" s="397"/>
      <c r="C56" s="291"/>
      <c r="D56" s="288"/>
      <c r="E56" s="291"/>
      <c r="F56" s="398"/>
      <c r="G56" s="398"/>
      <c r="H56" s="398"/>
      <c r="I56" s="398"/>
      <c r="J56" s="398"/>
      <c r="K56" s="398"/>
      <c r="L56" s="398"/>
      <c r="M56" s="399"/>
      <c r="N56" s="287"/>
      <c r="O56" s="74"/>
      <c r="P56" s="402"/>
      <c r="Q56" s="402"/>
      <c r="R56" s="402"/>
      <c r="S56" s="402"/>
      <c r="T56" s="402"/>
      <c r="U56" s="402"/>
      <c r="V56" s="398"/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/>
      <c r="B57" s="397"/>
      <c r="C57" s="291"/>
      <c r="D57" s="288"/>
      <c r="E57" s="291"/>
      <c r="F57" s="398"/>
      <c r="G57" s="398"/>
      <c r="H57" s="398"/>
      <c r="I57" s="398"/>
      <c r="J57" s="398"/>
      <c r="K57" s="398"/>
      <c r="L57" s="398"/>
      <c r="M57" s="399"/>
      <c r="N57" s="287"/>
      <c r="O57" s="74"/>
      <c r="P57" s="400"/>
      <c r="Q57" s="401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/>
      <c r="B58" s="397"/>
      <c r="C58" s="291"/>
      <c r="D58" s="288"/>
      <c r="E58" s="291"/>
      <c r="F58" s="398"/>
      <c r="G58" s="398"/>
      <c r="H58" s="398"/>
      <c r="I58" s="398"/>
      <c r="J58" s="398"/>
      <c r="K58" s="398"/>
      <c r="L58" s="398"/>
      <c r="M58" s="399"/>
      <c r="N58" s="287"/>
      <c r="O58" s="74"/>
      <c r="P58" s="400"/>
      <c r="Q58" s="401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412"/>
      <c r="B59" s="402"/>
      <c r="C59" s="288"/>
      <c r="D59" s="288"/>
      <c r="E59" s="288"/>
      <c r="F59" s="398"/>
      <c r="G59" s="398"/>
      <c r="H59" s="398"/>
      <c r="I59" s="398"/>
      <c r="J59" s="398"/>
      <c r="K59" s="398"/>
      <c r="L59" s="398"/>
      <c r="M59" s="399"/>
      <c r="N59" s="287"/>
      <c r="O59" s="74"/>
      <c r="P59" s="402"/>
      <c r="Q59" s="402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  <c r="AF59" s="94">
        <f>8*3000</f>
        <v>24000</v>
      </c>
    </row>
    <row r="60" spans="1:32" ht="27" customHeight="1" thickBot="1">
      <c r="A60" s="403"/>
      <c r="B60" s="404"/>
      <c r="C60" s="290"/>
      <c r="D60" s="290"/>
      <c r="E60" s="290"/>
      <c r="F60" s="405"/>
      <c r="G60" s="405"/>
      <c r="H60" s="405"/>
      <c r="I60" s="405"/>
      <c r="J60" s="405"/>
      <c r="K60" s="405"/>
      <c r="L60" s="405"/>
      <c r="M60" s="406"/>
      <c r="N60" s="289"/>
      <c r="O60" s="121"/>
      <c r="P60" s="404"/>
      <c r="Q60" s="404"/>
      <c r="R60" s="404"/>
      <c r="S60" s="404"/>
      <c r="T60" s="404"/>
      <c r="U60" s="404"/>
      <c r="V60" s="405"/>
      <c r="W60" s="405"/>
      <c r="X60" s="405"/>
      <c r="Y60" s="405"/>
      <c r="Z60" s="405"/>
      <c r="AA60" s="405"/>
      <c r="AB60" s="405"/>
      <c r="AC60" s="405"/>
      <c r="AD60" s="406"/>
      <c r="AF60" s="94">
        <f>16*3000</f>
        <v>48000</v>
      </c>
    </row>
    <row r="61" spans="1:32" ht="27.75" thickBot="1">
      <c r="A61" s="407" t="s">
        <v>686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286" t="s">
        <v>2</v>
      </c>
      <c r="D62" s="286" t="s">
        <v>37</v>
      </c>
      <c r="E62" s="286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286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3"/>
      <c r="T62" s="413"/>
      <c r="U62" s="413"/>
      <c r="V62" s="413"/>
      <c r="W62" s="413"/>
      <c r="X62" s="413"/>
      <c r="Y62" s="413"/>
      <c r="Z62" s="413"/>
      <c r="AA62" s="411"/>
      <c r="AB62" s="409" t="s">
        <v>44</v>
      </c>
      <c r="AC62" s="409"/>
      <c r="AD62" s="414"/>
      <c r="AF62" s="94">
        <f>SUM(AF59:AF61)</f>
        <v>96000</v>
      </c>
    </row>
    <row r="63" spans="1:32" ht="25.5" customHeight="1">
      <c r="A63" s="415">
        <v>1</v>
      </c>
      <c r="B63" s="416"/>
      <c r="C63" s="124" t="s">
        <v>687</v>
      </c>
      <c r="D63" s="282"/>
      <c r="E63" s="285" t="s">
        <v>688</v>
      </c>
      <c r="F63" s="417" t="s">
        <v>689</v>
      </c>
      <c r="G63" s="418"/>
      <c r="H63" s="418"/>
      <c r="I63" s="418"/>
      <c r="J63" s="418"/>
      <c r="K63" s="418">
        <v>8301</v>
      </c>
      <c r="L63" s="418"/>
      <c r="M63" s="54" t="s">
        <v>690</v>
      </c>
      <c r="N63" s="418">
        <v>10</v>
      </c>
      <c r="O63" s="418"/>
      <c r="P63" s="419">
        <v>100</v>
      </c>
      <c r="Q63" s="419"/>
      <c r="R63" s="398"/>
      <c r="S63" s="398"/>
      <c r="T63" s="398"/>
      <c r="U63" s="398"/>
      <c r="V63" s="398"/>
      <c r="W63" s="398"/>
      <c r="X63" s="398"/>
      <c r="Y63" s="398"/>
      <c r="Z63" s="398"/>
      <c r="AA63" s="398"/>
      <c r="AB63" s="418"/>
      <c r="AC63" s="418"/>
      <c r="AD63" s="420"/>
      <c r="AF63" s="53"/>
    </row>
    <row r="64" spans="1:32" ht="25.5" customHeight="1">
      <c r="A64" s="415">
        <v>2</v>
      </c>
      <c r="B64" s="416"/>
      <c r="C64" s="124" t="s">
        <v>687</v>
      </c>
      <c r="D64" s="282"/>
      <c r="E64" s="285" t="s">
        <v>688</v>
      </c>
      <c r="F64" s="417" t="s">
        <v>691</v>
      </c>
      <c r="G64" s="418"/>
      <c r="H64" s="418"/>
      <c r="I64" s="418"/>
      <c r="J64" s="418"/>
      <c r="K64" s="418">
        <v>8301</v>
      </c>
      <c r="L64" s="418"/>
      <c r="M64" s="54" t="s">
        <v>690</v>
      </c>
      <c r="N64" s="418">
        <v>10</v>
      </c>
      <c r="O64" s="418"/>
      <c r="P64" s="419">
        <v>100</v>
      </c>
      <c r="Q64" s="419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418"/>
      <c r="AC64" s="418"/>
      <c r="AD64" s="420"/>
      <c r="AF64" s="53"/>
    </row>
    <row r="65" spans="1:32" ht="25.5" customHeight="1">
      <c r="A65" s="415">
        <v>3</v>
      </c>
      <c r="B65" s="416"/>
      <c r="C65" s="124" t="s">
        <v>695</v>
      </c>
      <c r="D65" s="282"/>
      <c r="E65" s="285" t="s">
        <v>696</v>
      </c>
      <c r="F65" s="417" t="s">
        <v>693</v>
      </c>
      <c r="G65" s="418"/>
      <c r="H65" s="418"/>
      <c r="I65" s="418"/>
      <c r="J65" s="418"/>
      <c r="K65" s="418">
        <v>7301</v>
      </c>
      <c r="L65" s="418"/>
      <c r="M65" s="54" t="s">
        <v>698</v>
      </c>
      <c r="N65" s="418">
        <v>2</v>
      </c>
      <c r="O65" s="418"/>
      <c r="P65" s="419">
        <v>50</v>
      </c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4</v>
      </c>
      <c r="B66" s="416"/>
      <c r="C66" s="124" t="s">
        <v>695</v>
      </c>
      <c r="D66" s="282"/>
      <c r="E66" s="285" t="s">
        <v>697</v>
      </c>
      <c r="F66" s="417" t="s">
        <v>694</v>
      </c>
      <c r="G66" s="418"/>
      <c r="H66" s="418"/>
      <c r="I66" s="418"/>
      <c r="J66" s="418"/>
      <c r="K66" s="418">
        <v>7301</v>
      </c>
      <c r="L66" s="418"/>
      <c r="M66" s="54" t="s">
        <v>698</v>
      </c>
      <c r="N66" s="418">
        <v>2</v>
      </c>
      <c r="O66" s="418"/>
      <c r="P66" s="419">
        <v>50</v>
      </c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5</v>
      </c>
      <c r="B67" s="416"/>
      <c r="C67" s="124"/>
      <c r="D67" s="282"/>
      <c r="E67" s="285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6</v>
      </c>
      <c r="B68" s="416"/>
      <c r="C68" s="124"/>
      <c r="D68" s="282"/>
      <c r="E68" s="285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7</v>
      </c>
      <c r="B69" s="416"/>
      <c r="C69" s="124"/>
      <c r="D69" s="282"/>
      <c r="E69" s="285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8</v>
      </c>
      <c r="B70" s="416"/>
      <c r="C70" s="124"/>
      <c r="D70" s="282"/>
      <c r="E70" s="285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6.25" customHeight="1" thickBot="1">
      <c r="A71" s="421" t="s">
        <v>692</v>
      </c>
      <c r="B71" s="421"/>
      <c r="C71" s="421"/>
      <c r="D71" s="421"/>
      <c r="E71" s="42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2" t="s">
        <v>113</v>
      </c>
      <c r="B72" s="423"/>
      <c r="C72" s="284" t="s">
        <v>2</v>
      </c>
      <c r="D72" s="284" t="s">
        <v>37</v>
      </c>
      <c r="E72" s="284" t="s">
        <v>3</v>
      </c>
      <c r="F72" s="423" t="s">
        <v>38</v>
      </c>
      <c r="G72" s="423"/>
      <c r="H72" s="423"/>
      <c r="I72" s="423"/>
      <c r="J72" s="423"/>
      <c r="K72" s="424" t="s">
        <v>58</v>
      </c>
      <c r="L72" s="425"/>
      <c r="M72" s="425"/>
      <c r="N72" s="425"/>
      <c r="O72" s="425"/>
      <c r="P72" s="425"/>
      <c r="Q72" s="425"/>
      <c r="R72" s="425"/>
      <c r="S72" s="426"/>
      <c r="T72" s="423" t="s">
        <v>49</v>
      </c>
      <c r="U72" s="423"/>
      <c r="V72" s="424" t="s">
        <v>50</v>
      </c>
      <c r="W72" s="426"/>
      <c r="X72" s="425" t="s">
        <v>51</v>
      </c>
      <c r="Y72" s="425"/>
      <c r="Z72" s="425"/>
      <c r="AA72" s="425"/>
      <c r="AB72" s="425"/>
      <c r="AC72" s="425"/>
      <c r="AD72" s="427"/>
      <c r="AF72" s="53"/>
    </row>
    <row r="73" spans="1:32" ht="33.75" customHeight="1">
      <c r="A73" s="436">
        <v>1</v>
      </c>
      <c r="B73" s="437"/>
      <c r="C73" s="283" t="s">
        <v>114</v>
      </c>
      <c r="D73" s="283"/>
      <c r="E73" s="71" t="s">
        <v>119</v>
      </c>
      <c r="F73" s="438" t="s">
        <v>120</v>
      </c>
      <c r="G73" s="439"/>
      <c r="H73" s="439"/>
      <c r="I73" s="439"/>
      <c r="J73" s="440"/>
      <c r="K73" s="441" t="s">
        <v>115</v>
      </c>
      <c r="L73" s="442"/>
      <c r="M73" s="442"/>
      <c r="N73" s="442"/>
      <c r="O73" s="442"/>
      <c r="P73" s="442"/>
      <c r="Q73" s="442"/>
      <c r="R73" s="442"/>
      <c r="S73" s="443"/>
      <c r="T73" s="444">
        <v>42901</v>
      </c>
      <c r="U73" s="445"/>
      <c r="V73" s="446"/>
      <c r="W73" s="446"/>
      <c r="X73" s="447"/>
      <c r="Y73" s="447"/>
      <c r="Z73" s="447"/>
      <c r="AA73" s="447"/>
      <c r="AB73" s="447"/>
      <c r="AC73" s="447"/>
      <c r="AD73" s="448"/>
      <c r="AF73" s="53"/>
    </row>
    <row r="74" spans="1:32" ht="30" customHeight="1">
      <c r="A74" s="428">
        <f>A73+1</f>
        <v>2</v>
      </c>
      <c r="B74" s="429"/>
      <c r="C74" s="282" t="s">
        <v>114</v>
      </c>
      <c r="D74" s="282"/>
      <c r="E74" s="35" t="s">
        <v>116</v>
      </c>
      <c r="F74" s="429" t="s">
        <v>117</v>
      </c>
      <c r="G74" s="429"/>
      <c r="H74" s="429"/>
      <c r="I74" s="429"/>
      <c r="J74" s="429"/>
      <c r="K74" s="430" t="s">
        <v>118</v>
      </c>
      <c r="L74" s="431"/>
      <c r="M74" s="431"/>
      <c r="N74" s="431"/>
      <c r="O74" s="431"/>
      <c r="P74" s="431"/>
      <c r="Q74" s="431"/>
      <c r="R74" s="431"/>
      <c r="S74" s="432"/>
      <c r="T74" s="433">
        <v>42867</v>
      </c>
      <c r="U74" s="433"/>
      <c r="V74" s="433"/>
      <c r="W74" s="433"/>
      <c r="X74" s="434"/>
      <c r="Y74" s="434"/>
      <c r="Z74" s="434"/>
      <c r="AA74" s="434"/>
      <c r="AB74" s="434"/>
      <c r="AC74" s="434"/>
      <c r="AD74" s="435"/>
      <c r="AF74" s="53"/>
    </row>
    <row r="75" spans="1:32" ht="30" customHeight="1">
      <c r="A75" s="428">
        <f t="shared" ref="A75:A81" si="12">A74+1</f>
        <v>3</v>
      </c>
      <c r="B75" s="429"/>
      <c r="C75" s="282"/>
      <c r="D75" s="282"/>
      <c r="E75" s="35"/>
      <c r="F75" s="429"/>
      <c r="G75" s="429"/>
      <c r="H75" s="429"/>
      <c r="I75" s="429"/>
      <c r="J75" s="429"/>
      <c r="K75" s="430"/>
      <c r="L75" s="431"/>
      <c r="M75" s="431"/>
      <c r="N75" s="431"/>
      <c r="O75" s="431"/>
      <c r="P75" s="431"/>
      <c r="Q75" s="431"/>
      <c r="R75" s="431"/>
      <c r="S75" s="432"/>
      <c r="T75" s="433"/>
      <c r="U75" s="433"/>
      <c r="V75" s="433"/>
      <c r="W75" s="433"/>
      <c r="X75" s="434"/>
      <c r="Y75" s="434"/>
      <c r="Z75" s="434"/>
      <c r="AA75" s="434"/>
      <c r="AB75" s="434"/>
      <c r="AC75" s="434"/>
      <c r="AD75" s="435"/>
      <c r="AF75" s="53"/>
    </row>
    <row r="76" spans="1:32" ht="30" customHeight="1">
      <c r="A76" s="428">
        <f t="shared" si="12"/>
        <v>4</v>
      </c>
      <c r="B76" s="429"/>
      <c r="C76" s="282"/>
      <c r="D76" s="282"/>
      <c r="E76" s="35"/>
      <c r="F76" s="429"/>
      <c r="G76" s="429"/>
      <c r="H76" s="429"/>
      <c r="I76" s="429"/>
      <c r="J76" s="429"/>
      <c r="K76" s="430"/>
      <c r="L76" s="431"/>
      <c r="M76" s="431"/>
      <c r="N76" s="431"/>
      <c r="O76" s="431"/>
      <c r="P76" s="431"/>
      <c r="Q76" s="431"/>
      <c r="R76" s="431"/>
      <c r="S76" s="432"/>
      <c r="T76" s="433"/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si="12"/>
        <v>5</v>
      </c>
      <c r="B77" s="429"/>
      <c r="C77" s="282"/>
      <c r="D77" s="282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12"/>
        <v>6</v>
      </c>
      <c r="B78" s="429"/>
      <c r="C78" s="282"/>
      <c r="D78" s="282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12"/>
        <v>7</v>
      </c>
      <c r="B79" s="429"/>
      <c r="C79" s="282"/>
      <c r="D79" s="282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12"/>
        <v>8</v>
      </c>
      <c r="B80" s="429"/>
      <c r="C80" s="282"/>
      <c r="D80" s="282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12"/>
        <v>9</v>
      </c>
      <c r="B81" s="429"/>
      <c r="C81" s="282"/>
      <c r="D81" s="282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6" thickBot="1">
      <c r="A82" s="421" t="s">
        <v>743</v>
      </c>
      <c r="B82" s="421"/>
      <c r="C82" s="421"/>
      <c r="D82" s="421"/>
      <c r="E82" s="42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2" t="s">
        <v>113</v>
      </c>
      <c r="B83" s="423"/>
      <c r="C83" s="449" t="s">
        <v>52</v>
      </c>
      <c r="D83" s="449"/>
      <c r="E83" s="449" t="s">
        <v>53</v>
      </c>
      <c r="F83" s="449"/>
      <c r="G83" s="449"/>
      <c r="H83" s="449"/>
      <c r="I83" s="449"/>
      <c r="J83" s="449"/>
      <c r="K83" s="449" t="s">
        <v>54</v>
      </c>
      <c r="L83" s="449"/>
      <c r="M83" s="449"/>
      <c r="N83" s="449"/>
      <c r="O83" s="449"/>
      <c r="P83" s="449"/>
      <c r="Q83" s="449"/>
      <c r="R83" s="449"/>
      <c r="S83" s="449"/>
      <c r="T83" s="449" t="s">
        <v>55</v>
      </c>
      <c r="U83" s="449"/>
      <c r="V83" s="449" t="s">
        <v>56</v>
      </c>
      <c r="W83" s="449"/>
      <c r="X83" s="449"/>
      <c r="Y83" s="449" t="s">
        <v>51</v>
      </c>
      <c r="Z83" s="449"/>
      <c r="AA83" s="449"/>
      <c r="AB83" s="449"/>
      <c r="AC83" s="449"/>
      <c r="AD83" s="450"/>
      <c r="AF83" s="53"/>
    </row>
    <row r="84" spans="1:32" ht="30.75" customHeight="1">
      <c r="A84" s="436">
        <v>1</v>
      </c>
      <c r="B84" s="437"/>
      <c r="C84" s="451"/>
      <c r="D84" s="451"/>
      <c r="E84" s="451"/>
      <c r="F84" s="451"/>
      <c r="G84" s="451"/>
      <c r="H84" s="451"/>
      <c r="I84" s="451"/>
      <c r="J84" s="451"/>
      <c r="K84" s="451"/>
      <c r="L84" s="451"/>
      <c r="M84" s="451"/>
      <c r="N84" s="451"/>
      <c r="O84" s="451"/>
      <c r="P84" s="451"/>
      <c r="Q84" s="451"/>
      <c r="R84" s="451"/>
      <c r="S84" s="451"/>
      <c r="T84" s="451"/>
      <c r="U84" s="451"/>
      <c r="V84" s="452"/>
      <c r="W84" s="452"/>
      <c r="X84" s="452"/>
      <c r="Y84" s="453"/>
      <c r="Z84" s="453"/>
      <c r="AA84" s="453"/>
      <c r="AB84" s="453"/>
      <c r="AC84" s="453"/>
      <c r="AD84" s="454"/>
      <c r="AF84" s="53"/>
    </row>
    <row r="85" spans="1:32" ht="30.75" customHeight="1">
      <c r="A85" s="428">
        <v>2</v>
      </c>
      <c r="B85" s="429"/>
      <c r="C85" s="462"/>
      <c r="D85" s="462"/>
      <c r="E85" s="462"/>
      <c r="F85" s="462"/>
      <c r="G85" s="462"/>
      <c r="H85" s="462"/>
      <c r="I85" s="462"/>
      <c r="J85" s="462"/>
      <c r="K85" s="462"/>
      <c r="L85" s="462"/>
      <c r="M85" s="462"/>
      <c r="N85" s="462"/>
      <c r="O85" s="462"/>
      <c r="P85" s="462"/>
      <c r="Q85" s="462"/>
      <c r="R85" s="462"/>
      <c r="S85" s="462"/>
      <c r="T85" s="463"/>
      <c r="U85" s="463"/>
      <c r="V85" s="464"/>
      <c r="W85" s="464"/>
      <c r="X85" s="464"/>
      <c r="Y85" s="455"/>
      <c r="Z85" s="455"/>
      <c r="AA85" s="455"/>
      <c r="AB85" s="455"/>
      <c r="AC85" s="455"/>
      <c r="AD85" s="456"/>
      <c r="AF85" s="53"/>
    </row>
    <row r="86" spans="1:32" ht="30.75" customHeight="1" thickBot="1">
      <c r="A86" s="457">
        <v>3</v>
      </c>
      <c r="B86" s="458"/>
      <c r="C86" s="459"/>
      <c r="D86" s="459"/>
      <c r="E86" s="459"/>
      <c r="F86" s="459"/>
      <c r="G86" s="459"/>
      <c r="H86" s="459"/>
      <c r="I86" s="459"/>
      <c r="J86" s="459"/>
      <c r="K86" s="459"/>
      <c r="L86" s="459"/>
      <c r="M86" s="459"/>
      <c r="N86" s="459"/>
      <c r="O86" s="459"/>
      <c r="P86" s="459"/>
      <c r="Q86" s="459"/>
      <c r="R86" s="459"/>
      <c r="S86" s="459"/>
      <c r="T86" s="459"/>
      <c r="U86" s="459"/>
      <c r="V86" s="459"/>
      <c r="W86" s="459"/>
      <c r="X86" s="459"/>
      <c r="Y86" s="460"/>
      <c r="Z86" s="460"/>
      <c r="AA86" s="460"/>
      <c r="AB86" s="460"/>
      <c r="AC86" s="460"/>
      <c r="AD86" s="46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22" zoomScale="72" zoomScaleNormal="72" zoomScaleSheetLayoutView="70" workbookViewId="0">
      <selection activeCell="K67" sqref="K67:L6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55" t="s">
        <v>699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6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294" t="s">
        <v>17</v>
      </c>
      <c r="L5" s="294" t="s">
        <v>18</v>
      </c>
      <c r="M5" s="294" t="s">
        <v>19</v>
      </c>
      <c r="N5" s="29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6" ht="27" customHeight="1">
      <c r="A6" s="108">
        <v>1</v>
      </c>
      <c r="B6" s="11" t="s">
        <v>57</v>
      </c>
      <c r="C6" s="37" t="s">
        <v>122</v>
      </c>
      <c r="D6" s="55" t="s">
        <v>127</v>
      </c>
      <c r="E6" s="57" t="s">
        <v>609</v>
      </c>
      <c r="F6" s="33" t="s">
        <v>153</v>
      </c>
      <c r="G6" s="36">
        <v>1</v>
      </c>
      <c r="H6" s="38">
        <v>25</v>
      </c>
      <c r="I6" s="7">
        <v>10000</v>
      </c>
      <c r="J6" s="5">
        <v>4620</v>
      </c>
      <c r="K6" s="15">
        <f>L6+3911+4873+4612</f>
        <v>13396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0.49134099882174448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123</v>
      </c>
      <c r="D7" s="55" t="s">
        <v>156</v>
      </c>
      <c r="E7" s="57" t="s">
        <v>311</v>
      </c>
      <c r="F7" s="33" t="s">
        <v>312</v>
      </c>
      <c r="G7" s="12">
        <v>3</v>
      </c>
      <c r="H7" s="13">
        <v>25</v>
      </c>
      <c r="I7" s="34">
        <v>100000</v>
      </c>
      <c r="J7" s="5">
        <v>15560</v>
      </c>
      <c r="K7" s="15">
        <f>L7+11583+14484+15558</f>
        <v>41625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0.49134099882174448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472</v>
      </c>
      <c r="D8" s="55" t="s">
        <v>295</v>
      </c>
      <c r="E8" s="57" t="s">
        <v>502</v>
      </c>
      <c r="F8" s="33" t="s">
        <v>529</v>
      </c>
      <c r="G8" s="12">
        <v>2</v>
      </c>
      <c r="H8" s="13">
        <v>25</v>
      </c>
      <c r="I8" s="34">
        <v>80000</v>
      </c>
      <c r="J8" s="5">
        <v>12030</v>
      </c>
      <c r="K8" s="15">
        <f>L8+6076+12974+10368+11452+11990</f>
        <v>64882</v>
      </c>
      <c r="L8" s="15">
        <f>2811*2+3200*2</f>
        <v>12022</v>
      </c>
      <c r="M8" s="16">
        <f t="shared" si="0"/>
        <v>12022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0.99933499584372398</v>
      </c>
      <c r="AC8" s="9">
        <f t="shared" si="5"/>
        <v>1</v>
      </c>
      <c r="AD8" s="10">
        <f t="shared" si="6"/>
        <v>0.99933499584372398</v>
      </c>
      <c r="AE8" s="39">
        <f t="shared" si="7"/>
        <v>0.49134099882174448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122</v>
      </c>
      <c r="D9" s="55" t="s">
        <v>641</v>
      </c>
      <c r="E9" s="57" t="s">
        <v>642</v>
      </c>
      <c r="F9" s="33" t="s">
        <v>643</v>
      </c>
      <c r="G9" s="36">
        <v>16</v>
      </c>
      <c r="H9" s="38">
        <v>25</v>
      </c>
      <c r="I9" s="7">
        <v>17000</v>
      </c>
      <c r="J9" s="5">
        <v>1870</v>
      </c>
      <c r="K9" s="15">
        <f>L9</f>
        <v>0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0.49134099882174448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146</v>
      </c>
      <c r="D10" s="55" t="s">
        <v>348</v>
      </c>
      <c r="E10" s="57" t="s">
        <v>349</v>
      </c>
      <c r="F10" s="12" t="s">
        <v>616</v>
      </c>
      <c r="G10" s="12">
        <v>2</v>
      </c>
      <c r="H10" s="13">
        <v>20</v>
      </c>
      <c r="I10" s="34">
        <v>100000</v>
      </c>
      <c r="J10" s="14">
        <v>800</v>
      </c>
      <c r="K10" s="15">
        <f>L10</f>
        <v>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>
        <v>24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0.49134099882174448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472</v>
      </c>
      <c r="D11" s="55" t="s">
        <v>121</v>
      </c>
      <c r="E11" s="57" t="s">
        <v>508</v>
      </c>
      <c r="F11" s="12" t="s">
        <v>557</v>
      </c>
      <c r="G11" s="12">
        <v>2</v>
      </c>
      <c r="H11" s="13">
        <v>25</v>
      </c>
      <c r="I11" s="34">
        <v>80000</v>
      </c>
      <c r="J11" s="14">
        <v>10650</v>
      </c>
      <c r="K11" s="15">
        <f>L11+3674+8520+10258+8998+10932</f>
        <v>53024</v>
      </c>
      <c r="L11" s="15">
        <f>2585*2+2736*2</f>
        <v>10642</v>
      </c>
      <c r="M11" s="16">
        <f t="shared" si="0"/>
        <v>10642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0.99924882629107981</v>
      </c>
      <c r="AC11" s="9">
        <f t="shared" si="5"/>
        <v>1</v>
      </c>
      <c r="AD11" s="10">
        <f t="shared" si="6"/>
        <v>0.99924882629107981</v>
      </c>
      <c r="AE11" s="39">
        <f t="shared" si="7"/>
        <v>0.49134099882174448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701</v>
      </c>
      <c r="D12" s="55" t="s">
        <v>702</v>
      </c>
      <c r="E12" s="57" t="s">
        <v>703</v>
      </c>
      <c r="F12" s="12" t="s">
        <v>704</v>
      </c>
      <c r="G12" s="12">
        <v>1</v>
      </c>
      <c r="H12" s="13">
        <v>25</v>
      </c>
      <c r="I12" s="7">
        <v>2500</v>
      </c>
      <c r="J12" s="14">
        <v>2960</v>
      </c>
      <c r="K12" s="15">
        <f>L12</f>
        <v>2956</v>
      </c>
      <c r="L12" s="15">
        <f>1356+1600</f>
        <v>2956</v>
      </c>
      <c r="M12" s="16">
        <f t="shared" si="0"/>
        <v>2956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0.99864864864864866</v>
      </c>
      <c r="AC12" s="9">
        <f t="shared" si="5"/>
        <v>1</v>
      </c>
      <c r="AD12" s="10">
        <f t="shared" si="6"/>
        <v>0.99864864864864866</v>
      </c>
      <c r="AE12" s="39">
        <f t="shared" si="7"/>
        <v>0.49134099882174448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483</v>
      </c>
      <c r="D13" s="55" t="s">
        <v>651</v>
      </c>
      <c r="E13" s="57" t="s">
        <v>653</v>
      </c>
      <c r="F13" s="12">
        <v>7301</v>
      </c>
      <c r="G13" s="12">
        <v>1</v>
      </c>
      <c r="H13" s="13">
        <v>25</v>
      </c>
      <c r="I13" s="7">
        <v>10000</v>
      </c>
      <c r="J13" s="14">
        <v>6150</v>
      </c>
      <c r="K13" s="15">
        <f>L13+5843+5264</f>
        <v>17255</v>
      </c>
      <c r="L13" s="15">
        <f>2878+3270</f>
        <v>6148</v>
      </c>
      <c r="M13" s="16">
        <f t="shared" si="0"/>
        <v>6148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0.99967479674796744</v>
      </c>
      <c r="AC13" s="9">
        <f t="shared" si="5"/>
        <v>1</v>
      </c>
      <c r="AD13" s="10">
        <f t="shared" si="6"/>
        <v>0.99967479674796744</v>
      </c>
      <c r="AE13" s="39">
        <f t="shared" si="7"/>
        <v>0.49134099882174448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128</v>
      </c>
      <c r="E14" s="57" t="s">
        <v>674</v>
      </c>
      <c r="F14" s="33" t="s">
        <v>675</v>
      </c>
      <c r="G14" s="36">
        <v>1</v>
      </c>
      <c r="H14" s="38">
        <v>25</v>
      </c>
      <c r="I14" s="7">
        <v>200</v>
      </c>
      <c r="J14" s="5">
        <v>318</v>
      </c>
      <c r="K14" s="15">
        <f>L14+318</f>
        <v>318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0.49134099882174448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123</v>
      </c>
      <c r="D15" s="55" t="s">
        <v>249</v>
      </c>
      <c r="E15" s="57" t="s">
        <v>247</v>
      </c>
      <c r="F15" s="12" t="s">
        <v>151</v>
      </c>
      <c r="G15" s="12">
        <v>4</v>
      </c>
      <c r="H15" s="13">
        <v>24</v>
      </c>
      <c r="I15" s="34">
        <v>30000</v>
      </c>
      <c r="J15" s="14">
        <v>23320</v>
      </c>
      <c r="K15" s="15">
        <f>L15+21536+23312</f>
        <v>44848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0.49134099882174448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472</v>
      </c>
      <c r="D16" s="55" t="s">
        <v>135</v>
      </c>
      <c r="E16" s="56" t="s">
        <v>505</v>
      </c>
      <c r="F16" s="12" t="s">
        <v>529</v>
      </c>
      <c r="G16" s="36">
        <v>2</v>
      </c>
      <c r="H16" s="38">
        <v>25</v>
      </c>
      <c r="I16" s="7">
        <v>80000</v>
      </c>
      <c r="J16" s="14">
        <v>11720</v>
      </c>
      <c r="K16" s="15">
        <f>L16+5764+11522+12610+10598+11958+11682</f>
        <v>75850</v>
      </c>
      <c r="L16" s="15">
        <f>2793*2+3065*2</f>
        <v>11716</v>
      </c>
      <c r="M16" s="16">
        <f t="shared" si="0"/>
        <v>11716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0.99965870307167237</v>
      </c>
      <c r="AC16" s="9">
        <f t="shared" si="5"/>
        <v>1</v>
      </c>
      <c r="AD16" s="10">
        <f t="shared" si="6"/>
        <v>0.99965870307167237</v>
      </c>
      <c r="AE16" s="39">
        <f t="shared" si="7"/>
        <v>0.49134099882174448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472</v>
      </c>
      <c r="D17" s="55" t="s">
        <v>127</v>
      </c>
      <c r="E17" s="57" t="s">
        <v>570</v>
      </c>
      <c r="F17" s="12" t="s">
        <v>557</v>
      </c>
      <c r="G17" s="12">
        <v>2</v>
      </c>
      <c r="H17" s="13">
        <v>25</v>
      </c>
      <c r="I17" s="34">
        <v>80000</v>
      </c>
      <c r="J17" s="5">
        <v>12040</v>
      </c>
      <c r="K17" s="15">
        <f>L17+10938+13116+11222+12044+11938</f>
        <v>71294</v>
      </c>
      <c r="L17" s="15">
        <f>2816*2+3202*2</f>
        <v>12036</v>
      </c>
      <c r="M17" s="16">
        <f t="shared" si="0"/>
        <v>12036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0.99966777408637875</v>
      </c>
      <c r="AC17" s="9">
        <f t="shared" si="5"/>
        <v>1</v>
      </c>
      <c r="AD17" s="10">
        <f t="shared" si="6"/>
        <v>0.99966777408637875</v>
      </c>
      <c r="AE17" s="39">
        <f t="shared" si="7"/>
        <v>0.49134099882174448</v>
      </c>
      <c r="AF17" s="94">
        <f t="shared" ref="AF17:AF18" si="9">A17</f>
        <v>12</v>
      </c>
    </row>
    <row r="18" spans="1:32" ht="27" customHeight="1">
      <c r="A18" s="110">
        <v>13</v>
      </c>
      <c r="B18" s="11" t="s">
        <v>57</v>
      </c>
      <c r="C18" s="37" t="s">
        <v>472</v>
      </c>
      <c r="D18" s="55" t="s">
        <v>128</v>
      </c>
      <c r="E18" s="57" t="s">
        <v>510</v>
      </c>
      <c r="F18" s="33" t="s">
        <v>529</v>
      </c>
      <c r="G18" s="36">
        <v>1</v>
      </c>
      <c r="H18" s="38">
        <v>25</v>
      </c>
      <c r="I18" s="7">
        <v>80000</v>
      </c>
      <c r="J18" s="5">
        <v>6870</v>
      </c>
      <c r="K18" s="15">
        <f>L18+3954+5120+6970+9172+10126+10168</f>
        <v>52374</v>
      </c>
      <c r="L18" s="15">
        <f>2432*2+1000*2</f>
        <v>6864</v>
      </c>
      <c r="M18" s="16">
        <f t="shared" si="0"/>
        <v>6864</v>
      </c>
      <c r="N18" s="16">
        <v>0</v>
      </c>
      <c r="O18" s="62">
        <f t="shared" si="1"/>
        <v>0</v>
      </c>
      <c r="P18" s="42">
        <f t="shared" si="2"/>
        <v>19</v>
      </c>
      <c r="Q18" s="43">
        <f t="shared" si="3"/>
        <v>5</v>
      </c>
      <c r="R18" s="7"/>
      <c r="S18" s="6">
        <v>5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0.9991266375545852</v>
      </c>
      <c r="AC18" s="9">
        <f t="shared" si="5"/>
        <v>0.79166666666666663</v>
      </c>
      <c r="AD18" s="10">
        <f t="shared" si="6"/>
        <v>0.79097525473071328</v>
      </c>
      <c r="AE18" s="39">
        <f t="shared" si="7"/>
        <v>0.49134099882174448</v>
      </c>
      <c r="AF18" s="94">
        <f t="shared" si="9"/>
        <v>13</v>
      </c>
    </row>
    <row r="19" spans="1:32" ht="27" customHeight="1">
      <c r="A19" s="110">
        <v>14</v>
      </c>
      <c r="B19" s="11" t="s">
        <v>57</v>
      </c>
      <c r="C19" s="11" t="s">
        <v>146</v>
      </c>
      <c r="D19" s="55" t="s">
        <v>169</v>
      </c>
      <c r="E19" s="57" t="s">
        <v>168</v>
      </c>
      <c r="F19" s="12" t="s">
        <v>138</v>
      </c>
      <c r="G19" s="12" t="s">
        <v>170</v>
      </c>
      <c r="H19" s="13">
        <v>25</v>
      </c>
      <c r="I19" s="7">
        <v>130000</v>
      </c>
      <c r="J19" s="14">
        <v>2730</v>
      </c>
      <c r="K19" s="15">
        <f>L19+3258+4398+5144+3460+6323+4564+5384+7161+2960+2789+7049+2970+3630+7299</f>
        <v>69117</v>
      </c>
      <c r="L19" s="15">
        <v>2728</v>
      </c>
      <c r="M19" s="16">
        <f t="shared" si="0"/>
        <v>2728</v>
      </c>
      <c r="N19" s="16">
        <v>0</v>
      </c>
      <c r="O19" s="62">
        <f t="shared" si="1"/>
        <v>0</v>
      </c>
      <c r="P19" s="42">
        <f t="shared" si="2"/>
        <v>14</v>
      </c>
      <c r="Q19" s="43">
        <f t="shared" si="3"/>
        <v>10</v>
      </c>
      <c r="R19" s="7"/>
      <c r="S19" s="6">
        <v>10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0.99926739926739927</v>
      </c>
      <c r="AC19" s="9">
        <f t="shared" si="5"/>
        <v>0.58333333333333337</v>
      </c>
      <c r="AD19" s="10">
        <f t="shared" si="6"/>
        <v>0.58290598290598294</v>
      </c>
      <c r="AE19" s="39">
        <f t="shared" si="7"/>
        <v>0.49134099882174448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124</v>
      </c>
      <c r="D20" s="55"/>
      <c r="E20" s="56" t="s">
        <v>240</v>
      </c>
      <c r="F20" s="12" t="s">
        <v>125</v>
      </c>
      <c r="G20" s="12">
        <v>4</v>
      </c>
      <c r="H20" s="38">
        <v>20</v>
      </c>
      <c r="I20" s="7">
        <v>800000</v>
      </c>
      <c r="J20" s="14">
        <v>5640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0.49134099882174448</v>
      </c>
      <c r="AF20" s="94">
        <f t="shared" si="8"/>
        <v>15</v>
      </c>
    </row>
    <row r="21" spans="1:32" ht="31.5" customHeight="1" thickBot="1">
      <c r="A21" s="369" t="s">
        <v>34</v>
      </c>
      <c r="B21" s="370"/>
      <c r="C21" s="370"/>
      <c r="D21" s="370"/>
      <c r="E21" s="370"/>
      <c r="F21" s="370"/>
      <c r="G21" s="370"/>
      <c r="H21" s="371"/>
      <c r="I21" s="25">
        <f t="shared" ref="I21:N21" si="10">SUM(I6:I20)</f>
        <v>1599700</v>
      </c>
      <c r="J21" s="22">
        <f t="shared" si="10"/>
        <v>117278</v>
      </c>
      <c r="K21" s="23">
        <f t="shared" si="10"/>
        <v>718567</v>
      </c>
      <c r="L21" s="24">
        <f t="shared" si="10"/>
        <v>65112</v>
      </c>
      <c r="M21" s="23">
        <f t="shared" si="10"/>
        <v>65112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177</v>
      </c>
      <c r="Q21" s="46">
        <f t="shared" si="11"/>
        <v>159</v>
      </c>
      <c r="R21" s="26">
        <f t="shared" si="11"/>
        <v>0</v>
      </c>
      <c r="S21" s="27">
        <f t="shared" si="11"/>
        <v>63</v>
      </c>
      <c r="T21" s="27">
        <f t="shared" si="11"/>
        <v>0</v>
      </c>
      <c r="U21" s="27">
        <f t="shared" si="11"/>
        <v>0</v>
      </c>
      <c r="V21" s="28">
        <f t="shared" si="11"/>
        <v>0</v>
      </c>
      <c r="W21" s="29">
        <f t="shared" si="11"/>
        <v>96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0.53297518543409705</v>
      </c>
      <c r="AC21" s="4">
        <f>SUM(AC6:AC20)/15</f>
        <v>0.49166666666666664</v>
      </c>
      <c r="AD21" s="4">
        <f>SUM(AD6:AD20)/15</f>
        <v>0.49134099882174448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2" t="s">
        <v>45</v>
      </c>
      <c r="B48" s="372"/>
      <c r="C48" s="372"/>
      <c r="D48" s="372"/>
      <c r="E48" s="37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3" t="s">
        <v>705</v>
      </c>
      <c r="B49" s="374"/>
      <c r="C49" s="374"/>
      <c r="D49" s="374"/>
      <c r="E49" s="374"/>
      <c r="F49" s="374"/>
      <c r="G49" s="374"/>
      <c r="H49" s="374"/>
      <c r="I49" s="374"/>
      <c r="J49" s="374"/>
      <c r="K49" s="374"/>
      <c r="L49" s="374"/>
      <c r="M49" s="375"/>
      <c r="N49" s="376" t="s">
        <v>722</v>
      </c>
      <c r="O49" s="377"/>
      <c r="P49" s="377"/>
      <c r="Q49" s="377"/>
      <c r="R49" s="377"/>
      <c r="S49" s="377"/>
      <c r="T49" s="377"/>
      <c r="U49" s="377"/>
      <c r="V49" s="377"/>
      <c r="W49" s="377"/>
      <c r="X49" s="377"/>
      <c r="Y49" s="377"/>
      <c r="Z49" s="377"/>
      <c r="AA49" s="377"/>
      <c r="AB49" s="377"/>
      <c r="AC49" s="377"/>
      <c r="AD49" s="378"/>
    </row>
    <row r="50" spans="1:32" ht="27" customHeight="1">
      <c r="A50" s="379" t="s">
        <v>2</v>
      </c>
      <c r="B50" s="380"/>
      <c r="C50" s="295" t="s">
        <v>46</v>
      </c>
      <c r="D50" s="295" t="s">
        <v>47</v>
      </c>
      <c r="E50" s="295" t="s">
        <v>108</v>
      </c>
      <c r="F50" s="380" t="s">
        <v>107</v>
      </c>
      <c r="G50" s="380"/>
      <c r="H50" s="380"/>
      <c r="I50" s="380"/>
      <c r="J50" s="380"/>
      <c r="K50" s="380"/>
      <c r="L50" s="380"/>
      <c r="M50" s="381"/>
      <c r="N50" s="73" t="s">
        <v>112</v>
      </c>
      <c r="O50" s="295" t="s">
        <v>46</v>
      </c>
      <c r="P50" s="382" t="s">
        <v>47</v>
      </c>
      <c r="Q50" s="383"/>
      <c r="R50" s="382" t="s">
        <v>38</v>
      </c>
      <c r="S50" s="384"/>
      <c r="T50" s="384"/>
      <c r="U50" s="383"/>
      <c r="V50" s="382" t="s">
        <v>48</v>
      </c>
      <c r="W50" s="384"/>
      <c r="X50" s="384"/>
      <c r="Y50" s="384"/>
      <c r="Z50" s="384"/>
      <c r="AA50" s="384"/>
      <c r="AB50" s="384"/>
      <c r="AC50" s="384"/>
      <c r="AD50" s="385"/>
    </row>
    <row r="51" spans="1:32" ht="27" customHeight="1">
      <c r="A51" s="396" t="s">
        <v>706</v>
      </c>
      <c r="B51" s="397"/>
      <c r="C51" s="296" t="s">
        <v>707</v>
      </c>
      <c r="D51" s="297" t="s">
        <v>708</v>
      </c>
      <c r="E51" s="296" t="s">
        <v>709</v>
      </c>
      <c r="F51" s="398" t="s">
        <v>710</v>
      </c>
      <c r="G51" s="398"/>
      <c r="H51" s="398"/>
      <c r="I51" s="398"/>
      <c r="J51" s="398"/>
      <c r="K51" s="398"/>
      <c r="L51" s="398"/>
      <c r="M51" s="399"/>
      <c r="N51" s="301" t="s">
        <v>723</v>
      </c>
      <c r="O51" s="74" t="s">
        <v>724</v>
      </c>
      <c r="P51" s="402" t="s">
        <v>127</v>
      </c>
      <c r="Q51" s="402"/>
      <c r="R51" s="402" t="s">
        <v>725</v>
      </c>
      <c r="S51" s="402"/>
      <c r="T51" s="402"/>
      <c r="U51" s="402"/>
      <c r="V51" s="398" t="s">
        <v>681</v>
      </c>
      <c r="W51" s="398"/>
      <c r="X51" s="398"/>
      <c r="Y51" s="398"/>
      <c r="Z51" s="398"/>
      <c r="AA51" s="398"/>
      <c r="AB51" s="398"/>
      <c r="AC51" s="398"/>
      <c r="AD51" s="399"/>
    </row>
    <row r="52" spans="1:32" ht="27" customHeight="1">
      <c r="A52" s="396" t="s">
        <v>711</v>
      </c>
      <c r="B52" s="397"/>
      <c r="C52" s="296" t="s">
        <v>712</v>
      </c>
      <c r="D52" s="297" t="s">
        <v>680</v>
      </c>
      <c r="E52" s="296" t="s">
        <v>703</v>
      </c>
      <c r="F52" s="398" t="s">
        <v>681</v>
      </c>
      <c r="G52" s="398"/>
      <c r="H52" s="398"/>
      <c r="I52" s="398"/>
      <c r="J52" s="398"/>
      <c r="K52" s="398"/>
      <c r="L52" s="398"/>
      <c r="M52" s="399"/>
      <c r="N52" s="301" t="s">
        <v>711</v>
      </c>
      <c r="O52" s="74" t="s">
        <v>726</v>
      </c>
      <c r="P52" s="400" t="s">
        <v>164</v>
      </c>
      <c r="Q52" s="401"/>
      <c r="R52" s="402" t="s">
        <v>727</v>
      </c>
      <c r="S52" s="402"/>
      <c r="T52" s="402"/>
      <c r="U52" s="402"/>
      <c r="V52" s="398" t="s">
        <v>681</v>
      </c>
      <c r="W52" s="398"/>
      <c r="X52" s="398"/>
      <c r="Y52" s="398"/>
      <c r="Z52" s="398"/>
      <c r="AA52" s="398"/>
      <c r="AB52" s="398"/>
      <c r="AC52" s="398"/>
      <c r="AD52" s="399"/>
    </row>
    <row r="53" spans="1:32" ht="27" customHeight="1">
      <c r="A53" s="396" t="s">
        <v>713</v>
      </c>
      <c r="B53" s="397"/>
      <c r="C53" s="296" t="s">
        <v>714</v>
      </c>
      <c r="D53" s="297" t="s">
        <v>128</v>
      </c>
      <c r="E53" s="296" t="s">
        <v>715</v>
      </c>
      <c r="F53" s="398" t="s">
        <v>716</v>
      </c>
      <c r="G53" s="398"/>
      <c r="H53" s="398"/>
      <c r="I53" s="398"/>
      <c r="J53" s="398"/>
      <c r="K53" s="398"/>
      <c r="L53" s="398"/>
      <c r="M53" s="399"/>
      <c r="N53" s="301" t="s">
        <v>122</v>
      </c>
      <c r="O53" s="74" t="s">
        <v>726</v>
      </c>
      <c r="P53" s="402" t="s">
        <v>730</v>
      </c>
      <c r="Q53" s="402"/>
      <c r="R53" s="402" t="s">
        <v>728</v>
      </c>
      <c r="S53" s="402"/>
      <c r="T53" s="402"/>
      <c r="U53" s="402"/>
      <c r="V53" s="398" t="s">
        <v>681</v>
      </c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 t="s">
        <v>717</v>
      </c>
      <c r="B54" s="397"/>
      <c r="C54" s="296" t="s">
        <v>718</v>
      </c>
      <c r="D54" s="297" t="s">
        <v>719</v>
      </c>
      <c r="E54" s="296" t="s">
        <v>720</v>
      </c>
      <c r="F54" s="398" t="s">
        <v>721</v>
      </c>
      <c r="G54" s="398"/>
      <c r="H54" s="398"/>
      <c r="I54" s="398"/>
      <c r="J54" s="398"/>
      <c r="K54" s="398"/>
      <c r="L54" s="398"/>
      <c r="M54" s="399"/>
      <c r="N54" s="301" t="s">
        <v>731</v>
      </c>
      <c r="O54" s="74" t="s">
        <v>126</v>
      </c>
      <c r="P54" s="402" t="s">
        <v>128</v>
      </c>
      <c r="Q54" s="402"/>
      <c r="R54" s="402" t="s">
        <v>196</v>
      </c>
      <c r="S54" s="402"/>
      <c r="T54" s="402"/>
      <c r="U54" s="402"/>
      <c r="V54" s="398" t="s">
        <v>681</v>
      </c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/>
      <c r="B55" s="397"/>
      <c r="C55" s="296"/>
      <c r="D55" s="297"/>
      <c r="E55" s="296"/>
      <c r="F55" s="398"/>
      <c r="G55" s="398"/>
      <c r="H55" s="398"/>
      <c r="I55" s="398"/>
      <c r="J55" s="398"/>
      <c r="K55" s="398"/>
      <c r="L55" s="398"/>
      <c r="M55" s="399"/>
      <c r="N55" s="301" t="s">
        <v>122</v>
      </c>
      <c r="O55" s="74" t="s">
        <v>126</v>
      </c>
      <c r="P55" s="402" t="s">
        <v>128</v>
      </c>
      <c r="Q55" s="402"/>
      <c r="R55" s="402" t="s">
        <v>729</v>
      </c>
      <c r="S55" s="402"/>
      <c r="T55" s="402"/>
      <c r="U55" s="402"/>
      <c r="V55" s="398" t="s">
        <v>681</v>
      </c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/>
      <c r="B56" s="397"/>
      <c r="C56" s="296"/>
      <c r="D56" s="297"/>
      <c r="E56" s="296"/>
      <c r="F56" s="398"/>
      <c r="G56" s="398"/>
      <c r="H56" s="398"/>
      <c r="I56" s="398"/>
      <c r="J56" s="398"/>
      <c r="K56" s="398"/>
      <c r="L56" s="398"/>
      <c r="M56" s="399"/>
      <c r="N56" s="301" t="s">
        <v>213</v>
      </c>
      <c r="O56" s="74" t="s">
        <v>732</v>
      </c>
      <c r="P56" s="402" t="s">
        <v>733</v>
      </c>
      <c r="Q56" s="402"/>
      <c r="R56" s="402" t="s">
        <v>220</v>
      </c>
      <c r="S56" s="402"/>
      <c r="T56" s="402"/>
      <c r="U56" s="402"/>
      <c r="V56" s="398" t="s">
        <v>681</v>
      </c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/>
      <c r="B57" s="397"/>
      <c r="C57" s="296"/>
      <c r="D57" s="297"/>
      <c r="E57" s="296"/>
      <c r="F57" s="398"/>
      <c r="G57" s="398"/>
      <c r="H57" s="398"/>
      <c r="I57" s="398"/>
      <c r="J57" s="398"/>
      <c r="K57" s="398"/>
      <c r="L57" s="398"/>
      <c r="M57" s="399"/>
      <c r="N57" s="301"/>
      <c r="O57" s="74"/>
      <c r="P57" s="400"/>
      <c r="Q57" s="401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/>
      <c r="B58" s="397"/>
      <c r="C58" s="296"/>
      <c r="D58" s="297"/>
      <c r="E58" s="296"/>
      <c r="F58" s="398"/>
      <c r="G58" s="398"/>
      <c r="H58" s="398"/>
      <c r="I58" s="398"/>
      <c r="J58" s="398"/>
      <c r="K58" s="398"/>
      <c r="L58" s="398"/>
      <c r="M58" s="399"/>
      <c r="N58" s="301"/>
      <c r="O58" s="74"/>
      <c r="P58" s="400"/>
      <c r="Q58" s="401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412"/>
      <c r="B59" s="402"/>
      <c r="C59" s="297"/>
      <c r="D59" s="297"/>
      <c r="E59" s="297"/>
      <c r="F59" s="398"/>
      <c r="G59" s="398"/>
      <c r="H59" s="398"/>
      <c r="I59" s="398"/>
      <c r="J59" s="398"/>
      <c r="K59" s="398"/>
      <c r="L59" s="398"/>
      <c r="M59" s="399"/>
      <c r="N59" s="301"/>
      <c r="O59" s="74"/>
      <c r="P59" s="402"/>
      <c r="Q59" s="402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  <c r="AF59" s="94">
        <f>8*3000</f>
        <v>24000</v>
      </c>
    </row>
    <row r="60" spans="1:32" ht="27" customHeight="1" thickBot="1">
      <c r="A60" s="403"/>
      <c r="B60" s="404"/>
      <c r="C60" s="299"/>
      <c r="D60" s="299"/>
      <c r="E60" s="299"/>
      <c r="F60" s="405"/>
      <c r="G60" s="405"/>
      <c r="H60" s="405"/>
      <c r="I60" s="405"/>
      <c r="J60" s="405"/>
      <c r="K60" s="405"/>
      <c r="L60" s="405"/>
      <c r="M60" s="406"/>
      <c r="N60" s="298"/>
      <c r="O60" s="121"/>
      <c r="P60" s="404"/>
      <c r="Q60" s="404"/>
      <c r="R60" s="404"/>
      <c r="S60" s="404"/>
      <c r="T60" s="404"/>
      <c r="U60" s="404"/>
      <c r="V60" s="405"/>
      <c r="W60" s="405"/>
      <c r="X60" s="405"/>
      <c r="Y60" s="405"/>
      <c r="Z60" s="405"/>
      <c r="AA60" s="405"/>
      <c r="AB60" s="405"/>
      <c r="AC60" s="405"/>
      <c r="AD60" s="406"/>
      <c r="AF60" s="94">
        <f>16*3000</f>
        <v>48000</v>
      </c>
    </row>
    <row r="61" spans="1:32" ht="27.75" thickBot="1">
      <c r="A61" s="407" t="s">
        <v>734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300" t="s">
        <v>2</v>
      </c>
      <c r="D62" s="300" t="s">
        <v>37</v>
      </c>
      <c r="E62" s="300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300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3"/>
      <c r="T62" s="413"/>
      <c r="U62" s="413"/>
      <c r="V62" s="413"/>
      <c r="W62" s="413"/>
      <c r="X62" s="413"/>
      <c r="Y62" s="413"/>
      <c r="Z62" s="413"/>
      <c r="AA62" s="411"/>
      <c r="AB62" s="409" t="s">
        <v>44</v>
      </c>
      <c r="AC62" s="409"/>
      <c r="AD62" s="414"/>
      <c r="AF62" s="94">
        <f>SUM(AF59:AF61)</f>
        <v>96000</v>
      </c>
    </row>
    <row r="63" spans="1:32" ht="25.5" customHeight="1">
      <c r="A63" s="415">
        <v>1</v>
      </c>
      <c r="B63" s="416"/>
      <c r="C63" s="124" t="s">
        <v>687</v>
      </c>
      <c r="D63" s="304"/>
      <c r="E63" s="302" t="s">
        <v>688</v>
      </c>
      <c r="F63" s="417" t="s">
        <v>689</v>
      </c>
      <c r="G63" s="418"/>
      <c r="H63" s="418"/>
      <c r="I63" s="418"/>
      <c r="J63" s="418"/>
      <c r="K63" s="418">
        <v>8301</v>
      </c>
      <c r="L63" s="418"/>
      <c r="M63" s="54" t="s">
        <v>690</v>
      </c>
      <c r="N63" s="418">
        <v>10</v>
      </c>
      <c r="O63" s="418"/>
      <c r="P63" s="419">
        <v>100</v>
      </c>
      <c r="Q63" s="419"/>
      <c r="R63" s="398"/>
      <c r="S63" s="398"/>
      <c r="T63" s="398"/>
      <c r="U63" s="398"/>
      <c r="V63" s="398"/>
      <c r="W63" s="398"/>
      <c r="X63" s="398"/>
      <c r="Y63" s="398"/>
      <c r="Z63" s="398"/>
      <c r="AA63" s="398"/>
      <c r="AB63" s="418"/>
      <c r="AC63" s="418"/>
      <c r="AD63" s="420"/>
      <c r="AF63" s="53"/>
    </row>
    <row r="64" spans="1:32" ht="25.5" customHeight="1">
      <c r="A64" s="415">
        <v>2</v>
      </c>
      <c r="B64" s="416"/>
      <c r="C64" s="124" t="s">
        <v>687</v>
      </c>
      <c r="D64" s="304"/>
      <c r="E64" s="302" t="s">
        <v>688</v>
      </c>
      <c r="F64" s="417" t="s">
        <v>691</v>
      </c>
      <c r="G64" s="418"/>
      <c r="H64" s="418"/>
      <c r="I64" s="418"/>
      <c r="J64" s="418"/>
      <c r="K64" s="418">
        <v>8301</v>
      </c>
      <c r="L64" s="418"/>
      <c r="M64" s="54" t="s">
        <v>690</v>
      </c>
      <c r="N64" s="418">
        <v>10</v>
      </c>
      <c r="O64" s="418"/>
      <c r="P64" s="419">
        <v>100</v>
      </c>
      <c r="Q64" s="419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418"/>
      <c r="AC64" s="418"/>
      <c r="AD64" s="420"/>
      <c r="AF64" s="53"/>
    </row>
    <row r="65" spans="1:32" ht="25.5" customHeight="1">
      <c r="A65" s="415">
        <v>3</v>
      </c>
      <c r="B65" s="416"/>
      <c r="C65" s="124" t="s">
        <v>735</v>
      </c>
      <c r="D65" s="304"/>
      <c r="E65" s="302" t="s">
        <v>688</v>
      </c>
      <c r="F65" s="417" t="s">
        <v>736</v>
      </c>
      <c r="G65" s="418"/>
      <c r="H65" s="418"/>
      <c r="I65" s="418"/>
      <c r="J65" s="418"/>
      <c r="K65" s="418">
        <v>8301</v>
      </c>
      <c r="L65" s="418"/>
      <c r="M65" s="54" t="s">
        <v>690</v>
      </c>
      <c r="N65" s="418">
        <v>10</v>
      </c>
      <c r="O65" s="418"/>
      <c r="P65" s="419">
        <v>100</v>
      </c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4</v>
      </c>
      <c r="B66" s="416"/>
      <c r="C66" s="124" t="s">
        <v>717</v>
      </c>
      <c r="D66" s="304"/>
      <c r="E66" s="302" t="s">
        <v>738</v>
      </c>
      <c r="F66" s="417" t="s">
        <v>737</v>
      </c>
      <c r="G66" s="418"/>
      <c r="H66" s="418"/>
      <c r="I66" s="418"/>
      <c r="J66" s="418"/>
      <c r="K66" s="418" t="s">
        <v>739</v>
      </c>
      <c r="L66" s="418"/>
      <c r="M66" s="54" t="s">
        <v>740</v>
      </c>
      <c r="N66" s="418">
        <v>2</v>
      </c>
      <c r="O66" s="418"/>
      <c r="P66" s="419">
        <v>150</v>
      </c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5</v>
      </c>
      <c r="B67" s="416"/>
      <c r="C67" s="124"/>
      <c r="D67" s="304"/>
      <c r="E67" s="302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6</v>
      </c>
      <c r="B68" s="416"/>
      <c r="C68" s="124"/>
      <c r="D68" s="304"/>
      <c r="E68" s="302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7</v>
      </c>
      <c r="B69" s="416"/>
      <c r="C69" s="124"/>
      <c r="D69" s="304"/>
      <c r="E69" s="302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8</v>
      </c>
      <c r="B70" s="416"/>
      <c r="C70" s="124"/>
      <c r="D70" s="304"/>
      <c r="E70" s="302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6.25" customHeight="1" thickBot="1">
      <c r="A71" s="421" t="s">
        <v>741</v>
      </c>
      <c r="B71" s="421"/>
      <c r="C71" s="421"/>
      <c r="D71" s="421"/>
      <c r="E71" s="42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2" t="s">
        <v>113</v>
      </c>
      <c r="B72" s="423"/>
      <c r="C72" s="303" t="s">
        <v>2</v>
      </c>
      <c r="D72" s="303" t="s">
        <v>37</v>
      </c>
      <c r="E72" s="303" t="s">
        <v>3</v>
      </c>
      <c r="F72" s="423" t="s">
        <v>38</v>
      </c>
      <c r="G72" s="423"/>
      <c r="H72" s="423"/>
      <c r="I72" s="423"/>
      <c r="J72" s="423"/>
      <c r="K72" s="424" t="s">
        <v>58</v>
      </c>
      <c r="L72" s="425"/>
      <c r="M72" s="425"/>
      <c r="N72" s="425"/>
      <c r="O72" s="425"/>
      <c r="P72" s="425"/>
      <c r="Q72" s="425"/>
      <c r="R72" s="425"/>
      <c r="S72" s="426"/>
      <c r="T72" s="423" t="s">
        <v>49</v>
      </c>
      <c r="U72" s="423"/>
      <c r="V72" s="424" t="s">
        <v>50</v>
      </c>
      <c r="W72" s="426"/>
      <c r="X72" s="425" t="s">
        <v>51</v>
      </c>
      <c r="Y72" s="425"/>
      <c r="Z72" s="425"/>
      <c r="AA72" s="425"/>
      <c r="AB72" s="425"/>
      <c r="AC72" s="425"/>
      <c r="AD72" s="427"/>
      <c r="AF72" s="53"/>
    </row>
    <row r="73" spans="1:32" ht="33.75" customHeight="1">
      <c r="A73" s="436">
        <v>1</v>
      </c>
      <c r="B73" s="437"/>
      <c r="C73" s="305" t="s">
        <v>114</v>
      </c>
      <c r="D73" s="305"/>
      <c r="E73" s="71" t="s">
        <v>119</v>
      </c>
      <c r="F73" s="438" t="s">
        <v>120</v>
      </c>
      <c r="G73" s="439"/>
      <c r="H73" s="439"/>
      <c r="I73" s="439"/>
      <c r="J73" s="440"/>
      <c r="K73" s="441" t="s">
        <v>115</v>
      </c>
      <c r="L73" s="442"/>
      <c r="M73" s="442"/>
      <c r="N73" s="442"/>
      <c r="O73" s="442"/>
      <c r="P73" s="442"/>
      <c r="Q73" s="442"/>
      <c r="R73" s="442"/>
      <c r="S73" s="443"/>
      <c r="T73" s="444">
        <v>42901</v>
      </c>
      <c r="U73" s="445"/>
      <c r="V73" s="446"/>
      <c r="W73" s="446"/>
      <c r="X73" s="447"/>
      <c r="Y73" s="447"/>
      <c r="Z73" s="447"/>
      <c r="AA73" s="447"/>
      <c r="AB73" s="447"/>
      <c r="AC73" s="447"/>
      <c r="AD73" s="448"/>
      <c r="AF73" s="53"/>
    </row>
    <row r="74" spans="1:32" ht="30" customHeight="1">
      <c r="A74" s="428">
        <f>A73+1</f>
        <v>2</v>
      </c>
      <c r="B74" s="429"/>
      <c r="C74" s="304" t="s">
        <v>114</v>
      </c>
      <c r="D74" s="304"/>
      <c r="E74" s="35" t="s">
        <v>116</v>
      </c>
      <c r="F74" s="429" t="s">
        <v>117</v>
      </c>
      <c r="G74" s="429"/>
      <c r="H74" s="429"/>
      <c r="I74" s="429"/>
      <c r="J74" s="429"/>
      <c r="K74" s="430" t="s">
        <v>118</v>
      </c>
      <c r="L74" s="431"/>
      <c r="M74" s="431"/>
      <c r="N74" s="431"/>
      <c r="O74" s="431"/>
      <c r="P74" s="431"/>
      <c r="Q74" s="431"/>
      <c r="R74" s="431"/>
      <c r="S74" s="432"/>
      <c r="T74" s="433">
        <v>42867</v>
      </c>
      <c r="U74" s="433"/>
      <c r="V74" s="433"/>
      <c r="W74" s="433"/>
      <c r="X74" s="434"/>
      <c r="Y74" s="434"/>
      <c r="Z74" s="434"/>
      <c r="AA74" s="434"/>
      <c r="AB74" s="434"/>
      <c r="AC74" s="434"/>
      <c r="AD74" s="435"/>
      <c r="AF74" s="53"/>
    </row>
    <row r="75" spans="1:32" ht="30" customHeight="1">
      <c r="A75" s="428">
        <f t="shared" ref="A75:A81" si="12">A74+1</f>
        <v>3</v>
      </c>
      <c r="B75" s="429"/>
      <c r="C75" s="304"/>
      <c r="D75" s="304"/>
      <c r="E75" s="35"/>
      <c r="F75" s="429"/>
      <c r="G75" s="429"/>
      <c r="H75" s="429"/>
      <c r="I75" s="429"/>
      <c r="J75" s="429"/>
      <c r="K75" s="430"/>
      <c r="L75" s="431"/>
      <c r="M75" s="431"/>
      <c r="N75" s="431"/>
      <c r="O75" s="431"/>
      <c r="P75" s="431"/>
      <c r="Q75" s="431"/>
      <c r="R75" s="431"/>
      <c r="S75" s="432"/>
      <c r="T75" s="433"/>
      <c r="U75" s="433"/>
      <c r="V75" s="433"/>
      <c r="W75" s="433"/>
      <c r="X75" s="434"/>
      <c r="Y75" s="434"/>
      <c r="Z75" s="434"/>
      <c r="AA75" s="434"/>
      <c r="AB75" s="434"/>
      <c r="AC75" s="434"/>
      <c r="AD75" s="435"/>
      <c r="AF75" s="53"/>
    </row>
    <row r="76" spans="1:32" ht="30" customHeight="1">
      <c r="A76" s="428">
        <f t="shared" si="12"/>
        <v>4</v>
      </c>
      <c r="B76" s="429"/>
      <c r="C76" s="304"/>
      <c r="D76" s="304"/>
      <c r="E76" s="35"/>
      <c r="F76" s="429"/>
      <c r="G76" s="429"/>
      <c r="H76" s="429"/>
      <c r="I76" s="429"/>
      <c r="J76" s="429"/>
      <c r="K76" s="430"/>
      <c r="L76" s="431"/>
      <c r="M76" s="431"/>
      <c r="N76" s="431"/>
      <c r="O76" s="431"/>
      <c r="P76" s="431"/>
      <c r="Q76" s="431"/>
      <c r="R76" s="431"/>
      <c r="S76" s="432"/>
      <c r="T76" s="433"/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si="12"/>
        <v>5</v>
      </c>
      <c r="B77" s="429"/>
      <c r="C77" s="304"/>
      <c r="D77" s="304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12"/>
        <v>6</v>
      </c>
      <c r="B78" s="429"/>
      <c r="C78" s="304"/>
      <c r="D78" s="304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12"/>
        <v>7</v>
      </c>
      <c r="B79" s="429"/>
      <c r="C79" s="304"/>
      <c r="D79" s="304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12"/>
        <v>8</v>
      </c>
      <c r="B80" s="429"/>
      <c r="C80" s="304"/>
      <c r="D80" s="304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12"/>
        <v>9</v>
      </c>
      <c r="B81" s="429"/>
      <c r="C81" s="304"/>
      <c r="D81" s="304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6" thickBot="1">
      <c r="A82" s="421" t="s">
        <v>742</v>
      </c>
      <c r="B82" s="421"/>
      <c r="C82" s="421"/>
      <c r="D82" s="421"/>
      <c r="E82" s="42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2" t="s">
        <v>113</v>
      </c>
      <c r="B83" s="423"/>
      <c r="C83" s="449" t="s">
        <v>52</v>
      </c>
      <c r="D83" s="449"/>
      <c r="E83" s="449" t="s">
        <v>53</v>
      </c>
      <c r="F83" s="449"/>
      <c r="G83" s="449"/>
      <c r="H83" s="449"/>
      <c r="I83" s="449"/>
      <c r="J83" s="449"/>
      <c r="K83" s="449" t="s">
        <v>54</v>
      </c>
      <c r="L83" s="449"/>
      <c r="M83" s="449"/>
      <c r="N83" s="449"/>
      <c r="O83" s="449"/>
      <c r="P83" s="449"/>
      <c r="Q83" s="449"/>
      <c r="R83" s="449"/>
      <c r="S83" s="449"/>
      <c r="T83" s="449" t="s">
        <v>55</v>
      </c>
      <c r="U83" s="449"/>
      <c r="V83" s="449" t="s">
        <v>56</v>
      </c>
      <c r="W83" s="449"/>
      <c r="X83" s="449"/>
      <c r="Y83" s="449" t="s">
        <v>51</v>
      </c>
      <c r="Z83" s="449"/>
      <c r="AA83" s="449"/>
      <c r="AB83" s="449"/>
      <c r="AC83" s="449"/>
      <c r="AD83" s="450"/>
      <c r="AF83" s="53"/>
    </row>
    <row r="84" spans="1:32" ht="30.75" customHeight="1">
      <c r="A84" s="436">
        <v>1</v>
      </c>
      <c r="B84" s="437"/>
      <c r="C84" s="451"/>
      <c r="D84" s="451"/>
      <c r="E84" s="451"/>
      <c r="F84" s="451"/>
      <c r="G84" s="451"/>
      <c r="H84" s="451"/>
      <c r="I84" s="451"/>
      <c r="J84" s="451"/>
      <c r="K84" s="451"/>
      <c r="L84" s="451"/>
      <c r="M84" s="451"/>
      <c r="N84" s="451"/>
      <c r="O84" s="451"/>
      <c r="P84" s="451"/>
      <c r="Q84" s="451"/>
      <c r="R84" s="451"/>
      <c r="S84" s="451"/>
      <c r="T84" s="451"/>
      <c r="U84" s="451"/>
      <c r="V84" s="452"/>
      <c r="W84" s="452"/>
      <c r="X84" s="452"/>
      <c r="Y84" s="453"/>
      <c r="Z84" s="453"/>
      <c r="AA84" s="453"/>
      <c r="AB84" s="453"/>
      <c r="AC84" s="453"/>
      <c r="AD84" s="454"/>
      <c r="AF84" s="53"/>
    </row>
    <row r="85" spans="1:32" ht="30.75" customHeight="1">
      <c r="A85" s="428">
        <v>2</v>
      </c>
      <c r="B85" s="429"/>
      <c r="C85" s="462"/>
      <c r="D85" s="462"/>
      <c r="E85" s="462"/>
      <c r="F85" s="462"/>
      <c r="G85" s="462"/>
      <c r="H85" s="462"/>
      <c r="I85" s="462"/>
      <c r="J85" s="462"/>
      <c r="K85" s="462"/>
      <c r="L85" s="462"/>
      <c r="M85" s="462"/>
      <c r="N85" s="462"/>
      <c r="O85" s="462"/>
      <c r="P85" s="462"/>
      <c r="Q85" s="462"/>
      <c r="R85" s="462"/>
      <c r="S85" s="462"/>
      <c r="T85" s="463"/>
      <c r="U85" s="463"/>
      <c r="V85" s="464"/>
      <c r="W85" s="464"/>
      <c r="X85" s="464"/>
      <c r="Y85" s="455"/>
      <c r="Z85" s="455"/>
      <c r="AA85" s="455"/>
      <c r="AB85" s="455"/>
      <c r="AC85" s="455"/>
      <c r="AD85" s="456"/>
      <c r="AF85" s="53"/>
    </row>
    <row r="86" spans="1:32" ht="30.75" customHeight="1" thickBot="1">
      <c r="A86" s="457">
        <v>3</v>
      </c>
      <c r="B86" s="458"/>
      <c r="C86" s="459"/>
      <c r="D86" s="459"/>
      <c r="E86" s="459"/>
      <c r="F86" s="459"/>
      <c r="G86" s="459"/>
      <c r="H86" s="459"/>
      <c r="I86" s="459"/>
      <c r="J86" s="459"/>
      <c r="K86" s="459"/>
      <c r="L86" s="459"/>
      <c r="M86" s="459"/>
      <c r="N86" s="459"/>
      <c r="O86" s="459"/>
      <c r="P86" s="459"/>
      <c r="Q86" s="459"/>
      <c r="R86" s="459"/>
      <c r="S86" s="459"/>
      <c r="T86" s="459"/>
      <c r="U86" s="459"/>
      <c r="V86" s="459"/>
      <c r="W86" s="459"/>
      <c r="X86" s="459"/>
      <c r="Y86" s="460"/>
      <c r="Z86" s="460"/>
      <c r="AA86" s="460"/>
      <c r="AB86" s="460"/>
      <c r="AC86" s="460"/>
      <c r="AD86" s="46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topLeftCell="A28" zoomScale="72" zoomScaleNormal="72" zoomScaleSheetLayoutView="70" workbookViewId="0">
      <selection activeCell="F59" sqref="F59:M5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5" t="s">
        <v>744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2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317" t="s">
        <v>17</v>
      </c>
      <c r="L5" s="317" t="s">
        <v>18</v>
      </c>
      <c r="M5" s="317" t="s">
        <v>19</v>
      </c>
      <c r="N5" s="31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2" ht="27" customHeight="1">
      <c r="A6" s="108">
        <v>1</v>
      </c>
      <c r="B6" s="11" t="s">
        <v>57</v>
      </c>
      <c r="C6" s="37" t="s">
        <v>122</v>
      </c>
      <c r="D6" s="55" t="s">
        <v>127</v>
      </c>
      <c r="E6" s="57" t="s">
        <v>745</v>
      </c>
      <c r="F6" s="33" t="s">
        <v>746</v>
      </c>
      <c r="G6" s="36">
        <v>1</v>
      </c>
      <c r="H6" s="38">
        <v>25</v>
      </c>
      <c r="I6" s="7">
        <v>13000</v>
      </c>
      <c r="J6" s="5">
        <v>4620</v>
      </c>
      <c r="K6" s="15">
        <f>L6</f>
        <v>3818</v>
      </c>
      <c r="L6" s="15">
        <f>1540+2278</f>
        <v>3818</v>
      </c>
      <c r="M6" s="16">
        <f t="shared" ref="M6:M21" si="0">L6-N6</f>
        <v>3818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24</v>
      </c>
      <c r="Q6" s="43">
        <f t="shared" ref="Q6:Q21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0.82640692640692637</v>
      </c>
      <c r="AC6" s="9">
        <f t="shared" ref="AC6:AC21" si="5">IF(P6=0,"0",(P6/24))</f>
        <v>1</v>
      </c>
      <c r="AD6" s="10">
        <f t="shared" ref="AD6:AD21" si="6">AC6*AB6*(1-O6)</f>
        <v>0.82640692640692637</v>
      </c>
      <c r="AE6" s="39">
        <f t="shared" ref="AE6:AE21" si="7">$AD$22</f>
        <v>0.56592274901765405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123</v>
      </c>
      <c r="D7" s="55" t="s">
        <v>156</v>
      </c>
      <c r="E7" s="57" t="s">
        <v>311</v>
      </c>
      <c r="F7" s="33" t="s">
        <v>312</v>
      </c>
      <c r="G7" s="12">
        <v>3</v>
      </c>
      <c r="H7" s="13">
        <v>25</v>
      </c>
      <c r="I7" s="34">
        <v>100000</v>
      </c>
      <c r="J7" s="5">
        <v>15560</v>
      </c>
      <c r="K7" s="15">
        <f>L7+11583+14484+15558</f>
        <v>41625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0.56592274901765405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472</v>
      </c>
      <c r="D8" s="55" t="s">
        <v>295</v>
      </c>
      <c r="E8" s="57" t="s">
        <v>502</v>
      </c>
      <c r="F8" s="33" t="s">
        <v>529</v>
      </c>
      <c r="G8" s="12">
        <v>2</v>
      </c>
      <c r="H8" s="13">
        <v>25</v>
      </c>
      <c r="I8" s="34">
        <v>80000</v>
      </c>
      <c r="J8" s="5">
        <v>11830</v>
      </c>
      <c r="K8" s="15">
        <f>L8+6076+12974+10368+11452+11990+12022</f>
        <v>76706</v>
      </c>
      <c r="L8" s="15">
        <f>3102*2+2810*2</f>
        <v>11824</v>
      </c>
      <c r="M8" s="16">
        <f t="shared" si="0"/>
        <v>11824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0.99949281487743025</v>
      </c>
      <c r="AC8" s="9">
        <f t="shared" si="5"/>
        <v>1</v>
      </c>
      <c r="AD8" s="10">
        <f t="shared" si="6"/>
        <v>0.99949281487743025</v>
      </c>
      <c r="AE8" s="39">
        <f t="shared" si="7"/>
        <v>0.56592274901765405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122</v>
      </c>
      <c r="D9" s="55" t="s">
        <v>641</v>
      </c>
      <c r="E9" s="57" t="s">
        <v>642</v>
      </c>
      <c r="F9" s="33" t="s">
        <v>643</v>
      </c>
      <c r="G9" s="36">
        <v>16</v>
      </c>
      <c r="H9" s="38">
        <v>25</v>
      </c>
      <c r="I9" s="7">
        <v>17000</v>
      </c>
      <c r="J9" s="5">
        <v>55700</v>
      </c>
      <c r="K9" s="15">
        <f>L9</f>
        <v>55696</v>
      </c>
      <c r="L9" s="15">
        <f>3481*16</f>
        <v>55696</v>
      </c>
      <c r="M9" s="16">
        <f t="shared" si="0"/>
        <v>55696</v>
      </c>
      <c r="N9" s="16">
        <v>0</v>
      </c>
      <c r="O9" s="62">
        <f t="shared" si="1"/>
        <v>0</v>
      </c>
      <c r="P9" s="42">
        <f t="shared" si="2"/>
        <v>16</v>
      </c>
      <c r="Q9" s="43">
        <f t="shared" si="3"/>
        <v>8</v>
      </c>
      <c r="R9" s="7"/>
      <c r="S9" s="6"/>
      <c r="T9" s="17"/>
      <c r="U9" s="17"/>
      <c r="V9" s="18"/>
      <c r="W9" s="19">
        <v>8</v>
      </c>
      <c r="X9" s="17"/>
      <c r="Y9" s="20"/>
      <c r="Z9" s="20"/>
      <c r="AA9" s="21"/>
      <c r="AB9" s="8">
        <f t="shared" si="4"/>
        <v>0.9999281867145422</v>
      </c>
      <c r="AC9" s="9">
        <f t="shared" si="5"/>
        <v>0.66666666666666663</v>
      </c>
      <c r="AD9" s="10">
        <f t="shared" si="6"/>
        <v>0.66661879114302813</v>
      </c>
      <c r="AE9" s="39">
        <f t="shared" si="7"/>
        <v>0.56592274901765405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146</v>
      </c>
      <c r="D10" s="55" t="s">
        <v>348</v>
      </c>
      <c r="E10" s="57" t="s">
        <v>777</v>
      </c>
      <c r="F10" s="12" t="s">
        <v>616</v>
      </c>
      <c r="G10" s="12">
        <v>2</v>
      </c>
      <c r="H10" s="13">
        <v>20</v>
      </c>
      <c r="I10" s="34">
        <v>100000</v>
      </c>
      <c r="J10" s="14">
        <v>24790</v>
      </c>
      <c r="K10" s="15">
        <f>L10</f>
        <v>24784</v>
      </c>
      <c r="L10" s="15">
        <f>7159*2+5233*2</f>
        <v>24784</v>
      </c>
      <c r="M10" s="16">
        <f t="shared" si="0"/>
        <v>24784</v>
      </c>
      <c r="N10" s="16">
        <v>0</v>
      </c>
      <c r="O10" s="62">
        <f t="shared" si="1"/>
        <v>0</v>
      </c>
      <c r="P10" s="42">
        <f t="shared" si="2"/>
        <v>22</v>
      </c>
      <c r="Q10" s="43">
        <f t="shared" si="3"/>
        <v>2</v>
      </c>
      <c r="R10" s="7"/>
      <c r="S10" s="6">
        <v>2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0.99975796692214602</v>
      </c>
      <c r="AC10" s="9">
        <f t="shared" si="5"/>
        <v>0.91666666666666663</v>
      </c>
      <c r="AD10" s="10">
        <f t="shared" si="6"/>
        <v>0.91644480301196718</v>
      </c>
      <c r="AE10" s="39">
        <f t="shared" si="7"/>
        <v>0.56592274901765405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472</v>
      </c>
      <c r="D11" s="55" t="s">
        <v>121</v>
      </c>
      <c r="E11" s="57" t="s">
        <v>508</v>
      </c>
      <c r="F11" s="12" t="s">
        <v>557</v>
      </c>
      <c r="G11" s="12">
        <v>2</v>
      </c>
      <c r="H11" s="13">
        <v>25</v>
      </c>
      <c r="I11" s="34">
        <v>80000</v>
      </c>
      <c r="J11" s="14">
        <v>7420</v>
      </c>
      <c r="K11" s="15">
        <f>L11+3674+8520+10258+8998+10932+10642</f>
        <v>60438</v>
      </c>
      <c r="L11" s="15">
        <f>2832*2+875*2</f>
        <v>7414</v>
      </c>
      <c r="M11" s="16">
        <f t="shared" si="0"/>
        <v>7414</v>
      </c>
      <c r="N11" s="16">
        <v>0</v>
      </c>
      <c r="O11" s="62">
        <f t="shared" si="1"/>
        <v>0</v>
      </c>
      <c r="P11" s="42">
        <f t="shared" si="2"/>
        <v>19</v>
      </c>
      <c r="Q11" s="43">
        <f t="shared" si="3"/>
        <v>5</v>
      </c>
      <c r="R11" s="7"/>
      <c r="S11" s="6">
        <v>5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0.99919137466307273</v>
      </c>
      <c r="AC11" s="9">
        <f t="shared" si="5"/>
        <v>0.79166666666666663</v>
      </c>
      <c r="AD11" s="10">
        <f t="shared" si="6"/>
        <v>0.79102650494159921</v>
      </c>
      <c r="AE11" s="39">
        <f t="shared" si="7"/>
        <v>0.56592274901765405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701</v>
      </c>
      <c r="D12" s="55" t="s">
        <v>702</v>
      </c>
      <c r="E12" s="57" t="s">
        <v>747</v>
      </c>
      <c r="F12" s="12" t="s">
        <v>704</v>
      </c>
      <c r="G12" s="12">
        <v>2</v>
      </c>
      <c r="H12" s="13">
        <v>25</v>
      </c>
      <c r="I12" s="7">
        <v>3500</v>
      </c>
      <c r="J12" s="14">
        <v>1300</v>
      </c>
      <c r="K12" s="15">
        <f>L12</f>
        <v>1300</v>
      </c>
      <c r="L12" s="15">
        <f>650*2</f>
        <v>1300</v>
      </c>
      <c r="M12" s="16">
        <f t="shared" si="0"/>
        <v>1300</v>
      </c>
      <c r="N12" s="16">
        <v>0</v>
      </c>
      <c r="O12" s="62">
        <f t="shared" si="1"/>
        <v>0</v>
      </c>
      <c r="P12" s="42">
        <f t="shared" si="2"/>
        <v>4</v>
      </c>
      <c r="Q12" s="43">
        <f t="shared" si="3"/>
        <v>20</v>
      </c>
      <c r="R12" s="7"/>
      <c r="S12" s="6"/>
      <c r="T12" s="17"/>
      <c r="U12" s="17"/>
      <c r="V12" s="18"/>
      <c r="W12" s="19">
        <v>20</v>
      </c>
      <c r="X12" s="17"/>
      <c r="Y12" s="20"/>
      <c r="Z12" s="20"/>
      <c r="AA12" s="21"/>
      <c r="AB12" s="8">
        <f t="shared" si="4"/>
        <v>1</v>
      </c>
      <c r="AC12" s="9">
        <f t="shared" si="5"/>
        <v>0.16666666666666666</v>
      </c>
      <c r="AD12" s="10">
        <f t="shared" si="6"/>
        <v>0.16666666666666666</v>
      </c>
      <c r="AE12" s="39">
        <f t="shared" si="7"/>
        <v>0.56592274901765405</v>
      </c>
      <c r="AF12" s="94">
        <f t="shared" si="8"/>
        <v>7</v>
      </c>
    </row>
    <row r="13" spans="1:32" ht="27" customHeight="1">
      <c r="A13" s="110">
        <v>7</v>
      </c>
      <c r="B13" s="11" t="s">
        <v>57</v>
      </c>
      <c r="C13" s="11" t="s">
        <v>122</v>
      </c>
      <c r="D13" s="55" t="s">
        <v>748</v>
      </c>
      <c r="E13" s="57" t="s">
        <v>749</v>
      </c>
      <c r="F13" s="12" t="s">
        <v>750</v>
      </c>
      <c r="G13" s="12">
        <v>1</v>
      </c>
      <c r="H13" s="13">
        <v>25</v>
      </c>
      <c r="I13" s="7">
        <v>13000</v>
      </c>
      <c r="J13" s="14">
        <v>1530</v>
      </c>
      <c r="K13" s="15">
        <f>L13</f>
        <v>1526</v>
      </c>
      <c r="L13" s="15">
        <f>817+709</f>
        <v>1526</v>
      </c>
      <c r="M13" s="16">
        <f t="shared" ref="M13" si="9">L13-N13</f>
        <v>1526</v>
      </c>
      <c r="N13" s="16">
        <v>0</v>
      </c>
      <c r="O13" s="62">
        <f t="shared" ref="O13" si="10">IF(L13=0,"0",N13/L13)</f>
        <v>0</v>
      </c>
      <c r="P13" s="42">
        <f t="shared" ref="P13" si="11">IF(L13=0,"0",(24-Q13))</f>
        <v>8</v>
      </c>
      <c r="Q13" s="43">
        <f t="shared" ref="Q13" si="12">SUM(R13:AA13)</f>
        <v>16</v>
      </c>
      <c r="R13" s="7"/>
      <c r="S13" s="6">
        <v>16</v>
      </c>
      <c r="T13" s="17"/>
      <c r="U13" s="17"/>
      <c r="V13" s="18"/>
      <c r="W13" s="19"/>
      <c r="X13" s="17"/>
      <c r="Y13" s="20"/>
      <c r="Z13" s="20"/>
      <c r="AA13" s="21"/>
      <c r="AB13" s="8">
        <f t="shared" ref="AB13" si="13">IF(J13=0,"0",(L13/J13))</f>
        <v>0.99738562091503269</v>
      </c>
      <c r="AC13" s="9">
        <f t="shared" ref="AC13" si="14">IF(P13=0,"0",(P13/24))</f>
        <v>0.33333333333333331</v>
      </c>
      <c r="AD13" s="10">
        <f t="shared" ref="AD13" si="15">AC13*AB13*(1-O13)</f>
        <v>0.33246187363834423</v>
      </c>
      <c r="AE13" s="39">
        <f t="shared" si="7"/>
        <v>0.56592274901765405</v>
      </c>
      <c r="AF13" s="94">
        <f t="shared" ref="AF13" si="16">A13</f>
        <v>7</v>
      </c>
    </row>
    <row r="14" spans="1:32" ht="27" customHeight="1">
      <c r="A14" s="110">
        <v>8</v>
      </c>
      <c r="B14" s="11" t="s">
        <v>57</v>
      </c>
      <c r="C14" s="11" t="s">
        <v>114</v>
      </c>
      <c r="D14" s="55" t="s">
        <v>128</v>
      </c>
      <c r="E14" s="57" t="s">
        <v>751</v>
      </c>
      <c r="F14" s="12" t="s">
        <v>752</v>
      </c>
      <c r="G14" s="12">
        <v>1</v>
      </c>
      <c r="H14" s="13">
        <v>25</v>
      </c>
      <c r="I14" s="7">
        <v>150</v>
      </c>
      <c r="J14" s="14">
        <v>192</v>
      </c>
      <c r="K14" s="15">
        <f>L14</f>
        <v>192</v>
      </c>
      <c r="L14" s="15">
        <v>192</v>
      </c>
      <c r="M14" s="16">
        <f t="shared" si="0"/>
        <v>192</v>
      </c>
      <c r="N14" s="16">
        <v>0</v>
      </c>
      <c r="O14" s="62">
        <f t="shared" si="1"/>
        <v>0</v>
      </c>
      <c r="P14" s="42">
        <f t="shared" si="2"/>
        <v>4</v>
      </c>
      <c r="Q14" s="43">
        <f t="shared" si="3"/>
        <v>20</v>
      </c>
      <c r="R14" s="7"/>
      <c r="S14" s="6">
        <v>10</v>
      </c>
      <c r="T14" s="17"/>
      <c r="U14" s="17"/>
      <c r="V14" s="18"/>
      <c r="W14" s="19">
        <v>10</v>
      </c>
      <c r="X14" s="17"/>
      <c r="Y14" s="20"/>
      <c r="Z14" s="20"/>
      <c r="AA14" s="21"/>
      <c r="AB14" s="8">
        <f t="shared" si="4"/>
        <v>1</v>
      </c>
      <c r="AC14" s="9">
        <f t="shared" si="5"/>
        <v>0.16666666666666666</v>
      </c>
      <c r="AD14" s="10">
        <f t="shared" si="6"/>
        <v>0.16666666666666666</v>
      </c>
      <c r="AE14" s="39">
        <f t="shared" si="7"/>
        <v>0.56592274901765405</v>
      </c>
      <c r="AF14" s="94">
        <f t="shared" si="8"/>
        <v>8</v>
      </c>
    </row>
    <row r="15" spans="1:32" ht="27" customHeight="1">
      <c r="A15" s="109">
        <v>9</v>
      </c>
      <c r="B15" s="11" t="s">
        <v>57</v>
      </c>
      <c r="C15" s="37" t="s">
        <v>114</v>
      </c>
      <c r="D15" s="55" t="s">
        <v>128</v>
      </c>
      <c r="E15" s="57" t="s">
        <v>674</v>
      </c>
      <c r="F15" s="33" t="s">
        <v>675</v>
      </c>
      <c r="G15" s="36">
        <v>1</v>
      </c>
      <c r="H15" s="38">
        <v>25</v>
      </c>
      <c r="I15" s="7">
        <v>200</v>
      </c>
      <c r="J15" s="5">
        <v>318</v>
      </c>
      <c r="K15" s="15">
        <f>L15+318</f>
        <v>318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0.56592274901765405</v>
      </c>
      <c r="AF15" s="94">
        <f t="shared" si="8"/>
        <v>9</v>
      </c>
    </row>
    <row r="16" spans="1:32" ht="27" customHeight="1">
      <c r="A16" s="109">
        <v>10</v>
      </c>
      <c r="B16" s="11" t="s">
        <v>57</v>
      </c>
      <c r="C16" s="11" t="s">
        <v>114</v>
      </c>
      <c r="D16" s="55" t="s">
        <v>753</v>
      </c>
      <c r="E16" s="57" t="s">
        <v>754</v>
      </c>
      <c r="F16" s="12">
        <v>8301</v>
      </c>
      <c r="G16" s="12">
        <v>1</v>
      </c>
      <c r="H16" s="13">
        <v>24</v>
      </c>
      <c r="I16" s="34">
        <v>150</v>
      </c>
      <c r="J16" s="14">
        <v>159</v>
      </c>
      <c r="K16" s="15">
        <f>L16</f>
        <v>159</v>
      </c>
      <c r="L16" s="15">
        <v>159</v>
      </c>
      <c r="M16" s="16">
        <f t="shared" si="0"/>
        <v>159</v>
      </c>
      <c r="N16" s="16">
        <v>0</v>
      </c>
      <c r="O16" s="62">
        <f t="shared" si="1"/>
        <v>0</v>
      </c>
      <c r="P16" s="42">
        <f t="shared" si="2"/>
        <v>4</v>
      </c>
      <c r="Q16" s="43">
        <f t="shared" si="3"/>
        <v>20</v>
      </c>
      <c r="R16" s="7"/>
      <c r="S16" s="6"/>
      <c r="T16" s="17"/>
      <c r="U16" s="17"/>
      <c r="V16" s="18"/>
      <c r="W16" s="19">
        <v>20</v>
      </c>
      <c r="X16" s="17"/>
      <c r="Y16" s="20"/>
      <c r="Z16" s="20"/>
      <c r="AA16" s="21"/>
      <c r="AB16" s="8">
        <f t="shared" si="4"/>
        <v>1</v>
      </c>
      <c r="AC16" s="9">
        <f t="shared" si="5"/>
        <v>0.16666666666666666</v>
      </c>
      <c r="AD16" s="10">
        <f t="shared" si="6"/>
        <v>0.16666666666666666</v>
      </c>
      <c r="AE16" s="39">
        <f t="shared" si="7"/>
        <v>0.56592274901765405</v>
      </c>
      <c r="AF16" s="94">
        <f t="shared" si="8"/>
        <v>10</v>
      </c>
    </row>
    <row r="17" spans="1:36" ht="27.75" customHeight="1">
      <c r="A17" s="109">
        <v>11</v>
      </c>
      <c r="B17" s="11" t="s">
        <v>57</v>
      </c>
      <c r="C17" s="11" t="s">
        <v>472</v>
      </c>
      <c r="D17" s="55" t="s">
        <v>135</v>
      </c>
      <c r="E17" s="56" t="s">
        <v>505</v>
      </c>
      <c r="F17" s="12" t="s">
        <v>529</v>
      </c>
      <c r="G17" s="36">
        <v>2</v>
      </c>
      <c r="H17" s="38">
        <v>25</v>
      </c>
      <c r="I17" s="7">
        <v>80000</v>
      </c>
      <c r="J17" s="14">
        <v>5740</v>
      </c>
      <c r="K17" s="15">
        <f>L17+5764+11522+12610+10598+11958+11682+11716</f>
        <v>81582</v>
      </c>
      <c r="L17" s="15">
        <f>2866*2</f>
        <v>5732</v>
      </c>
      <c r="M17" s="16">
        <f t="shared" si="0"/>
        <v>5732</v>
      </c>
      <c r="N17" s="16">
        <v>0</v>
      </c>
      <c r="O17" s="62">
        <f t="shared" si="1"/>
        <v>0</v>
      </c>
      <c r="P17" s="42">
        <f t="shared" si="2"/>
        <v>11</v>
      </c>
      <c r="Q17" s="43">
        <f t="shared" si="3"/>
        <v>13</v>
      </c>
      <c r="R17" s="7"/>
      <c r="S17" s="6">
        <v>13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0.99860627177700345</v>
      </c>
      <c r="AC17" s="9">
        <f t="shared" si="5"/>
        <v>0.45833333333333331</v>
      </c>
      <c r="AD17" s="10">
        <f t="shared" si="6"/>
        <v>0.45769454123112657</v>
      </c>
      <c r="AE17" s="39">
        <f t="shared" si="7"/>
        <v>0.56592274901765405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57</v>
      </c>
      <c r="C18" s="37" t="s">
        <v>472</v>
      </c>
      <c r="D18" s="55" t="s">
        <v>127</v>
      </c>
      <c r="E18" s="57" t="s">
        <v>570</v>
      </c>
      <c r="F18" s="12" t="s">
        <v>557</v>
      </c>
      <c r="G18" s="12">
        <v>2</v>
      </c>
      <c r="H18" s="13">
        <v>25</v>
      </c>
      <c r="I18" s="34">
        <v>80000</v>
      </c>
      <c r="J18" s="5">
        <v>11470</v>
      </c>
      <c r="K18" s="15">
        <f>L18+10938+13116+11222+12044+11938+12036</f>
        <v>82760</v>
      </c>
      <c r="L18" s="15">
        <f>2858*2+2875*2</f>
        <v>11466</v>
      </c>
      <c r="M18" s="16">
        <f t="shared" si="0"/>
        <v>11466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0.99965126416739325</v>
      </c>
      <c r="AC18" s="9">
        <f t="shared" si="5"/>
        <v>1</v>
      </c>
      <c r="AD18" s="10">
        <f t="shared" si="6"/>
        <v>0.99965126416739325</v>
      </c>
      <c r="AE18" s="39">
        <f t="shared" si="7"/>
        <v>0.56592274901765405</v>
      </c>
      <c r="AF18" s="94">
        <f t="shared" ref="AF18:AF19" si="17">A18</f>
        <v>12</v>
      </c>
    </row>
    <row r="19" spans="1:36" ht="27" customHeight="1">
      <c r="A19" s="110">
        <v>13</v>
      </c>
      <c r="B19" s="11" t="s">
        <v>57</v>
      </c>
      <c r="C19" s="37" t="s">
        <v>472</v>
      </c>
      <c r="D19" s="55" t="s">
        <v>128</v>
      </c>
      <c r="E19" s="57" t="s">
        <v>510</v>
      </c>
      <c r="F19" s="33" t="s">
        <v>529</v>
      </c>
      <c r="G19" s="36">
        <v>1</v>
      </c>
      <c r="H19" s="38">
        <v>25</v>
      </c>
      <c r="I19" s="7">
        <v>80000</v>
      </c>
      <c r="J19" s="5">
        <v>10550</v>
      </c>
      <c r="K19" s="15">
        <f>L19+3954+5120+6970+9172+10126+10168+6864</f>
        <v>62924</v>
      </c>
      <c r="L19" s="15">
        <f>2755*2+2520*2</f>
        <v>10550</v>
      </c>
      <c r="M19" s="16">
        <f t="shared" si="0"/>
        <v>10550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0.56592274901765405</v>
      </c>
      <c r="AF19" s="94">
        <f t="shared" si="17"/>
        <v>13</v>
      </c>
    </row>
    <row r="20" spans="1:36" ht="27" customHeight="1">
      <c r="A20" s="110">
        <v>14</v>
      </c>
      <c r="B20" s="11" t="s">
        <v>57</v>
      </c>
      <c r="C20" s="11" t="s">
        <v>146</v>
      </c>
      <c r="D20" s="55" t="s">
        <v>169</v>
      </c>
      <c r="E20" s="57" t="s">
        <v>168</v>
      </c>
      <c r="F20" s="12" t="s">
        <v>138</v>
      </c>
      <c r="G20" s="12" t="s">
        <v>170</v>
      </c>
      <c r="H20" s="13">
        <v>25</v>
      </c>
      <c r="I20" s="7">
        <v>130000</v>
      </c>
      <c r="J20" s="14">
        <v>7320</v>
      </c>
      <c r="K20" s="15">
        <f>L20+3258+4398+5144+3460+6323+4564+5384+7161+2960+2789+7049+2970+3630+7299+2728</f>
        <v>76430</v>
      </c>
      <c r="L20" s="15">
        <f>3807+3506</f>
        <v>7313</v>
      </c>
      <c r="M20" s="16">
        <f t="shared" si="0"/>
        <v>7313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0.99904371584699458</v>
      </c>
      <c r="AC20" s="9">
        <f t="shared" si="5"/>
        <v>1</v>
      </c>
      <c r="AD20" s="10">
        <f t="shared" si="6"/>
        <v>0.99904371584699458</v>
      </c>
      <c r="AE20" s="39">
        <f t="shared" si="7"/>
        <v>0.56592274901765405</v>
      </c>
      <c r="AF20" s="94">
        <f t="shared" si="8"/>
        <v>14</v>
      </c>
    </row>
    <row r="21" spans="1:36" ht="27" customHeight="1" thickBot="1">
      <c r="A21" s="110">
        <v>15</v>
      </c>
      <c r="B21" s="11" t="s">
        <v>57</v>
      </c>
      <c r="C21" s="11" t="s">
        <v>124</v>
      </c>
      <c r="D21" s="55"/>
      <c r="E21" s="56" t="s">
        <v>240</v>
      </c>
      <c r="F21" s="12" t="s">
        <v>125</v>
      </c>
      <c r="G21" s="12">
        <v>4</v>
      </c>
      <c r="H21" s="38">
        <v>20</v>
      </c>
      <c r="I21" s="7">
        <v>800000</v>
      </c>
      <c r="J21" s="14">
        <v>5640</v>
      </c>
      <c r="K21" s="15">
        <f>L21+29128+42972+45096+45728+43064+5640</f>
        <v>211628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0.56592274901765405</v>
      </c>
      <c r="AF21" s="94">
        <f t="shared" si="8"/>
        <v>15</v>
      </c>
    </row>
    <row r="22" spans="1:36" ht="31.5" customHeight="1" thickBot="1">
      <c r="A22" s="369" t="s">
        <v>34</v>
      </c>
      <c r="B22" s="370"/>
      <c r="C22" s="370"/>
      <c r="D22" s="370"/>
      <c r="E22" s="370"/>
      <c r="F22" s="370"/>
      <c r="G22" s="370"/>
      <c r="H22" s="371"/>
      <c r="I22" s="25">
        <f t="shared" ref="I22:N22" si="18">SUM(I6:I21)</f>
        <v>1577000</v>
      </c>
      <c r="J22" s="22">
        <f t="shared" si="18"/>
        <v>164139</v>
      </c>
      <c r="K22" s="23">
        <f t="shared" si="18"/>
        <v>781886</v>
      </c>
      <c r="L22" s="24">
        <f t="shared" si="18"/>
        <v>141774</v>
      </c>
      <c r="M22" s="23">
        <f t="shared" si="18"/>
        <v>141774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208</v>
      </c>
      <c r="Q22" s="46">
        <f t="shared" si="19"/>
        <v>176</v>
      </c>
      <c r="R22" s="26">
        <f t="shared" si="19"/>
        <v>0</v>
      </c>
      <c r="S22" s="27">
        <f t="shared" si="19"/>
        <v>46</v>
      </c>
      <c r="T22" s="27">
        <f t="shared" si="19"/>
        <v>0</v>
      </c>
      <c r="U22" s="27">
        <f t="shared" si="19"/>
        <v>0</v>
      </c>
      <c r="V22" s="28">
        <f t="shared" si="19"/>
        <v>0</v>
      </c>
      <c r="W22" s="29">
        <f t="shared" si="19"/>
        <v>130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0</v>
      </c>
      <c r="AB22" s="31">
        <f>SUM(AB6:AB21)/15</f>
        <v>0.85463094281936947</v>
      </c>
      <c r="AC22" s="4">
        <f>SUM(AC6:AC21)/15</f>
        <v>0.57777777777777783</v>
      </c>
      <c r="AD22" s="4">
        <f>SUM(AD6:AD21)/15</f>
        <v>0.56592274901765405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72" t="s">
        <v>45</v>
      </c>
      <c r="B49" s="372"/>
      <c r="C49" s="372"/>
      <c r="D49" s="372"/>
      <c r="E49" s="37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73" t="s">
        <v>755</v>
      </c>
      <c r="B50" s="374"/>
      <c r="C50" s="374"/>
      <c r="D50" s="374"/>
      <c r="E50" s="374"/>
      <c r="F50" s="374"/>
      <c r="G50" s="374"/>
      <c r="H50" s="374"/>
      <c r="I50" s="374"/>
      <c r="J50" s="374"/>
      <c r="K50" s="374"/>
      <c r="L50" s="374"/>
      <c r="M50" s="375"/>
      <c r="N50" s="376" t="s">
        <v>771</v>
      </c>
      <c r="O50" s="377"/>
      <c r="P50" s="377"/>
      <c r="Q50" s="377"/>
      <c r="R50" s="377"/>
      <c r="S50" s="377"/>
      <c r="T50" s="377"/>
      <c r="U50" s="377"/>
      <c r="V50" s="377"/>
      <c r="W50" s="377"/>
      <c r="X50" s="377"/>
      <c r="Y50" s="377"/>
      <c r="Z50" s="377"/>
      <c r="AA50" s="377"/>
      <c r="AB50" s="377"/>
      <c r="AC50" s="377"/>
      <c r="AD50" s="378"/>
    </row>
    <row r="51" spans="1:32" ht="27" customHeight="1">
      <c r="A51" s="379" t="s">
        <v>2</v>
      </c>
      <c r="B51" s="380"/>
      <c r="C51" s="316" t="s">
        <v>46</v>
      </c>
      <c r="D51" s="316" t="s">
        <v>47</v>
      </c>
      <c r="E51" s="316" t="s">
        <v>108</v>
      </c>
      <c r="F51" s="380" t="s">
        <v>107</v>
      </c>
      <c r="G51" s="380"/>
      <c r="H51" s="380"/>
      <c r="I51" s="380"/>
      <c r="J51" s="380"/>
      <c r="K51" s="380"/>
      <c r="L51" s="380"/>
      <c r="M51" s="381"/>
      <c r="N51" s="73" t="s">
        <v>112</v>
      </c>
      <c r="O51" s="316" t="s">
        <v>46</v>
      </c>
      <c r="P51" s="382" t="s">
        <v>47</v>
      </c>
      <c r="Q51" s="383"/>
      <c r="R51" s="382" t="s">
        <v>38</v>
      </c>
      <c r="S51" s="384"/>
      <c r="T51" s="384"/>
      <c r="U51" s="383"/>
      <c r="V51" s="382" t="s">
        <v>48</v>
      </c>
      <c r="W51" s="384"/>
      <c r="X51" s="384"/>
      <c r="Y51" s="384"/>
      <c r="Z51" s="384"/>
      <c r="AA51" s="384"/>
      <c r="AB51" s="384"/>
      <c r="AC51" s="384"/>
      <c r="AD51" s="385"/>
    </row>
    <row r="52" spans="1:32" ht="27" customHeight="1">
      <c r="A52" s="396" t="s">
        <v>706</v>
      </c>
      <c r="B52" s="397"/>
      <c r="C52" s="315" t="s">
        <v>126</v>
      </c>
      <c r="D52" s="312" t="s">
        <v>128</v>
      </c>
      <c r="E52" s="315" t="s">
        <v>751</v>
      </c>
      <c r="F52" s="398" t="s">
        <v>663</v>
      </c>
      <c r="G52" s="398"/>
      <c r="H52" s="398"/>
      <c r="I52" s="398"/>
      <c r="J52" s="398"/>
      <c r="K52" s="398"/>
      <c r="L52" s="398"/>
      <c r="M52" s="399"/>
      <c r="N52" s="311" t="s">
        <v>723</v>
      </c>
      <c r="O52" s="74" t="s">
        <v>278</v>
      </c>
      <c r="P52" s="402" t="s">
        <v>772</v>
      </c>
      <c r="Q52" s="402"/>
      <c r="R52" s="402" t="s">
        <v>773</v>
      </c>
      <c r="S52" s="402"/>
      <c r="T52" s="402"/>
      <c r="U52" s="402"/>
      <c r="V52" s="398" t="s">
        <v>681</v>
      </c>
      <c r="W52" s="398"/>
      <c r="X52" s="398"/>
      <c r="Y52" s="398"/>
      <c r="Z52" s="398"/>
      <c r="AA52" s="398"/>
      <c r="AB52" s="398"/>
      <c r="AC52" s="398"/>
      <c r="AD52" s="399"/>
    </row>
    <row r="53" spans="1:32" ht="27" customHeight="1">
      <c r="A53" s="396" t="s">
        <v>711</v>
      </c>
      <c r="B53" s="397"/>
      <c r="C53" s="315" t="s">
        <v>712</v>
      </c>
      <c r="D53" s="312" t="s">
        <v>756</v>
      </c>
      <c r="E53" s="315" t="s">
        <v>747</v>
      </c>
      <c r="F53" s="398" t="s">
        <v>681</v>
      </c>
      <c r="G53" s="398"/>
      <c r="H53" s="398"/>
      <c r="I53" s="398"/>
      <c r="J53" s="398"/>
      <c r="K53" s="398"/>
      <c r="L53" s="398"/>
      <c r="M53" s="399"/>
      <c r="N53" s="311" t="s">
        <v>122</v>
      </c>
      <c r="O53" s="74" t="s">
        <v>126</v>
      </c>
      <c r="P53" s="400" t="s">
        <v>774</v>
      </c>
      <c r="Q53" s="401"/>
      <c r="R53" s="402" t="s">
        <v>729</v>
      </c>
      <c r="S53" s="402"/>
      <c r="T53" s="402"/>
      <c r="U53" s="402"/>
      <c r="V53" s="398" t="s">
        <v>681</v>
      </c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 t="s">
        <v>713</v>
      </c>
      <c r="B54" s="397"/>
      <c r="C54" s="315" t="s">
        <v>757</v>
      </c>
      <c r="D54" s="312" t="s">
        <v>758</v>
      </c>
      <c r="E54" s="315" t="s">
        <v>759</v>
      </c>
      <c r="F54" s="398" t="s">
        <v>716</v>
      </c>
      <c r="G54" s="398"/>
      <c r="H54" s="398"/>
      <c r="I54" s="398"/>
      <c r="J54" s="398"/>
      <c r="K54" s="398"/>
      <c r="L54" s="398"/>
      <c r="M54" s="399"/>
      <c r="N54" s="311"/>
      <c r="O54" s="74"/>
      <c r="P54" s="402"/>
      <c r="Q54" s="402"/>
      <c r="R54" s="402"/>
      <c r="S54" s="402"/>
      <c r="T54" s="402"/>
      <c r="U54" s="402"/>
      <c r="V54" s="398"/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 t="s">
        <v>760</v>
      </c>
      <c r="B55" s="397"/>
      <c r="C55" s="315" t="s">
        <v>761</v>
      </c>
      <c r="D55" s="312" t="s">
        <v>762</v>
      </c>
      <c r="E55" s="315" t="s">
        <v>763</v>
      </c>
      <c r="F55" s="398" t="s">
        <v>764</v>
      </c>
      <c r="G55" s="398"/>
      <c r="H55" s="398"/>
      <c r="I55" s="398"/>
      <c r="J55" s="398"/>
      <c r="K55" s="398"/>
      <c r="L55" s="398"/>
      <c r="M55" s="399"/>
      <c r="N55" s="311"/>
      <c r="O55" s="74"/>
      <c r="P55" s="402"/>
      <c r="Q55" s="402"/>
      <c r="R55" s="402"/>
      <c r="S55" s="402"/>
      <c r="T55" s="402"/>
      <c r="U55" s="402"/>
      <c r="V55" s="398"/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 t="s">
        <v>765</v>
      </c>
      <c r="B56" s="397"/>
      <c r="C56" s="315" t="s">
        <v>766</v>
      </c>
      <c r="D56" s="312" t="s">
        <v>767</v>
      </c>
      <c r="E56" s="315" t="s">
        <v>745</v>
      </c>
      <c r="F56" s="398" t="s">
        <v>280</v>
      </c>
      <c r="G56" s="398"/>
      <c r="H56" s="398"/>
      <c r="I56" s="398"/>
      <c r="J56" s="398"/>
      <c r="K56" s="398"/>
      <c r="L56" s="398"/>
      <c r="M56" s="399"/>
      <c r="N56" s="311"/>
      <c r="O56" s="74"/>
      <c r="P56" s="402"/>
      <c r="Q56" s="402"/>
      <c r="R56" s="402"/>
      <c r="S56" s="402"/>
      <c r="T56" s="402"/>
      <c r="U56" s="402"/>
      <c r="V56" s="398"/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 t="s">
        <v>122</v>
      </c>
      <c r="B57" s="397"/>
      <c r="C57" s="315" t="s">
        <v>281</v>
      </c>
      <c r="D57" s="312" t="s">
        <v>768</v>
      </c>
      <c r="E57" s="315" t="s">
        <v>769</v>
      </c>
      <c r="F57" s="398" t="s">
        <v>770</v>
      </c>
      <c r="G57" s="398"/>
      <c r="H57" s="398"/>
      <c r="I57" s="398"/>
      <c r="J57" s="398"/>
      <c r="K57" s="398"/>
      <c r="L57" s="398"/>
      <c r="M57" s="399"/>
      <c r="N57" s="311"/>
      <c r="O57" s="74"/>
      <c r="P57" s="402"/>
      <c r="Q57" s="402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/>
      <c r="B58" s="397"/>
      <c r="C58" s="315"/>
      <c r="D58" s="312"/>
      <c r="E58" s="315"/>
      <c r="F58" s="398"/>
      <c r="G58" s="398"/>
      <c r="H58" s="398"/>
      <c r="I58" s="398"/>
      <c r="J58" s="398"/>
      <c r="K58" s="398"/>
      <c r="L58" s="398"/>
      <c r="M58" s="399"/>
      <c r="N58" s="311"/>
      <c r="O58" s="74"/>
      <c r="P58" s="400"/>
      <c r="Q58" s="401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396"/>
      <c r="B59" s="397"/>
      <c r="C59" s="315"/>
      <c r="D59" s="312"/>
      <c r="E59" s="315"/>
      <c r="F59" s="398"/>
      <c r="G59" s="398"/>
      <c r="H59" s="398"/>
      <c r="I59" s="398"/>
      <c r="J59" s="398"/>
      <c r="K59" s="398"/>
      <c r="L59" s="398"/>
      <c r="M59" s="399"/>
      <c r="N59" s="311"/>
      <c r="O59" s="74"/>
      <c r="P59" s="400"/>
      <c r="Q59" s="401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</row>
    <row r="60" spans="1:32" ht="27" customHeight="1">
      <c r="A60" s="412"/>
      <c r="B60" s="402"/>
      <c r="C60" s="312"/>
      <c r="D60" s="312"/>
      <c r="E60" s="312"/>
      <c r="F60" s="398"/>
      <c r="G60" s="398"/>
      <c r="H60" s="398"/>
      <c r="I60" s="398"/>
      <c r="J60" s="398"/>
      <c r="K60" s="398"/>
      <c r="L60" s="398"/>
      <c r="M60" s="399"/>
      <c r="N60" s="311"/>
      <c r="O60" s="74"/>
      <c r="P60" s="402"/>
      <c r="Q60" s="402"/>
      <c r="R60" s="402"/>
      <c r="S60" s="402"/>
      <c r="T60" s="402"/>
      <c r="U60" s="402"/>
      <c r="V60" s="398"/>
      <c r="W60" s="398"/>
      <c r="X60" s="398"/>
      <c r="Y60" s="398"/>
      <c r="Z60" s="398"/>
      <c r="AA60" s="398"/>
      <c r="AB60" s="398"/>
      <c r="AC60" s="398"/>
      <c r="AD60" s="399"/>
      <c r="AF60" s="94">
        <f>8*3000</f>
        <v>24000</v>
      </c>
    </row>
    <row r="61" spans="1:32" ht="27" customHeight="1" thickBot="1">
      <c r="A61" s="403"/>
      <c r="B61" s="404"/>
      <c r="C61" s="314"/>
      <c r="D61" s="314"/>
      <c r="E61" s="314"/>
      <c r="F61" s="405"/>
      <c r="G61" s="405"/>
      <c r="H61" s="405"/>
      <c r="I61" s="405"/>
      <c r="J61" s="405"/>
      <c r="K61" s="405"/>
      <c r="L61" s="405"/>
      <c r="M61" s="406"/>
      <c r="N61" s="313"/>
      <c r="O61" s="121"/>
      <c r="P61" s="404"/>
      <c r="Q61" s="404"/>
      <c r="R61" s="404"/>
      <c r="S61" s="404"/>
      <c r="T61" s="404"/>
      <c r="U61" s="404"/>
      <c r="V61" s="405"/>
      <c r="W61" s="405"/>
      <c r="X61" s="405"/>
      <c r="Y61" s="405"/>
      <c r="Z61" s="405"/>
      <c r="AA61" s="405"/>
      <c r="AB61" s="405"/>
      <c r="AC61" s="405"/>
      <c r="AD61" s="406"/>
      <c r="AF61" s="94">
        <f>16*3000</f>
        <v>48000</v>
      </c>
    </row>
    <row r="62" spans="1:32" ht="27.75" thickBot="1">
      <c r="A62" s="407" t="s">
        <v>775</v>
      </c>
      <c r="B62" s="407"/>
      <c r="C62" s="407"/>
      <c r="D62" s="407"/>
      <c r="E62" s="40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08" t="s">
        <v>113</v>
      </c>
      <c r="B63" s="409"/>
      <c r="C63" s="310" t="s">
        <v>2</v>
      </c>
      <c r="D63" s="310" t="s">
        <v>37</v>
      </c>
      <c r="E63" s="310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310" t="s">
        <v>40</v>
      </c>
      <c r="N63" s="409" t="s">
        <v>41</v>
      </c>
      <c r="O63" s="409"/>
      <c r="P63" s="410" t="s">
        <v>42</v>
      </c>
      <c r="Q63" s="411"/>
      <c r="R63" s="410" t="s">
        <v>43</v>
      </c>
      <c r="S63" s="413"/>
      <c r="T63" s="413"/>
      <c r="U63" s="413"/>
      <c r="V63" s="413"/>
      <c r="W63" s="413"/>
      <c r="X63" s="413"/>
      <c r="Y63" s="413"/>
      <c r="Z63" s="413"/>
      <c r="AA63" s="411"/>
      <c r="AB63" s="409" t="s">
        <v>44</v>
      </c>
      <c r="AC63" s="409"/>
      <c r="AD63" s="414"/>
      <c r="AF63" s="94">
        <f>SUM(AF60:AF62)</f>
        <v>96000</v>
      </c>
    </row>
    <row r="64" spans="1:32" ht="25.5" customHeight="1">
      <c r="A64" s="415">
        <v>1</v>
      </c>
      <c r="B64" s="416"/>
      <c r="C64" s="124" t="s">
        <v>232</v>
      </c>
      <c r="D64" s="306"/>
      <c r="E64" s="309" t="s">
        <v>776</v>
      </c>
      <c r="F64" s="417" t="s">
        <v>777</v>
      </c>
      <c r="G64" s="418"/>
      <c r="H64" s="418"/>
      <c r="I64" s="418"/>
      <c r="J64" s="418"/>
      <c r="K64" s="418" t="s">
        <v>778</v>
      </c>
      <c r="L64" s="418"/>
      <c r="M64" s="54" t="s">
        <v>779</v>
      </c>
      <c r="N64" s="418">
        <v>5</v>
      </c>
      <c r="O64" s="418"/>
      <c r="P64" s="419">
        <v>100</v>
      </c>
      <c r="Q64" s="419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418"/>
      <c r="AC64" s="418"/>
      <c r="AD64" s="420"/>
      <c r="AF64" s="53"/>
    </row>
    <row r="65" spans="1:32" ht="25.5" customHeight="1">
      <c r="A65" s="415">
        <v>2</v>
      </c>
      <c r="B65" s="416"/>
      <c r="C65" s="124"/>
      <c r="D65" s="306"/>
      <c r="E65" s="309"/>
      <c r="F65" s="417"/>
      <c r="G65" s="418"/>
      <c r="H65" s="418"/>
      <c r="I65" s="418"/>
      <c r="J65" s="418"/>
      <c r="K65" s="418"/>
      <c r="L65" s="418"/>
      <c r="M65" s="54"/>
      <c r="N65" s="418"/>
      <c r="O65" s="418"/>
      <c r="P65" s="419"/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3</v>
      </c>
      <c r="B66" s="416"/>
      <c r="C66" s="124"/>
      <c r="D66" s="306"/>
      <c r="E66" s="309"/>
      <c r="F66" s="417"/>
      <c r="G66" s="418"/>
      <c r="H66" s="418"/>
      <c r="I66" s="418"/>
      <c r="J66" s="418"/>
      <c r="K66" s="418"/>
      <c r="L66" s="418"/>
      <c r="M66" s="54"/>
      <c r="N66" s="418"/>
      <c r="O66" s="418"/>
      <c r="P66" s="419"/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4</v>
      </c>
      <c r="B67" s="416"/>
      <c r="C67" s="124"/>
      <c r="D67" s="306"/>
      <c r="E67" s="309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5</v>
      </c>
      <c r="B68" s="416"/>
      <c r="C68" s="124"/>
      <c r="D68" s="306"/>
      <c r="E68" s="309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6</v>
      </c>
      <c r="B69" s="416"/>
      <c r="C69" s="124"/>
      <c r="D69" s="306"/>
      <c r="E69" s="309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7</v>
      </c>
      <c r="B70" s="416"/>
      <c r="C70" s="124"/>
      <c r="D70" s="306"/>
      <c r="E70" s="309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5.5" customHeight="1">
      <c r="A71" s="415">
        <v>8</v>
      </c>
      <c r="B71" s="416"/>
      <c r="C71" s="124"/>
      <c r="D71" s="306"/>
      <c r="E71" s="309"/>
      <c r="F71" s="417"/>
      <c r="G71" s="418"/>
      <c r="H71" s="418"/>
      <c r="I71" s="418"/>
      <c r="J71" s="418"/>
      <c r="K71" s="418"/>
      <c r="L71" s="418"/>
      <c r="M71" s="54"/>
      <c r="N71" s="418"/>
      <c r="O71" s="418"/>
      <c r="P71" s="419"/>
      <c r="Q71" s="419"/>
      <c r="R71" s="398"/>
      <c r="S71" s="398"/>
      <c r="T71" s="398"/>
      <c r="U71" s="398"/>
      <c r="V71" s="398"/>
      <c r="W71" s="398"/>
      <c r="X71" s="398"/>
      <c r="Y71" s="398"/>
      <c r="Z71" s="398"/>
      <c r="AA71" s="398"/>
      <c r="AB71" s="418"/>
      <c r="AC71" s="418"/>
      <c r="AD71" s="420"/>
      <c r="AF71" s="53"/>
    </row>
    <row r="72" spans="1:32" ht="26.25" customHeight="1" thickBot="1">
      <c r="A72" s="421" t="s">
        <v>780</v>
      </c>
      <c r="B72" s="421"/>
      <c r="C72" s="421"/>
      <c r="D72" s="421"/>
      <c r="E72" s="421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2" t="s">
        <v>113</v>
      </c>
      <c r="B73" s="423"/>
      <c r="C73" s="308" t="s">
        <v>2</v>
      </c>
      <c r="D73" s="308" t="s">
        <v>37</v>
      </c>
      <c r="E73" s="308" t="s">
        <v>3</v>
      </c>
      <c r="F73" s="423" t="s">
        <v>38</v>
      </c>
      <c r="G73" s="423"/>
      <c r="H73" s="423"/>
      <c r="I73" s="423"/>
      <c r="J73" s="423"/>
      <c r="K73" s="424" t="s">
        <v>58</v>
      </c>
      <c r="L73" s="425"/>
      <c r="M73" s="425"/>
      <c r="N73" s="425"/>
      <c r="O73" s="425"/>
      <c r="P73" s="425"/>
      <c r="Q73" s="425"/>
      <c r="R73" s="425"/>
      <c r="S73" s="426"/>
      <c r="T73" s="423" t="s">
        <v>49</v>
      </c>
      <c r="U73" s="423"/>
      <c r="V73" s="424" t="s">
        <v>50</v>
      </c>
      <c r="W73" s="426"/>
      <c r="X73" s="425" t="s">
        <v>51</v>
      </c>
      <c r="Y73" s="425"/>
      <c r="Z73" s="425"/>
      <c r="AA73" s="425"/>
      <c r="AB73" s="425"/>
      <c r="AC73" s="425"/>
      <c r="AD73" s="427"/>
      <c r="AF73" s="53"/>
    </row>
    <row r="74" spans="1:32" ht="33.75" customHeight="1">
      <c r="A74" s="436">
        <v>1</v>
      </c>
      <c r="B74" s="437"/>
      <c r="C74" s="307" t="s">
        <v>114</v>
      </c>
      <c r="D74" s="307"/>
      <c r="E74" s="71" t="s">
        <v>119</v>
      </c>
      <c r="F74" s="438" t="s">
        <v>120</v>
      </c>
      <c r="G74" s="439"/>
      <c r="H74" s="439"/>
      <c r="I74" s="439"/>
      <c r="J74" s="440"/>
      <c r="K74" s="441" t="s">
        <v>115</v>
      </c>
      <c r="L74" s="442"/>
      <c r="M74" s="442"/>
      <c r="N74" s="442"/>
      <c r="O74" s="442"/>
      <c r="P74" s="442"/>
      <c r="Q74" s="442"/>
      <c r="R74" s="442"/>
      <c r="S74" s="443"/>
      <c r="T74" s="444">
        <v>42901</v>
      </c>
      <c r="U74" s="445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28">
        <f>A74+1</f>
        <v>2</v>
      </c>
      <c r="B75" s="429"/>
      <c r="C75" s="306" t="s">
        <v>114</v>
      </c>
      <c r="D75" s="306"/>
      <c r="E75" s="35" t="s">
        <v>116</v>
      </c>
      <c r="F75" s="429" t="s">
        <v>117</v>
      </c>
      <c r="G75" s="429"/>
      <c r="H75" s="429"/>
      <c r="I75" s="429"/>
      <c r="J75" s="429"/>
      <c r="K75" s="430" t="s">
        <v>118</v>
      </c>
      <c r="L75" s="431"/>
      <c r="M75" s="431"/>
      <c r="N75" s="431"/>
      <c r="O75" s="431"/>
      <c r="P75" s="431"/>
      <c r="Q75" s="431"/>
      <c r="R75" s="431"/>
      <c r="S75" s="432"/>
      <c r="T75" s="433">
        <v>42867</v>
      </c>
      <c r="U75" s="433"/>
      <c r="V75" s="433"/>
      <c r="W75" s="433"/>
      <c r="X75" s="434"/>
      <c r="Y75" s="434"/>
      <c r="Z75" s="434"/>
      <c r="AA75" s="434"/>
      <c r="AB75" s="434"/>
      <c r="AC75" s="434"/>
      <c r="AD75" s="435"/>
      <c r="AF75" s="53"/>
    </row>
    <row r="76" spans="1:32" ht="30" customHeight="1">
      <c r="A76" s="428">
        <f t="shared" ref="A76:A82" si="20">A75+1</f>
        <v>3</v>
      </c>
      <c r="B76" s="429"/>
      <c r="C76" s="306"/>
      <c r="D76" s="306"/>
      <c r="E76" s="35"/>
      <c r="F76" s="429"/>
      <c r="G76" s="429"/>
      <c r="H76" s="429"/>
      <c r="I76" s="429"/>
      <c r="J76" s="429"/>
      <c r="K76" s="430"/>
      <c r="L76" s="431"/>
      <c r="M76" s="431"/>
      <c r="N76" s="431"/>
      <c r="O76" s="431"/>
      <c r="P76" s="431"/>
      <c r="Q76" s="431"/>
      <c r="R76" s="431"/>
      <c r="S76" s="432"/>
      <c r="T76" s="433"/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si="20"/>
        <v>4</v>
      </c>
      <c r="B77" s="429"/>
      <c r="C77" s="306"/>
      <c r="D77" s="306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20"/>
        <v>5</v>
      </c>
      <c r="B78" s="429"/>
      <c r="C78" s="306"/>
      <c r="D78" s="306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20"/>
        <v>6</v>
      </c>
      <c r="B79" s="429"/>
      <c r="C79" s="306"/>
      <c r="D79" s="306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20"/>
        <v>7</v>
      </c>
      <c r="B80" s="429"/>
      <c r="C80" s="306"/>
      <c r="D80" s="306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20"/>
        <v>8</v>
      </c>
      <c r="B81" s="429"/>
      <c r="C81" s="306"/>
      <c r="D81" s="306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0" customHeight="1">
      <c r="A82" s="428">
        <f t="shared" si="20"/>
        <v>9</v>
      </c>
      <c r="B82" s="429"/>
      <c r="C82" s="306"/>
      <c r="D82" s="306"/>
      <c r="E82" s="35"/>
      <c r="F82" s="429"/>
      <c r="G82" s="429"/>
      <c r="H82" s="429"/>
      <c r="I82" s="429"/>
      <c r="J82" s="429"/>
      <c r="K82" s="430"/>
      <c r="L82" s="431"/>
      <c r="M82" s="431"/>
      <c r="N82" s="431"/>
      <c r="O82" s="431"/>
      <c r="P82" s="431"/>
      <c r="Q82" s="431"/>
      <c r="R82" s="431"/>
      <c r="S82" s="432"/>
      <c r="T82" s="433"/>
      <c r="U82" s="433"/>
      <c r="V82" s="433"/>
      <c r="W82" s="433"/>
      <c r="X82" s="434"/>
      <c r="Y82" s="434"/>
      <c r="Z82" s="434"/>
      <c r="AA82" s="434"/>
      <c r="AB82" s="434"/>
      <c r="AC82" s="434"/>
      <c r="AD82" s="435"/>
      <c r="AF82" s="53"/>
    </row>
    <row r="83" spans="1:32" ht="36" thickBot="1">
      <c r="A83" s="421" t="s">
        <v>781</v>
      </c>
      <c r="B83" s="421"/>
      <c r="C83" s="421"/>
      <c r="D83" s="421"/>
      <c r="E83" s="421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22" t="s">
        <v>113</v>
      </c>
      <c r="B84" s="423"/>
      <c r="C84" s="449" t="s">
        <v>52</v>
      </c>
      <c r="D84" s="449"/>
      <c r="E84" s="449" t="s">
        <v>53</v>
      </c>
      <c r="F84" s="449"/>
      <c r="G84" s="449"/>
      <c r="H84" s="449"/>
      <c r="I84" s="449"/>
      <c r="J84" s="449"/>
      <c r="K84" s="449" t="s">
        <v>54</v>
      </c>
      <c r="L84" s="449"/>
      <c r="M84" s="449"/>
      <c r="N84" s="449"/>
      <c r="O84" s="449"/>
      <c r="P84" s="449"/>
      <c r="Q84" s="449"/>
      <c r="R84" s="449"/>
      <c r="S84" s="449"/>
      <c r="T84" s="449" t="s">
        <v>55</v>
      </c>
      <c r="U84" s="449"/>
      <c r="V84" s="449" t="s">
        <v>56</v>
      </c>
      <c r="W84" s="449"/>
      <c r="X84" s="449"/>
      <c r="Y84" s="449" t="s">
        <v>51</v>
      </c>
      <c r="Z84" s="449"/>
      <c r="AA84" s="449"/>
      <c r="AB84" s="449"/>
      <c r="AC84" s="449"/>
      <c r="AD84" s="450"/>
      <c r="AF84" s="53"/>
    </row>
    <row r="85" spans="1:32" ht="30.75" customHeight="1">
      <c r="A85" s="436">
        <v>1</v>
      </c>
      <c r="B85" s="437"/>
      <c r="C85" s="451"/>
      <c r="D85" s="451"/>
      <c r="E85" s="451"/>
      <c r="F85" s="451"/>
      <c r="G85" s="451"/>
      <c r="H85" s="451"/>
      <c r="I85" s="451"/>
      <c r="J85" s="451"/>
      <c r="K85" s="451"/>
      <c r="L85" s="451"/>
      <c r="M85" s="451"/>
      <c r="N85" s="451"/>
      <c r="O85" s="451"/>
      <c r="P85" s="451"/>
      <c r="Q85" s="451"/>
      <c r="R85" s="451"/>
      <c r="S85" s="451"/>
      <c r="T85" s="451"/>
      <c r="U85" s="451"/>
      <c r="V85" s="452"/>
      <c r="W85" s="452"/>
      <c r="X85" s="452"/>
      <c r="Y85" s="453"/>
      <c r="Z85" s="453"/>
      <c r="AA85" s="453"/>
      <c r="AB85" s="453"/>
      <c r="AC85" s="453"/>
      <c r="AD85" s="454"/>
      <c r="AF85" s="53"/>
    </row>
    <row r="86" spans="1:32" ht="30.75" customHeight="1">
      <c r="A86" s="428">
        <v>2</v>
      </c>
      <c r="B86" s="429"/>
      <c r="C86" s="462"/>
      <c r="D86" s="462"/>
      <c r="E86" s="462"/>
      <c r="F86" s="462"/>
      <c r="G86" s="462"/>
      <c r="H86" s="462"/>
      <c r="I86" s="462"/>
      <c r="J86" s="462"/>
      <c r="K86" s="462"/>
      <c r="L86" s="462"/>
      <c r="M86" s="462"/>
      <c r="N86" s="462"/>
      <c r="O86" s="462"/>
      <c r="P86" s="462"/>
      <c r="Q86" s="462"/>
      <c r="R86" s="462"/>
      <c r="S86" s="462"/>
      <c r="T86" s="463"/>
      <c r="U86" s="463"/>
      <c r="V86" s="464"/>
      <c r="W86" s="464"/>
      <c r="X86" s="464"/>
      <c r="Y86" s="455"/>
      <c r="Z86" s="455"/>
      <c r="AA86" s="455"/>
      <c r="AB86" s="455"/>
      <c r="AC86" s="455"/>
      <c r="AD86" s="456"/>
      <c r="AF86" s="53"/>
    </row>
    <row r="87" spans="1:32" ht="30.75" customHeight="1" thickBot="1">
      <c r="A87" s="457">
        <v>3</v>
      </c>
      <c r="B87" s="458"/>
      <c r="C87" s="459"/>
      <c r="D87" s="459"/>
      <c r="E87" s="459"/>
      <c r="F87" s="459"/>
      <c r="G87" s="459"/>
      <c r="H87" s="459"/>
      <c r="I87" s="459"/>
      <c r="J87" s="459"/>
      <c r="K87" s="459"/>
      <c r="L87" s="459"/>
      <c r="M87" s="459"/>
      <c r="N87" s="459"/>
      <c r="O87" s="459"/>
      <c r="P87" s="459"/>
      <c r="Q87" s="459"/>
      <c r="R87" s="459"/>
      <c r="S87" s="459"/>
      <c r="T87" s="459"/>
      <c r="U87" s="459"/>
      <c r="V87" s="459"/>
      <c r="W87" s="459"/>
      <c r="X87" s="459"/>
      <c r="Y87" s="460"/>
      <c r="Z87" s="460"/>
      <c r="AA87" s="460"/>
      <c r="AB87" s="460"/>
      <c r="AC87" s="460"/>
      <c r="AD87" s="461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topLeftCell="A16" zoomScale="72" zoomScaleNormal="72" zoomScaleSheetLayoutView="70" workbookViewId="0">
      <selection activeCell="A13" sqref="A13:XFD1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5" t="s">
        <v>782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2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318" t="s">
        <v>17</v>
      </c>
      <c r="L5" s="318" t="s">
        <v>18</v>
      </c>
      <c r="M5" s="318" t="s">
        <v>19</v>
      </c>
      <c r="N5" s="31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2" ht="27" customHeight="1">
      <c r="A6" s="108">
        <v>1</v>
      </c>
      <c r="B6" s="11" t="s">
        <v>57</v>
      </c>
      <c r="C6" s="37" t="s">
        <v>122</v>
      </c>
      <c r="D6" s="55" t="s">
        <v>127</v>
      </c>
      <c r="E6" s="57" t="s">
        <v>725</v>
      </c>
      <c r="F6" s="33" t="s">
        <v>263</v>
      </c>
      <c r="G6" s="36">
        <v>1</v>
      </c>
      <c r="H6" s="38">
        <v>25</v>
      </c>
      <c r="I6" s="7">
        <v>13000</v>
      </c>
      <c r="J6" s="5">
        <v>4950</v>
      </c>
      <c r="K6" s="15">
        <f>L6+3818</f>
        <v>8759</v>
      </c>
      <c r="L6" s="15">
        <f>3064+1877</f>
        <v>4941</v>
      </c>
      <c r="M6" s="16">
        <f t="shared" ref="M6:M21" si="0">L6-N6</f>
        <v>4941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24</v>
      </c>
      <c r="Q6" s="43">
        <f t="shared" ref="Q6:Q21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0.99818181818181817</v>
      </c>
      <c r="AC6" s="9">
        <f t="shared" ref="AC6:AC21" si="5">IF(P6=0,"0",(P6/24))</f>
        <v>1</v>
      </c>
      <c r="AD6" s="10">
        <f t="shared" ref="AD6:AD21" si="6">AC6*AB6*(1-O6)</f>
        <v>0.99818181818181817</v>
      </c>
      <c r="AE6" s="39">
        <f t="shared" ref="AE6:AE21" si="7">$AD$22</f>
        <v>0.46150805115523413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123</v>
      </c>
      <c r="D7" s="55" t="s">
        <v>156</v>
      </c>
      <c r="E7" s="57" t="s">
        <v>311</v>
      </c>
      <c r="F7" s="33" t="s">
        <v>312</v>
      </c>
      <c r="G7" s="12">
        <v>3</v>
      </c>
      <c r="H7" s="13">
        <v>25</v>
      </c>
      <c r="I7" s="34">
        <v>100000</v>
      </c>
      <c r="J7" s="5">
        <v>15560</v>
      </c>
      <c r="K7" s="15">
        <f>L7+11583+14484+15558</f>
        <v>41625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0.46150805115523413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472</v>
      </c>
      <c r="D8" s="55" t="s">
        <v>295</v>
      </c>
      <c r="E8" s="57" t="s">
        <v>502</v>
      </c>
      <c r="F8" s="33" t="s">
        <v>529</v>
      </c>
      <c r="G8" s="12">
        <v>2</v>
      </c>
      <c r="H8" s="13">
        <v>25</v>
      </c>
      <c r="I8" s="34">
        <v>80000</v>
      </c>
      <c r="J8" s="5">
        <v>10670</v>
      </c>
      <c r="K8" s="15">
        <f>L8+6076+12974+10368+11452+11990+12022+11824</f>
        <v>87376</v>
      </c>
      <c r="L8" s="15">
        <f>2958*2+2377*2</f>
        <v>10670</v>
      </c>
      <c r="M8" s="16">
        <f t="shared" si="0"/>
        <v>10670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0.46150805115523413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122</v>
      </c>
      <c r="D9" s="55" t="s">
        <v>641</v>
      </c>
      <c r="E9" s="57" t="s">
        <v>642</v>
      </c>
      <c r="F9" s="33" t="s">
        <v>643</v>
      </c>
      <c r="G9" s="36">
        <v>16</v>
      </c>
      <c r="H9" s="38">
        <v>25</v>
      </c>
      <c r="I9" s="7">
        <v>17000</v>
      </c>
      <c r="J9" s="5">
        <v>10672</v>
      </c>
      <c r="K9" s="15">
        <f>L9+55696</f>
        <v>66368</v>
      </c>
      <c r="L9" s="15">
        <f>667*16</f>
        <v>10672</v>
      </c>
      <c r="M9" s="16">
        <f t="shared" si="0"/>
        <v>10672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9">
        <f t="shared" si="7"/>
        <v>0.46150805115523413</v>
      </c>
      <c r="AF9" s="94">
        <f t="shared" si="8"/>
        <v>4</v>
      </c>
    </row>
    <row r="10" spans="1:32" ht="27" customHeight="1">
      <c r="A10" s="110">
        <v>4</v>
      </c>
      <c r="B10" s="11" t="s">
        <v>57</v>
      </c>
      <c r="C10" s="37" t="s">
        <v>122</v>
      </c>
      <c r="D10" s="55" t="s">
        <v>783</v>
      </c>
      <c r="E10" s="57" t="s">
        <v>784</v>
      </c>
      <c r="F10" s="33" t="s">
        <v>785</v>
      </c>
      <c r="G10" s="36">
        <v>1</v>
      </c>
      <c r="H10" s="38">
        <v>25</v>
      </c>
      <c r="I10" s="7">
        <v>14000</v>
      </c>
      <c r="J10" s="5">
        <v>5230</v>
      </c>
      <c r="K10" s="15">
        <f>L10</f>
        <v>5230</v>
      </c>
      <c r="L10" s="15">
        <f>3742+1488</f>
        <v>5230</v>
      </c>
      <c r="M10" s="16">
        <f t="shared" ref="M10" si="9">L10-N10</f>
        <v>5230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20</v>
      </c>
      <c r="Q10" s="43">
        <f t="shared" ref="Q10" si="12">SUM(R10:AA10)</f>
        <v>4</v>
      </c>
      <c r="R10" s="7"/>
      <c r="S10" s="6"/>
      <c r="T10" s="17">
        <v>4</v>
      </c>
      <c r="U10" s="17"/>
      <c r="V10" s="18"/>
      <c r="W10" s="19"/>
      <c r="X10" s="17"/>
      <c r="Y10" s="20"/>
      <c r="Z10" s="20"/>
      <c r="AA10" s="21"/>
      <c r="AB10" s="8">
        <f t="shared" ref="AB10" si="13">IF(J10=0,"0",(L10/J10))</f>
        <v>1</v>
      </c>
      <c r="AC10" s="9">
        <f t="shared" ref="AC10" si="14">IF(P10=0,"0",(P10/24))</f>
        <v>0.83333333333333337</v>
      </c>
      <c r="AD10" s="10">
        <f t="shared" ref="AD10" si="15">AC10*AB10*(1-O10)</f>
        <v>0.83333333333333337</v>
      </c>
      <c r="AE10" s="39">
        <f t="shared" si="7"/>
        <v>0.46150805115523413</v>
      </c>
      <c r="AF10" s="94">
        <f t="shared" ref="AF10" si="16">A10</f>
        <v>4</v>
      </c>
    </row>
    <row r="11" spans="1:32" ht="27" customHeight="1">
      <c r="A11" s="110">
        <v>5</v>
      </c>
      <c r="B11" s="11" t="s">
        <v>57</v>
      </c>
      <c r="C11" s="11" t="s">
        <v>146</v>
      </c>
      <c r="D11" s="55" t="s">
        <v>801</v>
      </c>
      <c r="E11" s="57" t="s">
        <v>803</v>
      </c>
      <c r="F11" s="12" t="s">
        <v>138</v>
      </c>
      <c r="G11" s="12">
        <v>2</v>
      </c>
      <c r="H11" s="13">
        <v>20</v>
      </c>
      <c r="I11" s="34">
        <v>100000</v>
      </c>
      <c r="J11" s="14">
        <v>24790</v>
      </c>
      <c r="K11" s="15">
        <f>L11+24784</f>
        <v>24784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0.46150805115523413</v>
      </c>
      <c r="AF11" s="94">
        <f t="shared" si="8"/>
        <v>5</v>
      </c>
    </row>
    <row r="12" spans="1:32" ht="27" customHeight="1">
      <c r="A12" s="110">
        <v>6</v>
      </c>
      <c r="B12" s="11" t="s">
        <v>57</v>
      </c>
      <c r="C12" s="11" t="s">
        <v>472</v>
      </c>
      <c r="D12" s="55" t="s">
        <v>121</v>
      </c>
      <c r="E12" s="57" t="s">
        <v>508</v>
      </c>
      <c r="F12" s="12" t="s">
        <v>557</v>
      </c>
      <c r="G12" s="12">
        <v>2</v>
      </c>
      <c r="H12" s="13">
        <v>25</v>
      </c>
      <c r="I12" s="34">
        <v>80000</v>
      </c>
      <c r="J12" s="14">
        <v>11454</v>
      </c>
      <c r="K12" s="15">
        <f>L12+3674+8520+10258+8998+10932+10642+7414</f>
        <v>71892</v>
      </c>
      <c r="L12" s="15">
        <f>3498*2+2229*2</f>
        <v>11454</v>
      </c>
      <c r="M12" s="16">
        <f t="shared" si="0"/>
        <v>11454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0.46150805115523413</v>
      </c>
      <c r="AF12" s="94">
        <f t="shared" si="8"/>
        <v>6</v>
      </c>
    </row>
    <row r="13" spans="1:32" ht="27" customHeight="1">
      <c r="A13" s="110">
        <v>7</v>
      </c>
      <c r="B13" s="11" t="s">
        <v>57</v>
      </c>
      <c r="C13" s="11" t="s">
        <v>122</v>
      </c>
      <c r="D13" s="55" t="s">
        <v>786</v>
      </c>
      <c r="E13" s="57" t="s">
        <v>787</v>
      </c>
      <c r="F13" s="12" t="s">
        <v>263</v>
      </c>
      <c r="G13" s="12">
        <v>1</v>
      </c>
      <c r="H13" s="13">
        <v>25</v>
      </c>
      <c r="I13" s="7">
        <v>13000</v>
      </c>
      <c r="J13" s="14">
        <v>3860</v>
      </c>
      <c r="K13" s="15">
        <f>L13</f>
        <v>3858</v>
      </c>
      <c r="L13" s="15">
        <f>350+3508</f>
        <v>3858</v>
      </c>
      <c r="M13" s="16">
        <f t="shared" si="0"/>
        <v>3858</v>
      </c>
      <c r="N13" s="16">
        <v>0</v>
      </c>
      <c r="O13" s="62">
        <f t="shared" si="1"/>
        <v>0</v>
      </c>
      <c r="P13" s="42">
        <f t="shared" si="2"/>
        <v>19</v>
      </c>
      <c r="Q13" s="43">
        <f t="shared" si="3"/>
        <v>5</v>
      </c>
      <c r="R13" s="7"/>
      <c r="S13" s="6">
        <v>5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0.99948186528497407</v>
      </c>
      <c r="AC13" s="9">
        <f t="shared" si="5"/>
        <v>0.79166666666666663</v>
      </c>
      <c r="AD13" s="10">
        <f t="shared" si="6"/>
        <v>0.79125647668393773</v>
      </c>
      <c r="AE13" s="39">
        <f t="shared" si="7"/>
        <v>0.46150805115523413</v>
      </c>
      <c r="AF13" s="94">
        <f t="shared" si="8"/>
        <v>7</v>
      </c>
    </row>
    <row r="14" spans="1:32" ht="27" customHeight="1">
      <c r="A14" s="110">
        <v>8</v>
      </c>
      <c r="B14" s="11" t="s">
        <v>57</v>
      </c>
      <c r="C14" s="11" t="s">
        <v>167</v>
      </c>
      <c r="D14" s="55" t="s">
        <v>128</v>
      </c>
      <c r="E14" s="57" t="s">
        <v>788</v>
      </c>
      <c r="F14" s="12" t="s">
        <v>785</v>
      </c>
      <c r="G14" s="12">
        <v>1</v>
      </c>
      <c r="H14" s="13">
        <v>25</v>
      </c>
      <c r="I14" s="7">
        <v>13000</v>
      </c>
      <c r="J14" s="14">
        <v>5020</v>
      </c>
      <c r="K14" s="15">
        <f>L14</f>
        <v>5020</v>
      </c>
      <c r="L14" s="15">
        <f>1684+3336</f>
        <v>5020</v>
      </c>
      <c r="M14" s="16">
        <f t="shared" si="0"/>
        <v>5020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1</v>
      </c>
      <c r="AD14" s="10">
        <f t="shared" si="6"/>
        <v>1</v>
      </c>
      <c r="AE14" s="39">
        <f t="shared" si="7"/>
        <v>0.46150805115523413</v>
      </c>
      <c r="AF14" s="94">
        <f t="shared" si="8"/>
        <v>8</v>
      </c>
    </row>
    <row r="15" spans="1:32" ht="27" customHeight="1">
      <c r="A15" s="109">
        <v>9</v>
      </c>
      <c r="B15" s="11" t="s">
        <v>57</v>
      </c>
      <c r="C15" s="37" t="s">
        <v>114</v>
      </c>
      <c r="D15" s="55" t="s">
        <v>128</v>
      </c>
      <c r="E15" s="57" t="s">
        <v>674</v>
      </c>
      <c r="F15" s="33" t="s">
        <v>268</v>
      </c>
      <c r="G15" s="36">
        <v>1</v>
      </c>
      <c r="H15" s="38">
        <v>25</v>
      </c>
      <c r="I15" s="7">
        <v>200</v>
      </c>
      <c r="J15" s="5">
        <v>318</v>
      </c>
      <c r="K15" s="15">
        <f>L15+318</f>
        <v>318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0.46150805115523413</v>
      </c>
      <c r="AF15" s="94">
        <f t="shared" si="8"/>
        <v>9</v>
      </c>
    </row>
    <row r="16" spans="1:32" ht="27" customHeight="1">
      <c r="A16" s="109">
        <v>10</v>
      </c>
      <c r="B16" s="11" t="s">
        <v>57</v>
      </c>
      <c r="C16" s="11" t="s">
        <v>114</v>
      </c>
      <c r="D16" s="55" t="s">
        <v>753</v>
      </c>
      <c r="E16" s="57" t="s">
        <v>203</v>
      </c>
      <c r="F16" s="12">
        <v>8301</v>
      </c>
      <c r="G16" s="12">
        <v>1</v>
      </c>
      <c r="H16" s="13">
        <v>24</v>
      </c>
      <c r="I16" s="34">
        <v>150</v>
      </c>
      <c r="J16" s="14">
        <v>159</v>
      </c>
      <c r="K16" s="15">
        <f>L16+159</f>
        <v>159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0.46150805115523413</v>
      </c>
      <c r="AF16" s="94">
        <f t="shared" si="8"/>
        <v>10</v>
      </c>
    </row>
    <row r="17" spans="1:36" ht="27.75" customHeight="1">
      <c r="A17" s="109">
        <v>11</v>
      </c>
      <c r="B17" s="11" t="s">
        <v>57</v>
      </c>
      <c r="C17" s="11" t="s">
        <v>472</v>
      </c>
      <c r="D17" s="55" t="s">
        <v>135</v>
      </c>
      <c r="E17" s="56" t="s">
        <v>505</v>
      </c>
      <c r="F17" s="12" t="s">
        <v>529</v>
      </c>
      <c r="G17" s="36">
        <v>2</v>
      </c>
      <c r="H17" s="38">
        <v>25</v>
      </c>
      <c r="I17" s="7">
        <v>80000</v>
      </c>
      <c r="J17" s="14">
        <v>5740</v>
      </c>
      <c r="K17" s="15">
        <f>L17+5764+11522+12610+10598+11958+11682+11716+5732</f>
        <v>81582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>
        <v>24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0.46150805115523413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57</v>
      </c>
      <c r="C18" s="37" t="s">
        <v>472</v>
      </c>
      <c r="D18" s="55" t="s">
        <v>127</v>
      </c>
      <c r="E18" s="57" t="s">
        <v>570</v>
      </c>
      <c r="F18" s="12" t="s">
        <v>557</v>
      </c>
      <c r="G18" s="12">
        <v>2</v>
      </c>
      <c r="H18" s="13">
        <v>25</v>
      </c>
      <c r="I18" s="34">
        <v>80000</v>
      </c>
      <c r="J18" s="5">
        <v>11470</v>
      </c>
      <c r="K18" s="15">
        <f>L18+10938+13116+11222+12044+11938+12036+11466</f>
        <v>82760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0.46150805115523413</v>
      </c>
      <c r="AF18" s="94">
        <f t="shared" ref="AF18:AF19" si="17">A18</f>
        <v>12</v>
      </c>
    </row>
    <row r="19" spans="1:36" ht="27" customHeight="1">
      <c r="A19" s="110">
        <v>13</v>
      </c>
      <c r="B19" s="11" t="s">
        <v>57</v>
      </c>
      <c r="C19" s="37" t="s">
        <v>472</v>
      </c>
      <c r="D19" s="55" t="s">
        <v>128</v>
      </c>
      <c r="E19" s="57" t="s">
        <v>510</v>
      </c>
      <c r="F19" s="33" t="s">
        <v>529</v>
      </c>
      <c r="G19" s="36">
        <v>1</v>
      </c>
      <c r="H19" s="38">
        <v>25</v>
      </c>
      <c r="I19" s="7">
        <v>80000</v>
      </c>
      <c r="J19" s="5">
        <v>10810</v>
      </c>
      <c r="K19" s="15">
        <f>L19+3954+5120+6970+9172+10126+10168+6864+10550</f>
        <v>73732</v>
      </c>
      <c r="L19" s="15">
        <f>2119*2+3285*2</f>
        <v>10808</v>
      </c>
      <c r="M19" s="16">
        <f t="shared" si="0"/>
        <v>10808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0.99981498612395925</v>
      </c>
      <c r="AC19" s="9">
        <f t="shared" si="5"/>
        <v>1</v>
      </c>
      <c r="AD19" s="10">
        <f t="shared" si="6"/>
        <v>0.99981498612395925</v>
      </c>
      <c r="AE19" s="39">
        <f t="shared" si="7"/>
        <v>0.46150805115523413</v>
      </c>
      <c r="AF19" s="94">
        <f t="shared" si="17"/>
        <v>13</v>
      </c>
    </row>
    <row r="20" spans="1:36" ht="27" customHeight="1">
      <c r="A20" s="110">
        <v>14</v>
      </c>
      <c r="B20" s="11" t="s">
        <v>57</v>
      </c>
      <c r="C20" s="11" t="s">
        <v>146</v>
      </c>
      <c r="D20" s="55" t="s">
        <v>169</v>
      </c>
      <c r="E20" s="57" t="s">
        <v>168</v>
      </c>
      <c r="F20" s="12" t="s">
        <v>138</v>
      </c>
      <c r="G20" s="12" t="s">
        <v>170</v>
      </c>
      <c r="H20" s="13">
        <v>25</v>
      </c>
      <c r="I20" s="7">
        <v>130000</v>
      </c>
      <c r="J20" s="14">
        <v>7320</v>
      </c>
      <c r="K20" s="15">
        <f>L20+3258+4398+5144+3460+6323+4564+5384+7161+2960+2789+7049+2970+3630+7299+2728+7313</f>
        <v>78773</v>
      </c>
      <c r="L20" s="15">
        <v>2343</v>
      </c>
      <c r="M20" s="16">
        <f t="shared" si="0"/>
        <v>2343</v>
      </c>
      <c r="N20" s="16">
        <v>0</v>
      </c>
      <c r="O20" s="62">
        <f t="shared" si="1"/>
        <v>0</v>
      </c>
      <c r="P20" s="42">
        <f t="shared" si="2"/>
        <v>10</v>
      </c>
      <c r="Q20" s="43">
        <f t="shared" si="3"/>
        <v>14</v>
      </c>
      <c r="R20" s="7"/>
      <c r="S20" s="6">
        <v>14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0.32008196721311477</v>
      </c>
      <c r="AC20" s="9">
        <f t="shared" si="5"/>
        <v>0.41666666666666669</v>
      </c>
      <c r="AD20" s="10">
        <f t="shared" si="6"/>
        <v>0.13336748633879783</v>
      </c>
      <c r="AE20" s="39">
        <f t="shared" si="7"/>
        <v>0.46150805115523413</v>
      </c>
      <c r="AF20" s="94">
        <f t="shared" si="8"/>
        <v>14</v>
      </c>
    </row>
    <row r="21" spans="1:36" ht="27" customHeight="1" thickBot="1">
      <c r="A21" s="110">
        <v>15</v>
      </c>
      <c r="B21" s="11" t="s">
        <v>57</v>
      </c>
      <c r="C21" s="11" t="s">
        <v>124</v>
      </c>
      <c r="D21" s="55"/>
      <c r="E21" s="56" t="s">
        <v>240</v>
      </c>
      <c r="F21" s="12" t="s">
        <v>125</v>
      </c>
      <c r="G21" s="12">
        <v>4</v>
      </c>
      <c r="H21" s="38">
        <v>20</v>
      </c>
      <c r="I21" s="7">
        <v>800000</v>
      </c>
      <c r="J21" s="14">
        <v>5640</v>
      </c>
      <c r="K21" s="15">
        <f>L21+29128+42972+45096+45728+43064+5640</f>
        <v>211628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0.46150805115523413</v>
      </c>
      <c r="AF21" s="94">
        <f t="shared" si="8"/>
        <v>15</v>
      </c>
    </row>
    <row r="22" spans="1:36" ht="31.5" customHeight="1" thickBot="1">
      <c r="A22" s="369" t="s">
        <v>34</v>
      </c>
      <c r="B22" s="370"/>
      <c r="C22" s="370"/>
      <c r="D22" s="370"/>
      <c r="E22" s="370"/>
      <c r="F22" s="370"/>
      <c r="G22" s="370"/>
      <c r="H22" s="371"/>
      <c r="I22" s="25">
        <f t="shared" ref="I22:N22" si="18">SUM(I6:I21)</f>
        <v>1600350</v>
      </c>
      <c r="J22" s="22">
        <f t="shared" si="18"/>
        <v>133663</v>
      </c>
      <c r="K22" s="23">
        <f t="shared" si="18"/>
        <v>843864</v>
      </c>
      <c r="L22" s="24">
        <f t="shared" si="18"/>
        <v>64996</v>
      </c>
      <c r="M22" s="23">
        <f t="shared" si="18"/>
        <v>64996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173</v>
      </c>
      <c r="Q22" s="46">
        <f t="shared" si="19"/>
        <v>211</v>
      </c>
      <c r="R22" s="26">
        <f t="shared" si="19"/>
        <v>0</v>
      </c>
      <c r="S22" s="27">
        <f t="shared" si="19"/>
        <v>67</v>
      </c>
      <c r="T22" s="27">
        <f t="shared" si="19"/>
        <v>4</v>
      </c>
      <c r="U22" s="27">
        <f t="shared" si="19"/>
        <v>0</v>
      </c>
      <c r="V22" s="28">
        <f t="shared" si="19"/>
        <v>0</v>
      </c>
      <c r="W22" s="29">
        <f t="shared" si="19"/>
        <v>140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0</v>
      </c>
      <c r="AB22" s="31">
        <f>SUM(AB6:AB21)/15</f>
        <v>0.55450404245359097</v>
      </c>
      <c r="AC22" s="4">
        <f>SUM(AC6:AC21)/15</f>
        <v>0.48055555555555557</v>
      </c>
      <c r="AD22" s="4">
        <f>SUM(AD6:AD21)/15</f>
        <v>0.46150805115523413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72" t="s">
        <v>45</v>
      </c>
      <c r="B49" s="372"/>
      <c r="C49" s="372"/>
      <c r="D49" s="372"/>
      <c r="E49" s="37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73" t="s">
        <v>789</v>
      </c>
      <c r="B50" s="374"/>
      <c r="C50" s="374"/>
      <c r="D50" s="374"/>
      <c r="E50" s="374"/>
      <c r="F50" s="374"/>
      <c r="G50" s="374"/>
      <c r="H50" s="374"/>
      <c r="I50" s="374"/>
      <c r="J50" s="374"/>
      <c r="K50" s="374"/>
      <c r="L50" s="374"/>
      <c r="M50" s="375"/>
      <c r="N50" s="376" t="s">
        <v>796</v>
      </c>
      <c r="O50" s="377"/>
      <c r="P50" s="377"/>
      <c r="Q50" s="377"/>
      <c r="R50" s="377"/>
      <c r="S50" s="377"/>
      <c r="T50" s="377"/>
      <c r="U50" s="377"/>
      <c r="V50" s="377"/>
      <c r="W50" s="377"/>
      <c r="X50" s="377"/>
      <c r="Y50" s="377"/>
      <c r="Z50" s="377"/>
      <c r="AA50" s="377"/>
      <c r="AB50" s="377"/>
      <c r="AC50" s="377"/>
      <c r="AD50" s="378"/>
    </row>
    <row r="51" spans="1:32" ht="27" customHeight="1">
      <c r="A51" s="379" t="s">
        <v>2</v>
      </c>
      <c r="B51" s="380"/>
      <c r="C51" s="319" t="s">
        <v>46</v>
      </c>
      <c r="D51" s="319" t="s">
        <v>47</v>
      </c>
      <c r="E51" s="319" t="s">
        <v>108</v>
      </c>
      <c r="F51" s="380" t="s">
        <v>107</v>
      </c>
      <c r="G51" s="380"/>
      <c r="H51" s="380"/>
      <c r="I51" s="380"/>
      <c r="J51" s="380"/>
      <c r="K51" s="380"/>
      <c r="L51" s="380"/>
      <c r="M51" s="381"/>
      <c r="N51" s="73" t="s">
        <v>112</v>
      </c>
      <c r="O51" s="319" t="s">
        <v>46</v>
      </c>
      <c r="P51" s="382" t="s">
        <v>47</v>
      </c>
      <c r="Q51" s="383"/>
      <c r="R51" s="382" t="s">
        <v>38</v>
      </c>
      <c r="S51" s="384"/>
      <c r="T51" s="384"/>
      <c r="U51" s="383"/>
      <c r="V51" s="382" t="s">
        <v>48</v>
      </c>
      <c r="W51" s="384"/>
      <c r="X51" s="384"/>
      <c r="Y51" s="384"/>
      <c r="Z51" s="384"/>
      <c r="AA51" s="384"/>
      <c r="AB51" s="384"/>
      <c r="AC51" s="384"/>
      <c r="AD51" s="385"/>
    </row>
    <row r="52" spans="1:32" ht="27" customHeight="1">
      <c r="A52" s="396" t="s">
        <v>790</v>
      </c>
      <c r="B52" s="397"/>
      <c r="C52" s="320" t="s">
        <v>126</v>
      </c>
      <c r="D52" s="321" t="s">
        <v>128</v>
      </c>
      <c r="E52" s="320" t="s">
        <v>788</v>
      </c>
      <c r="F52" s="398" t="s">
        <v>663</v>
      </c>
      <c r="G52" s="398"/>
      <c r="H52" s="398"/>
      <c r="I52" s="398"/>
      <c r="J52" s="398"/>
      <c r="K52" s="398"/>
      <c r="L52" s="398"/>
      <c r="M52" s="399"/>
      <c r="N52" s="325" t="s">
        <v>794</v>
      </c>
      <c r="O52" s="74" t="s">
        <v>131</v>
      </c>
      <c r="P52" s="402" t="s">
        <v>172</v>
      </c>
      <c r="Q52" s="402"/>
      <c r="R52" s="402" t="s">
        <v>799</v>
      </c>
      <c r="S52" s="402"/>
      <c r="T52" s="402"/>
      <c r="U52" s="402"/>
      <c r="V52" s="398" t="s">
        <v>800</v>
      </c>
      <c r="W52" s="398"/>
      <c r="X52" s="398"/>
      <c r="Y52" s="398"/>
      <c r="Z52" s="398"/>
      <c r="AA52" s="398"/>
      <c r="AB52" s="398"/>
      <c r="AC52" s="398"/>
      <c r="AD52" s="399"/>
    </row>
    <row r="53" spans="1:32" ht="27" customHeight="1">
      <c r="A53" s="396" t="s">
        <v>790</v>
      </c>
      <c r="B53" s="397"/>
      <c r="C53" s="320" t="s">
        <v>281</v>
      </c>
      <c r="D53" s="321" t="s">
        <v>791</v>
      </c>
      <c r="E53" s="320" t="s">
        <v>792</v>
      </c>
      <c r="F53" s="398" t="s">
        <v>206</v>
      </c>
      <c r="G53" s="398"/>
      <c r="H53" s="398"/>
      <c r="I53" s="398"/>
      <c r="J53" s="398"/>
      <c r="K53" s="398"/>
      <c r="L53" s="398"/>
      <c r="M53" s="399"/>
      <c r="N53" s="325" t="s">
        <v>157</v>
      </c>
      <c r="O53" s="74" t="s">
        <v>373</v>
      </c>
      <c r="P53" s="400" t="s">
        <v>802</v>
      </c>
      <c r="Q53" s="401"/>
      <c r="R53" s="402" t="s">
        <v>804</v>
      </c>
      <c r="S53" s="402"/>
      <c r="T53" s="402"/>
      <c r="U53" s="402"/>
      <c r="V53" s="398" t="s">
        <v>805</v>
      </c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 t="s">
        <v>790</v>
      </c>
      <c r="B54" s="397"/>
      <c r="C54" s="320" t="s">
        <v>338</v>
      </c>
      <c r="D54" s="321" t="s">
        <v>783</v>
      </c>
      <c r="E54" s="320" t="s">
        <v>793</v>
      </c>
      <c r="F54" s="398" t="s">
        <v>206</v>
      </c>
      <c r="G54" s="398"/>
      <c r="H54" s="398"/>
      <c r="I54" s="398"/>
      <c r="J54" s="398"/>
      <c r="K54" s="398"/>
      <c r="L54" s="398"/>
      <c r="M54" s="399"/>
      <c r="N54" s="325" t="s">
        <v>807</v>
      </c>
      <c r="O54" s="74" t="s">
        <v>808</v>
      </c>
      <c r="P54" s="402" t="s">
        <v>809</v>
      </c>
      <c r="Q54" s="402"/>
      <c r="R54" s="402" t="s">
        <v>806</v>
      </c>
      <c r="S54" s="402"/>
      <c r="T54" s="402"/>
      <c r="U54" s="402"/>
      <c r="V54" s="398" t="s">
        <v>810</v>
      </c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 t="s">
        <v>794</v>
      </c>
      <c r="B55" s="397"/>
      <c r="C55" s="320" t="s">
        <v>131</v>
      </c>
      <c r="D55" s="321" t="s">
        <v>797</v>
      </c>
      <c r="E55" s="320" t="s">
        <v>798</v>
      </c>
      <c r="F55" s="398" t="s">
        <v>795</v>
      </c>
      <c r="G55" s="398"/>
      <c r="H55" s="398"/>
      <c r="I55" s="398"/>
      <c r="J55" s="398"/>
      <c r="K55" s="398"/>
      <c r="L55" s="398"/>
      <c r="M55" s="399"/>
      <c r="N55" s="325" t="s">
        <v>123</v>
      </c>
      <c r="O55" s="74" t="s">
        <v>233</v>
      </c>
      <c r="P55" s="402" t="s">
        <v>812</v>
      </c>
      <c r="Q55" s="402"/>
      <c r="R55" s="402" t="s">
        <v>811</v>
      </c>
      <c r="S55" s="402"/>
      <c r="T55" s="402"/>
      <c r="U55" s="402"/>
      <c r="V55" s="398" t="s">
        <v>810</v>
      </c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/>
      <c r="B56" s="397"/>
      <c r="C56" s="320"/>
      <c r="D56" s="321"/>
      <c r="E56" s="320"/>
      <c r="F56" s="398"/>
      <c r="G56" s="398"/>
      <c r="H56" s="398"/>
      <c r="I56" s="398"/>
      <c r="J56" s="398"/>
      <c r="K56" s="398"/>
      <c r="L56" s="398"/>
      <c r="M56" s="399"/>
      <c r="N56" s="325" t="s">
        <v>807</v>
      </c>
      <c r="O56" s="74" t="s">
        <v>814</v>
      </c>
      <c r="P56" s="402" t="s">
        <v>815</v>
      </c>
      <c r="Q56" s="402"/>
      <c r="R56" s="402" t="s">
        <v>813</v>
      </c>
      <c r="S56" s="402"/>
      <c r="T56" s="402"/>
      <c r="U56" s="402"/>
      <c r="V56" s="398" t="s">
        <v>810</v>
      </c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/>
      <c r="B57" s="397"/>
      <c r="C57" s="320"/>
      <c r="D57" s="321"/>
      <c r="E57" s="320"/>
      <c r="F57" s="398"/>
      <c r="G57" s="398"/>
      <c r="H57" s="398"/>
      <c r="I57" s="398"/>
      <c r="J57" s="398"/>
      <c r="K57" s="398"/>
      <c r="L57" s="398"/>
      <c r="M57" s="399"/>
      <c r="N57" s="325"/>
      <c r="O57" s="74"/>
      <c r="P57" s="402"/>
      <c r="Q57" s="402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/>
      <c r="B58" s="397"/>
      <c r="C58" s="320"/>
      <c r="D58" s="321"/>
      <c r="E58" s="320"/>
      <c r="F58" s="398"/>
      <c r="G58" s="398"/>
      <c r="H58" s="398"/>
      <c r="I58" s="398"/>
      <c r="J58" s="398"/>
      <c r="K58" s="398"/>
      <c r="L58" s="398"/>
      <c r="M58" s="399"/>
      <c r="N58" s="325"/>
      <c r="O58" s="74"/>
      <c r="P58" s="400"/>
      <c r="Q58" s="401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396"/>
      <c r="B59" s="397"/>
      <c r="C59" s="320"/>
      <c r="D59" s="321"/>
      <c r="E59" s="320"/>
      <c r="F59" s="398"/>
      <c r="G59" s="398"/>
      <c r="H59" s="398"/>
      <c r="I59" s="398"/>
      <c r="J59" s="398"/>
      <c r="K59" s="398"/>
      <c r="L59" s="398"/>
      <c r="M59" s="399"/>
      <c r="N59" s="325"/>
      <c r="O59" s="74"/>
      <c r="P59" s="400"/>
      <c r="Q59" s="401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</row>
    <row r="60" spans="1:32" ht="27" customHeight="1">
      <c r="A60" s="412"/>
      <c r="B60" s="402"/>
      <c r="C60" s="321"/>
      <c r="D60" s="321"/>
      <c r="E60" s="321"/>
      <c r="F60" s="398"/>
      <c r="G60" s="398"/>
      <c r="H60" s="398"/>
      <c r="I60" s="398"/>
      <c r="J60" s="398"/>
      <c r="K60" s="398"/>
      <c r="L60" s="398"/>
      <c r="M60" s="399"/>
      <c r="N60" s="325"/>
      <c r="O60" s="74"/>
      <c r="P60" s="402"/>
      <c r="Q60" s="402"/>
      <c r="R60" s="402"/>
      <c r="S60" s="402"/>
      <c r="T60" s="402"/>
      <c r="U60" s="402"/>
      <c r="V60" s="398"/>
      <c r="W60" s="398"/>
      <c r="X60" s="398"/>
      <c r="Y60" s="398"/>
      <c r="Z60" s="398"/>
      <c r="AA60" s="398"/>
      <c r="AB60" s="398"/>
      <c r="AC60" s="398"/>
      <c r="AD60" s="399"/>
      <c r="AF60" s="94">
        <f>8*3000</f>
        <v>24000</v>
      </c>
    </row>
    <row r="61" spans="1:32" ht="27" customHeight="1" thickBot="1">
      <c r="A61" s="403"/>
      <c r="B61" s="404"/>
      <c r="C61" s="323"/>
      <c r="D61" s="323"/>
      <c r="E61" s="323"/>
      <c r="F61" s="405"/>
      <c r="G61" s="405"/>
      <c r="H61" s="405"/>
      <c r="I61" s="405"/>
      <c r="J61" s="405"/>
      <c r="K61" s="405"/>
      <c r="L61" s="405"/>
      <c r="M61" s="406"/>
      <c r="N61" s="322"/>
      <c r="O61" s="121"/>
      <c r="P61" s="404"/>
      <c r="Q61" s="404"/>
      <c r="R61" s="404"/>
      <c r="S61" s="404"/>
      <c r="T61" s="404"/>
      <c r="U61" s="404"/>
      <c r="V61" s="405"/>
      <c r="W61" s="405"/>
      <c r="X61" s="405"/>
      <c r="Y61" s="405"/>
      <c r="Z61" s="405"/>
      <c r="AA61" s="405"/>
      <c r="AB61" s="405"/>
      <c r="AC61" s="405"/>
      <c r="AD61" s="406"/>
      <c r="AF61" s="94">
        <f>16*3000</f>
        <v>48000</v>
      </c>
    </row>
    <row r="62" spans="1:32" ht="27.75" thickBot="1">
      <c r="A62" s="407" t="s">
        <v>816</v>
      </c>
      <c r="B62" s="407"/>
      <c r="C62" s="407"/>
      <c r="D62" s="407"/>
      <c r="E62" s="40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08" t="s">
        <v>113</v>
      </c>
      <c r="B63" s="409"/>
      <c r="C63" s="324" t="s">
        <v>2</v>
      </c>
      <c r="D63" s="324" t="s">
        <v>37</v>
      </c>
      <c r="E63" s="324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324" t="s">
        <v>40</v>
      </c>
      <c r="N63" s="409" t="s">
        <v>41</v>
      </c>
      <c r="O63" s="409"/>
      <c r="P63" s="410" t="s">
        <v>42</v>
      </c>
      <c r="Q63" s="411"/>
      <c r="R63" s="410" t="s">
        <v>43</v>
      </c>
      <c r="S63" s="413"/>
      <c r="T63" s="413"/>
      <c r="U63" s="413"/>
      <c r="V63" s="413"/>
      <c r="W63" s="413"/>
      <c r="X63" s="413"/>
      <c r="Y63" s="413"/>
      <c r="Z63" s="413"/>
      <c r="AA63" s="411"/>
      <c r="AB63" s="409" t="s">
        <v>44</v>
      </c>
      <c r="AC63" s="409"/>
      <c r="AD63" s="414"/>
      <c r="AF63" s="94">
        <f>SUM(AF60:AF62)</f>
        <v>96000</v>
      </c>
    </row>
    <row r="64" spans="1:32" ht="25.5" customHeight="1">
      <c r="A64" s="415">
        <v>1</v>
      </c>
      <c r="B64" s="416"/>
      <c r="C64" s="124"/>
      <c r="D64" s="328"/>
      <c r="E64" s="326"/>
      <c r="F64" s="417"/>
      <c r="G64" s="418"/>
      <c r="H64" s="418"/>
      <c r="I64" s="418"/>
      <c r="J64" s="418"/>
      <c r="K64" s="418"/>
      <c r="L64" s="418"/>
      <c r="M64" s="54"/>
      <c r="N64" s="418"/>
      <c r="O64" s="418"/>
      <c r="P64" s="419"/>
      <c r="Q64" s="419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418"/>
      <c r="AC64" s="418"/>
      <c r="AD64" s="420"/>
      <c r="AF64" s="53"/>
    </row>
    <row r="65" spans="1:32" ht="25.5" customHeight="1">
      <c r="A65" s="415">
        <v>2</v>
      </c>
      <c r="B65" s="416"/>
      <c r="C65" s="124"/>
      <c r="D65" s="328"/>
      <c r="E65" s="326"/>
      <c r="F65" s="417"/>
      <c r="G65" s="418"/>
      <c r="H65" s="418"/>
      <c r="I65" s="418"/>
      <c r="J65" s="418"/>
      <c r="K65" s="418"/>
      <c r="L65" s="418"/>
      <c r="M65" s="54"/>
      <c r="N65" s="418"/>
      <c r="O65" s="418"/>
      <c r="P65" s="419"/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3</v>
      </c>
      <c r="B66" s="416"/>
      <c r="C66" s="124"/>
      <c r="D66" s="328"/>
      <c r="E66" s="326"/>
      <c r="F66" s="417"/>
      <c r="G66" s="418"/>
      <c r="H66" s="418"/>
      <c r="I66" s="418"/>
      <c r="J66" s="418"/>
      <c r="K66" s="418"/>
      <c r="L66" s="418"/>
      <c r="M66" s="54"/>
      <c r="N66" s="418"/>
      <c r="O66" s="418"/>
      <c r="P66" s="419"/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4</v>
      </c>
      <c r="B67" s="416"/>
      <c r="C67" s="124"/>
      <c r="D67" s="328"/>
      <c r="E67" s="326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5</v>
      </c>
      <c r="B68" s="416"/>
      <c r="C68" s="124"/>
      <c r="D68" s="328"/>
      <c r="E68" s="326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6</v>
      </c>
      <c r="B69" s="416"/>
      <c r="C69" s="124"/>
      <c r="D69" s="328"/>
      <c r="E69" s="326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7</v>
      </c>
      <c r="B70" s="416"/>
      <c r="C70" s="124"/>
      <c r="D70" s="328"/>
      <c r="E70" s="326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5.5" customHeight="1">
      <c r="A71" s="415">
        <v>8</v>
      </c>
      <c r="B71" s="416"/>
      <c r="C71" s="124"/>
      <c r="D71" s="328"/>
      <c r="E71" s="326"/>
      <c r="F71" s="417"/>
      <c r="G71" s="418"/>
      <c r="H71" s="418"/>
      <c r="I71" s="418"/>
      <c r="J71" s="418"/>
      <c r="K71" s="418"/>
      <c r="L71" s="418"/>
      <c r="M71" s="54"/>
      <c r="N71" s="418"/>
      <c r="O71" s="418"/>
      <c r="P71" s="419"/>
      <c r="Q71" s="419"/>
      <c r="R71" s="398"/>
      <c r="S71" s="398"/>
      <c r="T71" s="398"/>
      <c r="U71" s="398"/>
      <c r="V71" s="398"/>
      <c r="W71" s="398"/>
      <c r="X71" s="398"/>
      <c r="Y71" s="398"/>
      <c r="Z71" s="398"/>
      <c r="AA71" s="398"/>
      <c r="AB71" s="418"/>
      <c r="AC71" s="418"/>
      <c r="AD71" s="420"/>
      <c r="AF71" s="53"/>
    </row>
    <row r="72" spans="1:32" ht="26.25" customHeight="1" thickBot="1">
      <c r="A72" s="421" t="s">
        <v>817</v>
      </c>
      <c r="B72" s="421"/>
      <c r="C72" s="421"/>
      <c r="D72" s="421"/>
      <c r="E72" s="421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2" t="s">
        <v>113</v>
      </c>
      <c r="B73" s="423"/>
      <c r="C73" s="327" t="s">
        <v>2</v>
      </c>
      <c r="D73" s="327" t="s">
        <v>37</v>
      </c>
      <c r="E73" s="327" t="s">
        <v>3</v>
      </c>
      <c r="F73" s="423" t="s">
        <v>38</v>
      </c>
      <c r="G73" s="423"/>
      <c r="H73" s="423"/>
      <c r="I73" s="423"/>
      <c r="J73" s="423"/>
      <c r="K73" s="424" t="s">
        <v>58</v>
      </c>
      <c r="L73" s="425"/>
      <c r="M73" s="425"/>
      <c r="N73" s="425"/>
      <c r="O73" s="425"/>
      <c r="P73" s="425"/>
      <c r="Q73" s="425"/>
      <c r="R73" s="425"/>
      <c r="S73" s="426"/>
      <c r="T73" s="423" t="s">
        <v>49</v>
      </c>
      <c r="U73" s="423"/>
      <c r="V73" s="424" t="s">
        <v>50</v>
      </c>
      <c r="W73" s="426"/>
      <c r="X73" s="425" t="s">
        <v>51</v>
      </c>
      <c r="Y73" s="425"/>
      <c r="Z73" s="425"/>
      <c r="AA73" s="425"/>
      <c r="AB73" s="425"/>
      <c r="AC73" s="425"/>
      <c r="AD73" s="427"/>
      <c r="AF73" s="53"/>
    </row>
    <row r="74" spans="1:32" ht="33.75" customHeight="1">
      <c r="A74" s="436">
        <v>1</v>
      </c>
      <c r="B74" s="437"/>
      <c r="C74" s="329" t="s">
        <v>114</v>
      </c>
      <c r="D74" s="329"/>
      <c r="E74" s="71" t="s">
        <v>119</v>
      </c>
      <c r="F74" s="438" t="s">
        <v>120</v>
      </c>
      <c r="G74" s="439"/>
      <c r="H74" s="439"/>
      <c r="I74" s="439"/>
      <c r="J74" s="440"/>
      <c r="K74" s="441" t="s">
        <v>115</v>
      </c>
      <c r="L74" s="442"/>
      <c r="M74" s="442"/>
      <c r="N74" s="442"/>
      <c r="O74" s="442"/>
      <c r="P74" s="442"/>
      <c r="Q74" s="442"/>
      <c r="R74" s="442"/>
      <c r="S74" s="443"/>
      <c r="T74" s="444">
        <v>42901</v>
      </c>
      <c r="U74" s="445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28">
        <f>A74+1</f>
        <v>2</v>
      </c>
      <c r="B75" s="429"/>
      <c r="C75" s="328" t="s">
        <v>114</v>
      </c>
      <c r="D75" s="328"/>
      <c r="E75" s="35" t="s">
        <v>116</v>
      </c>
      <c r="F75" s="429" t="s">
        <v>117</v>
      </c>
      <c r="G75" s="429"/>
      <c r="H75" s="429"/>
      <c r="I75" s="429"/>
      <c r="J75" s="429"/>
      <c r="K75" s="430" t="s">
        <v>118</v>
      </c>
      <c r="L75" s="431"/>
      <c r="M75" s="431"/>
      <c r="N75" s="431"/>
      <c r="O75" s="431"/>
      <c r="P75" s="431"/>
      <c r="Q75" s="431"/>
      <c r="R75" s="431"/>
      <c r="S75" s="432"/>
      <c r="T75" s="433">
        <v>42867</v>
      </c>
      <c r="U75" s="433"/>
      <c r="V75" s="433"/>
      <c r="W75" s="433"/>
      <c r="X75" s="434"/>
      <c r="Y75" s="434"/>
      <c r="Z75" s="434"/>
      <c r="AA75" s="434"/>
      <c r="AB75" s="434"/>
      <c r="AC75" s="434"/>
      <c r="AD75" s="435"/>
      <c r="AF75" s="53"/>
    </row>
    <row r="76" spans="1:32" ht="30" customHeight="1">
      <c r="A76" s="428">
        <f t="shared" ref="A76:A82" si="20">A75+1</f>
        <v>3</v>
      </c>
      <c r="B76" s="429"/>
      <c r="C76" s="328"/>
      <c r="D76" s="328"/>
      <c r="E76" s="35"/>
      <c r="F76" s="429"/>
      <c r="G76" s="429"/>
      <c r="H76" s="429"/>
      <c r="I76" s="429"/>
      <c r="J76" s="429"/>
      <c r="K76" s="430"/>
      <c r="L76" s="431"/>
      <c r="M76" s="431"/>
      <c r="N76" s="431"/>
      <c r="O76" s="431"/>
      <c r="P76" s="431"/>
      <c r="Q76" s="431"/>
      <c r="R76" s="431"/>
      <c r="S76" s="432"/>
      <c r="T76" s="433"/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si="20"/>
        <v>4</v>
      </c>
      <c r="B77" s="429"/>
      <c r="C77" s="328"/>
      <c r="D77" s="328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20"/>
        <v>5</v>
      </c>
      <c r="B78" s="429"/>
      <c r="C78" s="328"/>
      <c r="D78" s="328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20"/>
        <v>6</v>
      </c>
      <c r="B79" s="429"/>
      <c r="C79" s="328"/>
      <c r="D79" s="328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20"/>
        <v>7</v>
      </c>
      <c r="B80" s="429"/>
      <c r="C80" s="328"/>
      <c r="D80" s="328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20"/>
        <v>8</v>
      </c>
      <c r="B81" s="429"/>
      <c r="C81" s="328"/>
      <c r="D81" s="328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0" customHeight="1">
      <c r="A82" s="428">
        <f t="shared" si="20"/>
        <v>9</v>
      </c>
      <c r="B82" s="429"/>
      <c r="C82" s="328"/>
      <c r="D82" s="328"/>
      <c r="E82" s="35"/>
      <c r="F82" s="429"/>
      <c r="G82" s="429"/>
      <c r="H82" s="429"/>
      <c r="I82" s="429"/>
      <c r="J82" s="429"/>
      <c r="K82" s="430"/>
      <c r="L82" s="431"/>
      <c r="M82" s="431"/>
      <c r="N82" s="431"/>
      <c r="O82" s="431"/>
      <c r="P82" s="431"/>
      <c r="Q82" s="431"/>
      <c r="R82" s="431"/>
      <c r="S82" s="432"/>
      <c r="T82" s="433"/>
      <c r="U82" s="433"/>
      <c r="V82" s="433"/>
      <c r="W82" s="433"/>
      <c r="X82" s="434"/>
      <c r="Y82" s="434"/>
      <c r="Z82" s="434"/>
      <c r="AA82" s="434"/>
      <c r="AB82" s="434"/>
      <c r="AC82" s="434"/>
      <c r="AD82" s="435"/>
      <c r="AF82" s="53"/>
    </row>
    <row r="83" spans="1:32" ht="36" thickBot="1">
      <c r="A83" s="421" t="s">
        <v>818</v>
      </c>
      <c r="B83" s="421"/>
      <c r="C83" s="421"/>
      <c r="D83" s="421"/>
      <c r="E83" s="421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22" t="s">
        <v>113</v>
      </c>
      <c r="B84" s="423"/>
      <c r="C84" s="449" t="s">
        <v>52</v>
      </c>
      <c r="D84" s="449"/>
      <c r="E84" s="449" t="s">
        <v>53</v>
      </c>
      <c r="F84" s="449"/>
      <c r="G84" s="449"/>
      <c r="H84" s="449"/>
      <c r="I84" s="449"/>
      <c r="J84" s="449"/>
      <c r="K84" s="449" t="s">
        <v>54</v>
      </c>
      <c r="L84" s="449"/>
      <c r="M84" s="449"/>
      <c r="N84" s="449"/>
      <c r="O84" s="449"/>
      <c r="P84" s="449"/>
      <c r="Q84" s="449"/>
      <c r="R84" s="449"/>
      <c r="S84" s="449"/>
      <c r="T84" s="449" t="s">
        <v>55</v>
      </c>
      <c r="U84" s="449"/>
      <c r="V84" s="449" t="s">
        <v>56</v>
      </c>
      <c r="W84" s="449"/>
      <c r="X84" s="449"/>
      <c r="Y84" s="449" t="s">
        <v>51</v>
      </c>
      <c r="Z84" s="449"/>
      <c r="AA84" s="449"/>
      <c r="AB84" s="449"/>
      <c r="AC84" s="449"/>
      <c r="AD84" s="450"/>
      <c r="AF84" s="53"/>
    </row>
    <row r="85" spans="1:32" ht="30.75" customHeight="1">
      <c r="A85" s="436">
        <v>1</v>
      </c>
      <c r="B85" s="437"/>
      <c r="C85" s="451"/>
      <c r="D85" s="451"/>
      <c r="E85" s="451"/>
      <c r="F85" s="451"/>
      <c r="G85" s="451"/>
      <c r="H85" s="451"/>
      <c r="I85" s="451"/>
      <c r="J85" s="451"/>
      <c r="K85" s="451"/>
      <c r="L85" s="451"/>
      <c r="M85" s="451"/>
      <c r="N85" s="451"/>
      <c r="O85" s="451"/>
      <c r="P85" s="451"/>
      <c r="Q85" s="451"/>
      <c r="R85" s="451"/>
      <c r="S85" s="451"/>
      <c r="T85" s="451"/>
      <c r="U85" s="451"/>
      <c r="V85" s="452"/>
      <c r="W85" s="452"/>
      <c r="X85" s="452"/>
      <c r="Y85" s="453"/>
      <c r="Z85" s="453"/>
      <c r="AA85" s="453"/>
      <c r="AB85" s="453"/>
      <c r="AC85" s="453"/>
      <c r="AD85" s="454"/>
      <c r="AF85" s="53"/>
    </row>
    <row r="86" spans="1:32" ht="30.75" customHeight="1">
      <c r="A86" s="428">
        <v>2</v>
      </c>
      <c r="B86" s="429"/>
      <c r="C86" s="462"/>
      <c r="D86" s="462"/>
      <c r="E86" s="462"/>
      <c r="F86" s="462"/>
      <c r="G86" s="462"/>
      <c r="H86" s="462"/>
      <c r="I86" s="462"/>
      <c r="J86" s="462"/>
      <c r="K86" s="462"/>
      <c r="L86" s="462"/>
      <c r="M86" s="462"/>
      <c r="N86" s="462"/>
      <c r="O86" s="462"/>
      <c r="P86" s="462"/>
      <c r="Q86" s="462"/>
      <c r="R86" s="462"/>
      <c r="S86" s="462"/>
      <c r="T86" s="463"/>
      <c r="U86" s="463"/>
      <c r="V86" s="464"/>
      <c r="W86" s="464"/>
      <c r="X86" s="464"/>
      <c r="Y86" s="455"/>
      <c r="Z86" s="455"/>
      <c r="AA86" s="455"/>
      <c r="AB86" s="455"/>
      <c r="AC86" s="455"/>
      <c r="AD86" s="456"/>
      <c r="AF86" s="53"/>
    </row>
    <row r="87" spans="1:32" ht="30.75" customHeight="1" thickBot="1">
      <c r="A87" s="457">
        <v>3</v>
      </c>
      <c r="B87" s="458"/>
      <c r="C87" s="459"/>
      <c r="D87" s="459"/>
      <c r="E87" s="459"/>
      <c r="F87" s="459"/>
      <c r="G87" s="459"/>
      <c r="H87" s="459"/>
      <c r="I87" s="459"/>
      <c r="J87" s="459"/>
      <c r="K87" s="459"/>
      <c r="L87" s="459"/>
      <c r="M87" s="459"/>
      <c r="N87" s="459"/>
      <c r="O87" s="459"/>
      <c r="P87" s="459"/>
      <c r="Q87" s="459"/>
      <c r="R87" s="459"/>
      <c r="S87" s="459"/>
      <c r="T87" s="459"/>
      <c r="U87" s="459"/>
      <c r="V87" s="459"/>
      <c r="W87" s="459"/>
      <c r="X87" s="459"/>
      <c r="Y87" s="460"/>
      <c r="Z87" s="460"/>
      <c r="AA87" s="460"/>
      <c r="AB87" s="460"/>
      <c r="AC87" s="460"/>
      <c r="AD87" s="461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22" zoomScale="72" zoomScaleNormal="72" zoomScaleSheetLayoutView="70" workbookViewId="0">
      <selection activeCell="A53" sqref="A53:M5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55" t="s">
        <v>819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6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341" t="s">
        <v>17</v>
      </c>
      <c r="L5" s="341" t="s">
        <v>18</v>
      </c>
      <c r="M5" s="341" t="s">
        <v>19</v>
      </c>
      <c r="N5" s="34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6" ht="27" customHeight="1">
      <c r="A6" s="108">
        <v>1</v>
      </c>
      <c r="B6" s="11" t="s">
        <v>57</v>
      </c>
      <c r="C6" s="37" t="s">
        <v>122</v>
      </c>
      <c r="D6" s="55" t="s">
        <v>127</v>
      </c>
      <c r="E6" s="57" t="s">
        <v>725</v>
      </c>
      <c r="F6" s="33" t="s">
        <v>263</v>
      </c>
      <c r="G6" s="36">
        <v>1</v>
      </c>
      <c r="H6" s="38">
        <v>25</v>
      </c>
      <c r="I6" s="7">
        <v>13000</v>
      </c>
      <c r="J6" s="5">
        <v>3610</v>
      </c>
      <c r="K6" s="15">
        <f>L6+3818+4941</f>
        <v>12361</v>
      </c>
      <c r="L6" s="15">
        <f>1805+1797</f>
        <v>3602</v>
      </c>
      <c r="M6" s="16">
        <f t="shared" ref="M6:M20" si="0">L6-N6</f>
        <v>3602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0.99778393351800554</v>
      </c>
      <c r="AC6" s="9">
        <f t="shared" ref="AC6:AC20" si="5">IF(P6=0,"0",(P6/24))</f>
        <v>1</v>
      </c>
      <c r="AD6" s="10">
        <f t="shared" ref="AD6:AD20" si="6">AC6*AB6*(1-O6)</f>
        <v>0.99778393351800554</v>
      </c>
      <c r="AE6" s="39">
        <f t="shared" ref="AE6:AE20" si="7">$AD$21</f>
        <v>0.6546170636627402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123</v>
      </c>
      <c r="D7" s="55" t="s">
        <v>820</v>
      </c>
      <c r="E7" s="57" t="s">
        <v>821</v>
      </c>
      <c r="F7" s="33" t="s">
        <v>822</v>
      </c>
      <c r="G7" s="12" t="s">
        <v>823</v>
      </c>
      <c r="H7" s="13">
        <v>25</v>
      </c>
      <c r="I7" s="34">
        <v>6000</v>
      </c>
      <c r="J7" s="5">
        <v>15560</v>
      </c>
      <c r="K7" s="15">
        <f>L7</f>
        <v>0</v>
      </c>
      <c r="L7" s="15">
        <v>0</v>
      </c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>
        <v>24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0.6546170636627402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824</v>
      </c>
      <c r="D8" s="55" t="s">
        <v>825</v>
      </c>
      <c r="E8" s="57" t="s">
        <v>826</v>
      </c>
      <c r="F8" s="33" t="s">
        <v>827</v>
      </c>
      <c r="G8" s="12">
        <v>2</v>
      </c>
      <c r="H8" s="13">
        <v>25</v>
      </c>
      <c r="I8" s="34">
        <v>11000</v>
      </c>
      <c r="J8" s="5">
        <v>8570</v>
      </c>
      <c r="K8" s="15">
        <f>L8</f>
        <v>8570</v>
      </c>
      <c r="L8" s="15">
        <f>1808*2+2477*2</f>
        <v>8570</v>
      </c>
      <c r="M8" s="16">
        <f t="shared" si="0"/>
        <v>8570</v>
      </c>
      <c r="N8" s="16">
        <v>0</v>
      </c>
      <c r="O8" s="62">
        <f t="shared" si="1"/>
        <v>0</v>
      </c>
      <c r="P8" s="42">
        <f t="shared" si="2"/>
        <v>22</v>
      </c>
      <c r="Q8" s="43">
        <f t="shared" si="3"/>
        <v>2</v>
      </c>
      <c r="R8" s="7"/>
      <c r="S8" s="6"/>
      <c r="T8" s="17">
        <v>2</v>
      </c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0.91666666666666663</v>
      </c>
      <c r="AD8" s="10">
        <f t="shared" si="6"/>
        <v>0.91666666666666663</v>
      </c>
      <c r="AE8" s="39">
        <f t="shared" si="7"/>
        <v>0.6546170636627402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122</v>
      </c>
      <c r="D9" s="55" t="s">
        <v>783</v>
      </c>
      <c r="E9" s="57" t="s">
        <v>784</v>
      </c>
      <c r="F9" s="33" t="s">
        <v>785</v>
      </c>
      <c r="G9" s="36">
        <v>1</v>
      </c>
      <c r="H9" s="38">
        <v>25</v>
      </c>
      <c r="I9" s="7">
        <v>14000</v>
      </c>
      <c r="J9" s="5">
        <v>5100</v>
      </c>
      <c r="K9" s="15">
        <f>L9+5230</f>
        <v>10321</v>
      </c>
      <c r="L9" s="15">
        <f>2947+2144</f>
        <v>5091</v>
      </c>
      <c r="M9" s="16">
        <f t="shared" si="0"/>
        <v>5091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0.99823529411764711</v>
      </c>
      <c r="AC9" s="9">
        <f t="shared" si="5"/>
        <v>1</v>
      </c>
      <c r="AD9" s="10">
        <f t="shared" si="6"/>
        <v>0.99823529411764711</v>
      </c>
      <c r="AE9" s="39">
        <f t="shared" si="7"/>
        <v>0.6546170636627402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146</v>
      </c>
      <c r="D10" s="55" t="s">
        <v>801</v>
      </c>
      <c r="E10" s="57" t="s">
        <v>840</v>
      </c>
      <c r="F10" s="12" t="s">
        <v>138</v>
      </c>
      <c r="G10" s="12">
        <v>2</v>
      </c>
      <c r="H10" s="13">
        <v>20</v>
      </c>
      <c r="I10" s="34">
        <v>100000</v>
      </c>
      <c r="J10" s="14">
        <v>20920</v>
      </c>
      <c r="K10" s="15">
        <f>L10+24784</f>
        <v>45704</v>
      </c>
      <c r="L10" s="15">
        <f>6898*2+3562*2</f>
        <v>20920</v>
      </c>
      <c r="M10" s="16">
        <f t="shared" si="0"/>
        <v>20920</v>
      </c>
      <c r="N10" s="16">
        <v>0</v>
      </c>
      <c r="O10" s="62">
        <f t="shared" si="1"/>
        <v>0</v>
      </c>
      <c r="P10" s="42">
        <f t="shared" si="2"/>
        <v>21</v>
      </c>
      <c r="Q10" s="43">
        <f t="shared" si="3"/>
        <v>3</v>
      </c>
      <c r="R10" s="7"/>
      <c r="S10" s="6">
        <v>3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0.875</v>
      </c>
      <c r="AD10" s="10">
        <f t="shared" si="6"/>
        <v>0.875</v>
      </c>
      <c r="AE10" s="39">
        <f t="shared" si="7"/>
        <v>0.6546170636627402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472</v>
      </c>
      <c r="D11" s="55" t="s">
        <v>121</v>
      </c>
      <c r="E11" s="57" t="s">
        <v>508</v>
      </c>
      <c r="F11" s="12" t="s">
        <v>557</v>
      </c>
      <c r="G11" s="12">
        <v>2</v>
      </c>
      <c r="H11" s="13">
        <v>25</v>
      </c>
      <c r="I11" s="34">
        <v>80000</v>
      </c>
      <c r="J11" s="14">
        <v>7080</v>
      </c>
      <c r="K11" s="15">
        <f>L11+3674+8520+10258+8998+10932+10642+7414+11454</f>
        <v>78970</v>
      </c>
      <c r="L11" s="15">
        <f>1367*2+2172*2</f>
        <v>7078</v>
      </c>
      <c r="M11" s="16">
        <f t="shared" si="0"/>
        <v>7078</v>
      </c>
      <c r="N11" s="16">
        <v>0</v>
      </c>
      <c r="O11" s="62">
        <f t="shared" si="1"/>
        <v>0</v>
      </c>
      <c r="P11" s="42">
        <f t="shared" si="2"/>
        <v>21</v>
      </c>
      <c r="Q11" s="43">
        <f t="shared" si="3"/>
        <v>3</v>
      </c>
      <c r="R11" s="7"/>
      <c r="S11" s="6"/>
      <c r="T11" s="17"/>
      <c r="U11" s="17"/>
      <c r="V11" s="18"/>
      <c r="W11" s="19">
        <v>3</v>
      </c>
      <c r="X11" s="17"/>
      <c r="Y11" s="20"/>
      <c r="Z11" s="20"/>
      <c r="AA11" s="21"/>
      <c r="AB11" s="8">
        <f t="shared" si="4"/>
        <v>0.99971751412429377</v>
      </c>
      <c r="AC11" s="9">
        <f t="shared" si="5"/>
        <v>0.875</v>
      </c>
      <c r="AD11" s="10">
        <f t="shared" si="6"/>
        <v>0.87475282485875705</v>
      </c>
      <c r="AE11" s="39">
        <f t="shared" si="7"/>
        <v>0.6546170636627402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122</v>
      </c>
      <c r="D12" s="55" t="s">
        <v>786</v>
      </c>
      <c r="E12" s="57" t="s">
        <v>787</v>
      </c>
      <c r="F12" s="12" t="s">
        <v>263</v>
      </c>
      <c r="G12" s="12">
        <v>1</v>
      </c>
      <c r="H12" s="13">
        <v>25</v>
      </c>
      <c r="I12" s="7">
        <v>13000</v>
      </c>
      <c r="J12" s="14">
        <v>5000</v>
      </c>
      <c r="K12" s="15">
        <f>L12+3858</f>
        <v>8858</v>
      </c>
      <c r="L12" s="15">
        <f>2822+2178</f>
        <v>5000</v>
      </c>
      <c r="M12" s="16">
        <f t="shared" si="0"/>
        <v>5000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0.6546170636627402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167</v>
      </c>
      <c r="D13" s="55" t="s">
        <v>128</v>
      </c>
      <c r="E13" s="57" t="s">
        <v>788</v>
      </c>
      <c r="F13" s="12" t="s">
        <v>785</v>
      </c>
      <c r="G13" s="12">
        <v>1</v>
      </c>
      <c r="H13" s="13">
        <v>25</v>
      </c>
      <c r="I13" s="7">
        <v>13000</v>
      </c>
      <c r="J13" s="14">
        <v>4980</v>
      </c>
      <c r="K13" s="15">
        <f>L13+5020</f>
        <v>9995</v>
      </c>
      <c r="L13" s="15">
        <f>2722+2253</f>
        <v>4975</v>
      </c>
      <c r="M13" s="16">
        <f t="shared" si="0"/>
        <v>4975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0.99899598393574296</v>
      </c>
      <c r="AC13" s="9">
        <f t="shared" si="5"/>
        <v>1</v>
      </c>
      <c r="AD13" s="10">
        <f t="shared" si="6"/>
        <v>0.99899598393574296</v>
      </c>
      <c r="AE13" s="39">
        <f t="shared" si="7"/>
        <v>0.6546170636627402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128</v>
      </c>
      <c r="E14" s="57" t="s">
        <v>674</v>
      </c>
      <c r="F14" s="33" t="s">
        <v>268</v>
      </c>
      <c r="G14" s="36">
        <v>1</v>
      </c>
      <c r="H14" s="38">
        <v>25</v>
      </c>
      <c r="I14" s="7">
        <v>200</v>
      </c>
      <c r="J14" s="5">
        <v>318</v>
      </c>
      <c r="K14" s="15">
        <f>L14+318</f>
        <v>318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0.6546170636627402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114</v>
      </c>
      <c r="D15" s="55" t="s">
        <v>753</v>
      </c>
      <c r="E15" s="57" t="s">
        <v>203</v>
      </c>
      <c r="F15" s="12">
        <v>8301</v>
      </c>
      <c r="G15" s="12">
        <v>1</v>
      </c>
      <c r="H15" s="13">
        <v>24</v>
      </c>
      <c r="I15" s="34">
        <v>150</v>
      </c>
      <c r="J15" s="14">
        <v>159</v>
      </c>
      <c r="K15" s="15">
        <f>L15+159</f>
        <v>159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0.6546170636627402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472</v>
      </c>
      <c r="D16" s="55" t="s">
        <v>135</v>
      </c>
      <c r="E16" s="56" t="s">
        <v>505</v>
      </c>
      <c r="F16" s="12" t="s">
        <v>529</v>
      </c>
      <c r="G16" s="36">
        <v>2</v>
      </c>
      <c r="H16" s="38">
        <v>25</v>
      </c>
      <c r="I16" s="7">
        <v>80000</v>
      </c>
      <c r="J16" s="14">
        <v>4590</v>
      </c>
      <c r="K16" s="15">
        <f>L16+5764+11522+12610+10598+11958+11682+11716+5732</f>
        <v>86171</v>
      </c>
      <c r="L16" s="15">
        <f>3034+1555</f>
        <v>4589</v>
      </c>
      <c r="M16" s="16">
        <f t="shared" si="0"/>
        <v>4589</v>
      </c>
      <c r="N16" s="16">
        <v>0</v>
      </c>
      <c r="O16" s="62">
        <f t="shared" si="1"/>
        <v>0</v>
      </c>
      <c r="P16" s="42">
        <f t="shared" si="2"/>
        <v>20</v>
      </c>
      <c r="Q16" s="43">
        <f t="shared" si="3"/>
        <v>4</v>
      </c>
      <c r="R16" s="7"/>
      <c r="S16" s="6">
        <v>4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0.99978213507625269</v>
      </c>
      <c r="AC16" s="9">
        <f t="shared" si="5"/>
        <v>0.83333333333333337</v>
      </c>
      <c r="AD16" s="10">
        <f t="shared" si="6"/>
        <v>0.83315177923021055</v>
      </c>
      <c r="AE16" s="39">
        <f t="shared" si="7"/>
        <v>0.6546170636627402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824</v>
      </c>
      <c r="D17" s="55" t="s">
        <v>828</v>
      </c>
      <c r="E17" s="57" t="s">
        <v>844</v>
      </c>
      <c r="F17" s="12" t="s">
        <v>829</v>
      </c>
      <c r="G17" s="12">
        <v>2</v>
      </c>
      <c r="H17" s="13">
        <v>25</v>
      </c>
      <c r="I17" s="34">
        <v>10000</v>
      </c>
      <c r="J17" s="5">
        <v>6970</v>
      </c>
      <c r="K17" s="15">
        <f>L17</f>
        <v>6968</v>
      </c>
      <c r="L17" s="15">
        <f>650*2+2834*2</f>
        <v>6968</v>
      </c>
      <c r="M17" s="16">
        <f t="shared" si="0"/>
        <v>6968</v>
      </c>
      <c r="N17" s="16">
        <v>0</v>
      </c>
      <c r="O17" s="62">
        <f t="shared" si="1"/>
        <v>0</v>
      </c>
      <c r="P17" s="42">
        <f t="shared" si="2"/>
        <v>21</v>
      </c>
      <c r="Q17" s="43">
        <f t="shared" si="3"/>
        <v>3</v>
      </c>
      <c r="R17" s="7"/>
      <c r="S17" s="6"/>
      <c r="T17" s="17">
        <v>3</v>
      </c>
      <c r="U17" s="17"/>
      <c r="V17" s="18"/>
      <c r="W17" s="19"/>
      <c r="X17" s="17"/>
      <c r="Y17" s="20"/>
      <c r="Z17" s="20"/>
      <c r="AA17" s="21"/>
      <c r="AB17" s="8">
        <f t="shared" si="4"/>
        <v>0.99971305595408899</v>
      </c>
      <c r="AC17" s="9">
        <f t="shared" si="5"/>
        <v>0.875</v>
      </c>
      <c r="AD17" s="10">
        <f t="shared" si="6"/>
        <v>0.87474892395982784</v>
      </c>
      <c r="AE17" s="39">
        <f t="shared" si="7"/>
        <v>0.6546170636627402</v>
      </c>
      <c r="AF17" s="94">
        <f t="shared" ref="AF17:AF18" si="9">A17</f>
        <v>12</v>
      </c>
    </row>
    <row r="18" spans="1:32" ht="27" customHeight="1">
      <c r="A18" s="110">
        <v>13</v>
      </c>
      <c r="B18" s="11" t="s">
        <v>57</v>
      </c>
      <c r="C18" s="37" t="s">
        <v>472</v>
      </c>
      <c r="D18" s="55" t="s">
        <v>128</v>
      </c>
      <c r="E18" s="57" t="s">
        <v>510</v>
      </c>
      <c r="F18" s="33" t="s">
        <v>529</v>
      </c>
      <c r="G18" s="36">
        <v>1</v>
      </c>
      <c r="H18" s="38">
        <v>25</v>
      </c>
      <c r="I18" s="7">
        <v>80000</v>
      </c>
      <c r="J18" s="5">
        <v>9660</v>
      </c>
      <c r="K18" s="15">
        <f>L18+3954+5120+6970+9172+10126+10168+6864+10550+10808</f>
        <v>83386</v>
      </c>
      <c r="L18" s="15">
        <f>2727*2+2100*2</f>
        <v>9654</v>
      </c>
      <c r="M18" s="16">
        <f t="shared" si="0"/>
        <v>9654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0.99937888198757763</v>
      </c>
      <c r="AC18" s="9">
        <f t="shared" si="5"/>
        <v>1</v>
      </c>
      <c r="AD18" s="10">
        <f t="shared" si="6"/>
        <v>0.99937888198757763</v>
      </c>
      <c r="AE18" s="39">
        <f t="shared" si="7"/>
        <v>0.6546170636627402</v>
      </c>
      <c r="AF18" s="94">
        <f t="shared" si="9"/>
        <v>13</v>
      </c>
    </row>
    <row r="19" spans="1:32" ht="27" customHeight="1">
      <c r="A19" s="110">
        <v>14</v>
      </c>
      <c r="B19" s="11" t="s">
        <v>57</v>
      </c>
      <c r="C19" s="11" t="s">
        <v>146</v>
      </c>
      <c r="D19" s="55" t="s">
        <v>169</v>
      </c>
      <c r="E19" s="57" t="s">
        <v>168</v>
      </c>
      <c r="F19" s="12" t="s">
        <v>138</v>
      </c>
      <c r="G19" s="12" t="s">
        <v>170</v>
      </c>
      <c r="H19" s="13">
        <v>25</v>
      </c>
      <c r="I19" s="7">
        <v>130000</v>
      </c>
      <c r="J19" s="14">
        <v>3000</v>
      </c>
      <c r="K19" s="15">
        <f>L19+3258+4398+5144+3460+6323+4564+5384+7161+2960+2789+7049+2970+3630+7299+2728+7313+2343</f>
        <v>81722</v>
      </c>
      <c r="L19" s="15">
        <v>2949</v>
      </c>
      <c r="M19" s="16">
        <f t="shared" si="0"/>
        <v>2949</v>
      </c>
      <c r="N19" s="16">
        <v>0</v>
      </c>
      <c r="O19" s="62">
        <f t="shared" si="1"/>
        <v>0</v>
      </c>
      <c r="P19" s="42">
        <f t="shared" si="2"/>
        <v>11</v>
      </c>
      <c r="Q19" s="43">
        <f t="shared" si="3"/>
        <v>13</v>
      </c>
      <c r="R19" s="7"/>
      <c r="S19" s="6">
        <v>13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0.98299999999999998</v>
      </c>
      <c r="AC19" s="9">
        <f t="shared" si="5"/>
        <v>0.45833333333333331</v>
      </c>
      <c r="AD19" s="10">
        <f t="shared" si="6"/>
        <v>0.45054166666666662</v>
      </c>
      <c r="AE19" s="39">
        <f t="shared" si="7"/>
        <v>0.6546170636627402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124</v>
      </c>
      <c r="D20" s="55"/>
      <c r="E20" s="56" t="s">
        <v>240</v>
      </c>
      <c r="F20" s="12" t="s">
        <v>125</v>
      </c>
      <c r="G20" s="12">
        <v>4</v>
      </c>
      <c r="H20" s="38">
        <v>20</v>
      </c>
      <c r="I20" s="7">
        <v>800000</v>
      </c>
      <c r="J20" s="14">
        <v>10000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0.6546170636627402</v>
      </c>
      <c r="AF20" s="94">
        <f t="shared" si="8"/>
        <v>15</v>
      </c>
    </row>
    <row r="21" spans="1:32" ht="31.5" customHeight="1" thickBot="1">
      <c r="A21" s="369" t="s">
        <v>34</v>
      </c>
      <c r="B21" s="370"/>
      <c r="C21" s="370"/>
      <c r="D21" s="370"/>
      <c r="E21" s="370"/>
      <c r="F21" s="370"/>
      <c r="G21" s="370"/>
      <c r="H21" s="371"/>
      <c r="I21" s="25">
        <f t="shared" ref="I21:N21" si="10">SUM(I6:I20)</f>
        <v>1350350</v>
      </c>
      <c r="J21" s="22">
        <f t="shared" si="10"/>
        <v>105517</v>
      </c>
      <c r="K21" s="23">
        <f t="shared" si="10"/>
        <v>645131</v>
      </c>
      <c r="L21" s="24">
        <f t="shared" si="10"/>
        <v>79396</v>
      </c>
      <c r="M21" s="23">
        <f t="shared" si="10"/>
        <v>79396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236</v>
      </c>
      <c r="Q21" s="46">
        <f t="shared" si="11"/>
        <v>124</v>
      </c>
      <c r="R21" s="26">
        <f t="shared" si="11"/>
        <v>0</v>
      </c>
      <c r="S21" s="27">
        <f t="shared" si="11"/>
        <v>44</v>
      </c>
      <c r="T21" s="27">
        <f t="shared" si="11"/>
        <v>5</v>
      </c>
      <c r="U21" s="27">
        <f t="shared" si="11"/>
        <v>0</v>
      </c>
      <c r="V21" s="28">
        <f t="shared" si="11"/>
        <v>0</v>
      </c>
      <c r="W21" s="29">
        <f t="shared" si="11"/>
        <v>75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0.7317737865809073</v>
      </c>
      <c r="AC21" s="4">
        <f>SUM(AC6:AC20)/15</f>
        <v>0.65555555555555556</v>
      </c>
      <c r="AD21" s="4">
        <f>SUM(AD6:AD20)/15</f>
        <v>0.6546170636627402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2" t="s">
        <v>45</v>
      </c>
      <c r="B48" s="372"/>
      <c r="C48" s="372"/>
      <c r="D48" s="372"/>
      <c r="E48" s="37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3" t="s">
        <v>830</v>
      </c>
      <c r="B49" s="374"/>
      <c r="C49" s="374"/>
      <c r="D49" s="374"/>
      <c r="E49" s="374"/>
      <c r="F49" s="374"/>
      <c r="G49" s="374"/>
      <c r="H49" s="374"/>
      <c r="I49" s="374"/>
      <c r="J49" s="374"/>
      <c r="K49" s="374"/>
      <c r="L49" s="374"/>
      <c r="M49" s="375"/>
      <c r="N49" s="376" t="s">
        <v>847</v>
      </c>
      <c r="O49" s="377"/>
      <c r="P49" s="377"/>
      <c r="Q49" s="377"/>
      <c r="R49" s="377"/>
      <c r="S49" s="377"/>
      <c r="T49" s="377"/>
      <c r="U49" s="377"/>
      <c r="V49" s="377"/>
      <c r="W49" s="377"/>
      <c r="X49" s="377"/>
      <c r="Y49" s="377"/>
      <c r="Z49" s="377"/>
      <c r="AA49" s="377"/>
      <c r="AB49" s="377"/>
      <c r="AC49" s="377"/>
      <c r="AD49" s="378"/>
    </row>
    <row r="50" spans="1:32" ht="27" customHeight="1">
      <c r="A50" s="379" t="s">
        <v>2</v>
      </c>
      <c r="B50" s="380"/>
      <c r="C50" s="340" t="s">
        <v>46</v>
      </c>
      <c r="D50" s="340" t="s">
        <v>47</v>
      </c>
      <c r="E50" s="340" t="s">
        <v>108</v>
      </c>
      <c r="F50" s="380" t="s">
        <v>107</v>
      </c>
      <c r="G50" s="380"/>
      <c r="H50" s="380"/>
      <c r="I50" s="380"/>
      <c r="J50" s="380"/>
      <c r="K50" s="380"/>
      <c r="L50" s="380"/>
      <c r="M50" s="381"/>
      <c r="N50" s="73" t="s">
        <v>112</v>
      </c>
      <c r="O50" s="340" t="s">
        <v>46</v>
      </c>
      <c r="P50" s="382" t="s">
        <v>47</v>
      </c>
      <c r="Q50" s="383"/>
      <c r="R50" s="382" t="s">
        <v>38</v>
      </c>
      <c r="S50" s="384"/>
      <c r="T50" s="384"/>
      <c r="U50" s="383"/>
      <c r="V50" s="382" t="s">
        <v>48</v>
      </c>
      <c r="W50" s="384"/>
      <c r="X50" s="384"/>
      <c r="Y50" s="384"/>
      <c r="Z50" s="384"/>
      <c r="AA50" s="384"/>
      <c r="AB50" s="384"/>
      <c r="AC50" s="384"/>
      <c r="AD50" s="385"/>
    </row>
    <row r="51" spans="1:32" ht="27" customHeight="1">
      <c r="A51" s="396" t="s">
        <v>831</v>
      </c>
      <c r="B51" s="397"/>
      <c r="C51" s="339" t="s">
        <v>832</v>
      </c>
      <c r="D51" s="336" t="s">
        <v>825</v>
      </c>
      <c r="E51" s="339" t="s">
        <v>833</v>
      </c>
      <c r="F51" s="398" t="s">
        <v>663</v>
      </c>
      <c r="G51" s="398"/>
      <c r="H51" s="398"/>
      <c r="I51" s="398"/>
      <c r="J51" s="398"/>
      <c r="K51" s="398"/>
      <c r="L51" s="398"/>
      <c r="M51" s="399"/>
      <c r="N51" s="335" t="s">
        <v>849</v>
      </c>
      <c r="O51" s="74" t="s">
        <v>850</v>
      </c>
      <c r="P51" s="402" t="s">
        <v>851</v>
      </c>
      <c r="Q51" s="402"/>
      <c r="R51" s="402" t="s">
        <v>848</v>
      </c>
      <c r="S51" s="402"/>
      <c r="T51" s="402"/>
      <c r="U51" s="402"/>
      <c r="V51" s="398" t="s">
        <v>852</v>
      </c>
      <c r="W51" s="398"/>
      <c r="X51" s="398"/>
      <c r="Y51" s="398"/>
      <c r="Z51" s="398"/>
      <c r="AA51" s="398"/>
      <c r="AB51" s="398"/>
      <c r="AC51" s="398"/>
      <c r="AD51" s="399"/>
    </row>
    <row r="52" spans="1:32" ht="27" customHeight="1">
      <c r="A52" s="396" t="s">
        <v>831</v>
      </c>
      <c r="B52" s="397"/>
      <c r="C52" s="339" t="s">
        <v>141</v>
      </c>
      <c r="D52" s="336" t="s">
        <v>834</v>
      </c>
      <c r="E52" s="339" t="s">
        <v>821</v>
      </c>
      <c r="F52" s="398" t="s">
        <v>835</v>
      </c>
      <c r="G52" s="398"/>
      <c r="H52" s="398"/>
      <c r="I52" s="398"/>
      <c r="J52" s="398"/>
      <c r="K52" s="398"/>
      <c r="L52" s="398"/>
      <c r="M52" s="399"/>
      <c r="N52" s="335" t="s">
        <v>854</v>
      </c>
      <c r="O52" s="74" t="s">
        <v>855</v>
      </c>
      <c r="P52" s="400" t="s">
        <v>856</v>
      </c>
      <c r="Q52" s="401"/>
      <c r="R52" s="402" t="s">
        <v>853</v>
      </c>
      <c r="S52" s="402"/>
      <c r="T52" s="402"/>
      <c r="U52" s="402"/>
      <c r="V52" s="398" t="s">
        <v>852</v>
      </c>
      <c r="W52" s="398"/>
      <c r="X52" s="398"/>
      <c r="Y52" s="398"/>
      <c r="Z52" s="398"/>
      <c r="AA52" s="398"/>
      <c r="AB52" s="398"/>
      <c r="AC52" s="398"/>
      <c r="AD52" s="399"/>
    </row>
    <row r="53" spans="1:32" ht="27" customHeight="1">
      <c r="A53" s="396" t="s">
        <v>837</v>
      </c>
      <c r="B53" s="397"/>
      <c r="C53" s="339" t="s">
        <v>838</v>
      </c>
      <c r="D53" s="336" t="s">
        <v>839</v>
      </c>
      <c r="E53" s="339" t="s">
        <v>841</v>
      </c>
      <c r="F53" s="398" t="s">
        <v>836</v>
      </c>
      <c r="G53" s="398"/>
      <c r="H53" s="398"/>
      <c r="I53" s="398"/>
      <c r="J53" s="398"/>
      <c r="K53" s="398"/>
      <c r="L53" s="398"/>
      <c r="M53" s="399"/>
      <c r="N53" s="335" t="s">
        <v>807</v>
      </c>
      <c r="O53" s="74" t="s">
        <v>808</v>
      </c>
      <c r="P53" s="402" t="s">
        <v>809</v>
      </c>
      <c r="Q53" s="402"/>
      <c r="R53" s="402" t="s">
        <v>806</v>
      </c>
      <c r="S53" s="402"/>
      <c r="T53" s="402"/>
      <c r="U53" s="402"/>
      <c r="V53" s="398" t="s">
        <v>836</v>
      </c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 t="s">
        <v>794</v>
      </c>
      <c r="B54" s="397"/>
      <c r="C54" s="339" t="s">
        <v>131</v>
      </c>
      <c r="D54" s="336" t="s">
        <v>797</v>
      </c>
      <c r="E54" s="339" t="s">
        <v>798</v>
      </c>
      <c r="F54" s="398" t="s">
        <v>836</v>
      </c>
      <c r="G54" s="398"/>
      <c r="H54" s="398"/>
      <c r="I54" s="398"/>
      <c r="J54" s="398"/>
      <c r="K54" s="398"/>
      <c r="L54" s="398"/>
      <c r="M54" s="399"/>
      <c r="N54" s="335" t="s">
        <v>854</v>
      </c>
      <c r="O54" s="74" t="s">
        <v>858</v>
      </c>
      <c r="P54" s="402" t="s">
        <v>859</v>
      </c>
      <c r="Q54" s="402"/>
      <c r="R54" s="402" t="s">
        <v>857</v>
      </c>
      <c r="S54" s="402"/>
      <c r="T54" s="402"/>
      <c r="U54" s="402"/>
      <c r="V54" s="398" t="s">
        <v>852</v>
      </c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 t="s">
        <v>824</v>
      </c>
      <c r="B55" s="397"/>
      <c r="C55" s="339" t="s">
        <v>842</v>
      </c>
      <c r="D55" s="336" t="s">
        <v>843</v>
      </c>
      <c r="E55" s="339" t="s">
        <v>845</v>
      </c>
      <c r="F55" s="398" t="s">
        <v>846</v>
      </c>
      <c r="G55" s="398"/>
      <c r="H55" s="398"/>
      <c r="I55" s="398"/>
      <c r="J55" s="398"/>
      <c r="K55" s="398"/>
      <c r="L55" s="398"/>
      <c r="M55" s="399"/>
      <c r="N55" s="335"/>
      <c r="O55" s="74"/>
      <c r="P55" s="402"/>
      <c r="Q55" s="402"/>
      <c r="R55" s="402"/>
      <c r="S55" s="402"/>
      <c r="T55" s="402"/>
      <c r="U55" s="402"/>
      <c r="V55" s="398"/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/>
      <c r="B56" s="397"/>
      <c r="C56" s="339"/>
      <c r="D56" s="336"/>
      <c r="E56" s="339"/>
      <c r="F56" s="398"/>
      <c r="G56" s="398"/>
      <c r="H56" s="398"/>
      <c r="I56" s="398"/>
      <c r="J56" s="398"/>
      <c r="K56" s="398"/>
      <c r="L56" s="398"/>
      <c r="M56" s="399"/>
      <c r="N56" s="335"/>
      <c r="O56" s="74"/>
      <c r="P56" s="402"/>
      <c r="Q56" s="402"/>
      <c r="R56" s="402"/>
      <c r="S56" s="402"/>
      <c r="T56" s="402"/>
      <c r="U56" s="402"/>
      <c r="V56" s="398"/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/>
      <c r="B57" s="397"/>
      <c r="C57" s="339"/>
      <c r="D57" s="336"/>
      <c r="E57" s="339"/>
      <c r="F57" s="398"/>
      <c r="G57" s="398"/>
      <c r="H57" s="398"/>
      <c r="I57" s="398"/>
      <c r="J57" s="398"/>
      <c r="K57" s="398"/>
      <c r="L57" s="398"/>
      <c r="M57" s="399"/>
      <c r="N57" s="335"/>
      <c r="O57" s="74"/>
      <c r="P57" s="400"/>
      <c r="Q57" s="401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/>
      <c r="B58" s="397"/>
      <c r="C58" s="339"/>
      <c r="D58" s="336"/>
      <c r="E58" s="339"/>
      <c r="F58" s="398"/>
      <c r="G58" s="398"/>
      <c r="H58" s="398"/>
      <c r="I58" s="398"/>
      <c r="J58" s="398"/>
      <c r="K58" s="398"/>
      <c r="L58" s="398"/>
      <c r="M58" s="399"/>
      <c r="N58" s="335"/>
      <c r="O58" s="74"/>
      <c r="P58" s="400"/>
      <c r="Q58" s="401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412"/>
      <c r="B59" s="402"/>
      <c r="C59" s="336"/>
      <c r="D59" s="336"/>
      <c r="E59" s="336"/>
      <c r="F59" s="398"/>
      <c r="G59" s="398"/>
      <c r="H59" s="398"/>
      <c r="I59" s="398"/>
      <c r="J59" s="398"/>
      <c r="K59" s="398"/>
      <c r="L59" s="398"/>
      <c r="M59" s="399"/>
      <c r="N59" s="335"/>
      <c r="O59" s="74"/>
      <c r="P59" s="402"/>
      <c r="Q59" s="402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  <c r="AF59" s="94">
        <f>8*3000</f>
        <v>24000</v>
      </c>
    </row>
    <row r="60" spans="1:32" ht="27" customHeight="1" thickBot="1">
      <c r="A60" s="403"/>
      <c r="B60" s="404"/>
      <c r="C60" s="338"/>
      <c r="D60" s="338"/>
      <c r="E60" s="338"/>
      <c r="F60" s="405"/>
      <c r="G60" s="405"/>
      <c r="H60" s="405"/>
      <c r="I60" s="405"/>
      <c r="J60" s="405"/>
      <c r="K60" s="405"/>
      <c r="L60" s="405"/>
      <c r="M60" s="406"/>
      <c r="N60" s="337"/>
      <c r="O60" s="121"/>
      <c r="P60" s="404"/>
      <c r="Q60" s="404"/>
      <c r="R60" s="404"/>
      <c r="S60" s="404"/>
      <c r="T60" s="404"/>
      <c r="U60" s="404"/>
      <c r="V60" s="405"/>
      <c r="W60" s="405"/>
      <c r="X60" s="405"/>
      <c r="Y60" s="405"/>
      <c r="Z60" s="405"/>
      <c r="AA60" s="405"/>
      <c r="AB60" s="405"/>
      <c r="AC60" s="405"/>
      <c r="AD60" s="406"/>
      <c r="AF60" s="94">
        <f>16*3000</f>
        <v>48000</v>
      </c>
    </row>
    <row r="61" spans="1:32" ht="27.75" thickBot="1">
      <c r="A61" s="407" t="s">
        <v>860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334" t="s">
        <v>2</v>
      </c>
      <c r="D62" s="334" t="s">
        <v>37</v>
      </c>
      <c r="E62" s="334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334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3"/>
      <c r="T62" s="413"/>
      <c r="U62" s="413"/>
      <c r="V62" s="413"/>
      <c r="W62" s="413"/>
      <c r="X62" s="413"/>
      <c r="Y62" s="413"/>
      <c r="Z62" s="413"/>
      <c r="AA62" s="411"/>
      <c r="AB62" s="409" t="s">
        <v>44</v>
      </c>
      <c r="AC62" s="409"/>
      <c r="AD62" s="414"/>
      <c r="AF62" s="94">
        <f>SUM(AF59:AF61)</f>
        <v>96000</v>
      </c>
    </row>
    <row r="63" spans="1:32" ht="25.5" customHeight="1">
      <c r="A63" s="415">
        <v>1</v>
      </c>
      <c r="B63" s="416"/>
      <c r="C63" s="124"/>
      <c r="D63" s="330"/>
      <c r="E63" s="333"/>
      <c r="F63" s="417"/>
      <c r="G63" s="418"/>
      <c r="H63" s="418"/>
      <c r="I63" s="418"/>
      <c r="J63" s="418"/>
      <c r="K63" s="418"/>
      <c r="L63" s="418"/>
      <c r="M63" s="54"/>
      <c r="N63" s="418"/>
      <c r="O63" s="418"/>
      <c r="P63" s="419"/>
      <c r="Q63" s="419"/>
      <c r="R63" s="398"/>
      <c r="S63" s="398"/>
      <c r="T63" s="398"/>
      <c r="U63" s="398"/>
      <c r="V63" s="398"/>
      <c r="W63" s="398"/>
      <c r="X63" s="398"/>
      <c r="Y63" s="398"/>
      <c r="Z63" s="398"/>
      <c r="AA63" s="398"/>
      <c r="AB63" s="418"/>
      <c r="AC63" s="418"/>
      <c r="AD63" s="420"/>
      <c r="AF63" s="53"/>
    </row>
    <row r="64" spans="1:32" ht="25.5" customHeight="1">
      <c r="A64" s="415">
        <v>2</v>
      </c>
      <c r="B64" s="416"/>
      <c r="C64" s="124"/>
      <c r="D64" s="330"/>
      <c r="E64" s="333"/>
      <c r="F64" s="417"/>
      <c r="G64" s="418"/>
      <c r="H64" s="418"/>
      <c r="I64" s="418"/>
      <c r="J64" s="418"/>
      <c r="K64" s="418"/>
      <c r="L64" s="418"/>
      <c r="M64" s="54"/>
      <c r="N64" s="418"/>
      <c r="O64" s="418"/>
      <c r="P64" s="419"/>
      <c r="Q64" s="419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418"/>
      <c r="AC64" s="418"/>
      <c r="AD64" s="420"/>
      <c r="AF64" s="53"/>
    </row>
    <row r="65" spans="1:32" ht="25.5" customHeight="1">
      <c r="A65" s="415">
        <v>3</v>
      </c>
      <c r="B65" s="416"/>
      <c r="C65" s="124"/>
      <c r="D65" s="330"/>
      <c r="E65" s="333"/>
      <c r="F65" s="417"/>
      <c r="G65" s="418"/>
      <c r="H65" s="418"/>
      <c r="I65" s="418"/>
      <c r="J65" s="418"/>
      <c r="K65" s="418"/>
      <c r="L65" s="418"/>
      <c r="M65" s="54"/>
      <c r="N65" s="418"/>
      <c r="O65" s="418"/>
      <c r="P65" s="419"/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4</v>
      </c>
      <c r="B66" s="416"/>
      <c r="C66" s="124"/>
      <c r="D66" s="330"/>
      <c r="E66" s="333"/>
      <c r="F66" s="417"/>
      <c r="G66" s="418"/>
      <c r="H66" s="418"/>
      <c r="I66" s="418"/>
      <c r="J66" s="418"/>
      <c r="K66" s="418"/>
      <c r="L66" s="418"/>
      <c r="M66" s="54"/>
      <c r="N66" s="418"/>
      <c r="O66" s="418"/>
      <c r="P66" s="419"/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5</v>
      </c>
      <c r="B67" s="416"/>
      <c r="C67" s="124"/>
      <c r="D67" s="330"/>
      <c r="E67" s="333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6</v>
      </c>
      <c r="B68" s="416"/>
      <c r="C68" s="124"/>
      <c r="D68" s="330"/>
      <c r="E68" s="333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7</v>
      </c>
      <c r="B69" s="416"/>
      <c r="C69" s="124"/>
      <c r="D69" s="330"/>
      <c r="E69" s="333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8</v>
      </c>
      <c r="B70" s="416"/>
      <c r="C70" s="124"/>
      <c r="D70" s="330"/>
      <c r="E70" s="333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6.25" customHeight="1" thickBot="1">
      <c r="A71" s="421" t="s">
        <v>861</v>
      </c>
      <c r="B71" s="421"/>
      <c r="C71" s="421"/>
      <c r="D71" s="421"/>
      <c r="E71" s="42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2" t="s">
        <v>113</v>
      </c>
      <c r="B72" s="423"/>
      <c r="C72" s="332" t="s">
        <v>2</v>
      </c>
      <c r="D72" s="332" t="s">
        <v>37</v>
      </c>
      <c r="E72" s="332" t="s">
        <v>3</v>
      </c>
      <c r="F72" s="423" t="s">
        <v>38</v>
      </c>
      <c r="G72" s="423"/>
      <c r="H72" s="423"/>
      <c r="I72" s="423"/>
      <c r="J72" s="423"/>
      <c r="K72" s="424" t="s">
        <v>58</v>
      </c>
      <c r="L72" s="425"/>
      <c r="M72" s="425"/>
      <c r="N72" s="425"/>
      <c r="O72" s="425"/>
      <c r="P72" s="425"/>
      <c r="Q72" s="425"/>
      <c r="R72" s="425"/>
      <c r="S72" s="426"/>
      <c r="T72" s="423" t="s">
        <v>49</v>
      </c>
      <c r="U72" s="423"/>
      <c r="V72" s="424" t="s">
        <v>50</v>
      </c>
      <c r="W72" s="426"/>
      <c r="X72" s="425" t="s">
        <v>51</v>
      </c>
      <c r="Y72" s="425"/>
      <c r="Z72" s="425"/>
      <c r="AA72" s="425"/>
      <c r="AB72" s="425"/>
      <c r="AC72" s="425"/>
      <c r="AD72" s="427"/>
      <c r="AF72" s="53"/>
    </row>
    <row r="73" spans="1:32" ht="33.75" customHeight="1">
      <c r="A73" s="436">
        <v>1</v>
      </c>
      <c r="B73" s="437"/>
      <c r="C73" s="331" t="s">
        <v>114</v>
      </c>
      <c r="D73" s="331"/>
      <c r="E73" s="71" t="s">
        <v>119</v>
      </c>
      <c r="F73" s="438" t="s">
        <v>120</v>
      </c>
      <c r="G73" s="439"/>
      <c r="H73" s="439"/>
      <c r="I73" s="439"/>
      <c r="J73" s="440"/>
      <c r="K73" s="441" t="s">
        <v>115</v>
      </c>
      <c r="L73" s="442"/>
      <c r="M73" s="442"/>
      <c r="N73" s="442"/>
      <c r="O73" s="442"/>
      <c r="P73" s="442"/>
      <c r="Q73" s="442"/>
      <c r="R73" s="442"/>
      <c r="S73" s="443"/>
      <c r="T73" s="444">
        <v>42901</v>
      </c>
      <c r="U73" s="445"/>
      <c r="V73" s="446"/>
      <c r="W73" s="446"/>
      <c r="X73" s="447"/>
      <c r="Y73" s="447"/>
      <c r="Z73" s="447"/>
      <c r="AA73" s="447"/>
      <c r="AB73" s="447"/>
      <c r="AC73" s="447"/>
      <c r="AD73" s="448"/>
      <c r="AF73" s="53"/>
    </row>
    <row r="74" spans="1:32" ht="30" customHeight="1">
      <c r="A74" s="428">
        <f>A73+1</f>
        <v>2</v>
      </c>
      <c r="B74" s="429"/>
      <c r="C74" s="330" t="s">
        <v>114</v>
      </c>
      <c r="D74" s="330"/>
      <c r="E74" s="35" t="s">
        <v>116</v>
      </c>
      <c r="F74" s="429" t="s">
        <v>117</v>
      </c>
      <c r="G74" s="429"/>
      <c r="H74" s="429"/>
      <c r="I74" s="429"/>
      <c r="J74" s="429"/>
      <c r="K74" s="430" t="s">
        <v>118</v>
      </c>
      <c r="L74" s="431"/>
      <c r="M74" s="431"/>
      <c r="N74" s="431"/>
      <c r="O74" s="431"/>
      <c r="P74" s="431"/>
      <c r="Q74" s="431"/>
      <c r="R74" s="431"/>
      <c r="S74" s="432"/>
      <c r="T74" s="433">
        <v>42867</v>
      </c>
      <c r="U74" s="433"/>
      <c r="V74" s="433"/>
      <c r="W74" s="433"/>
      <c r="X74" s="434"/>
      <c r="Y74" s="434"/>
      <c r="Z74" s="434"/>
      <c r="AA74" s="434"/>
      <c r="AB74" s="434"/>
      <c r="AC74" s="434"/>
      <c r="AD74" s="435"/>
      <c r="AF74" s="53"/>
    </row>
    <row r="75" spans="1:32" ht="30" customHeight="1">
      <c r="A75" s="428">
        <f t="shared" ref="A75:A81" si="12">A74+1</f>
        <v>3</v>
      </c>
      <c r="B75" s="429"/>
      <c r="C75" s="330"/>
      <c r="D75" s="330"/>
      <c r="E75" s="35"/>
      <c r="F75" s="429"/>
      <c r="G75" s="429"/>
      <c r="H75" s="429"/>
      <c r="I75" s="429"/>
      <c r="J75" s="429"/>
      <c r="K75" s="430"/>
      <c r="L75" s="431"/>
      <c r="M75" s="431"/>
      <c r="N75" s="431"/>
      <c r="O75" s="431"/>
      <c r="P75" s="431"/>
      <c r="Q75" s="431"/>
      <c r="R75" s="431"/>
      <c r="S75" s="432"/>
      <c r="T75" s="433"/>
      <c r="U75" s="433"/>
      <c r="V75" s="433"/>
      <c r="W75" s="433"/>
      <c r="X75" s="434"/>
      <c r="Y75" s="434"/>
      <c r="Z75" s="434"/>
      <c r="AA75" s="434"/>
      <c r="AB75" s="434"/>
      <c r="AC75" s="434"/>
      <c r="AD75" s="435"/>
      <c r="AF75" s="53"/>
    </row>
    <row r="76" spans="1:32" ht="30" customHeight="1">
      <c r="A76" s="428">
        <f t="shared" si="12"/>
        <v>4</v>
      </c>
      <c r="B76" s="429"/>
      <c r="C76" s="330"/>
      <c r="D76" s="330"/>
      <c r="E76" s="35"/>
      <c r="F76" s="429"/>
      <c r="G76" s="429"/>
      <c r="H76" s="429"/>
      <c r="I76" s="429"/>
      <c r="J76" s="429"/>
      <c r="K76" s="430"/>
      <c r="L76" s="431"/>
      <c r="M76" s="431"/>
      <c r="N76" s="431"/>
      <c r="O76" s="431"/>
      <c r="P76" s="431"/>
      <c r="Q76" s="431"/>
      <c r="R76" s="431"/>
      <c r="S76" s="432"/>
      <c r="T76" s="433"/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si="12"/>
        <v>5</v>
      </c>
      <c r="B77" s="429"/>
      <c r="C77" s="330"/>
      <c r="D77" s="330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12"/>
        <v>6</v>
      </c>
      <c r="B78" s="429"/>
      <c r="C78" s="330"/>
      <c r="D78" s="330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12"/>
        <v>7</v>
      </c>
      <c r="B79" s="429"/>
      <c r="C79" s="330"/>
      <c r="D79" s="330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12"/>
        <v>8</v>
      </c>
      <c r="B80" s="429"/>
      <c r="C80" s="330"/>
      <c r="D80" s="330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12"/>
        <v>9</v>
      </c>
      <c r="B81" s="429"/>
      <c r="C81" s="330"/>
      <c r="D81" s="330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6" thickBot="1">
      <c r="A82" s="421" t="s">
        <v>862</v>
      </c>
      <c r="B82" s="421"/>
      <c r="C82" s="421"/>
      <c r="D82" s="421"/>
      <c r="E82" s="42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2" t="s">
        <v>113</v>
      </c>
      <c r="B83" s="423"/>
      <c r="C83" s="449" t="s">
        <v>52</v>
      </c>
      <c r="D83" s="449"/>
      <c r="E83" s="449" t="s">
        <v>53</v>
      </c>
      <c r="F83" s="449"/>
      <c r="G83" s="449"/>
      <c r="H83" s="449"/>
      <c r="I83" s="449"/>
      <c r="J83" s="449"/>
      <c r="K83" s="449" t="s">
        <v>54</v>
      </c>
      <c r="L83" s="449"/>
      <c r="M83" s="449"/>
      <c r="N83" s="449"/>
      <c r="O83" s="449"/>
      <c r="P83" s="449"/>
      <c r="Q83" s="449"/>
      <c r="R83" s="449"/>
      <c r="S83" s="449"/>
      <c r="T83" s="449" t="s">
        <v>55</v>
      </c>
      <c r="U83" s="449"/>
      <c r="V83" s="449" t="s">
        <v>56</v>
      </c>
      <c r="W83" s="449"/>
      <c r="X83" s="449"/>
      <c r="Y83" s="449" t="s">
        <v>51</v>
      </c>
      <c r="Z83" s="449"/>
      <c r="AA83" s="449"/>
      <c r="AB83" s="449"/>
      <c r="AC83" s="449"/>
      <c r="AD83" s="450"/>
      <c r="AF83" s="53"/>
    </row>
    <row r="84" spans="1:32" ht="30.75" customHeight="1">
      <c r="A84" s="436">
        <v>1</v>
      </c>
      <c r="B84" s="437"/>
      <c r="C84" s="451"/>
      <c r="D84" s="451"/>
      <c r="E84" s="451"/>
      <c r="F84" s="451"/>
      <c r="G84" s="451"/>
      <c r="H84" s="451"/>
      <c r="I84" s="451"/>
      <c r="J84" s="451"/>
      <c r="K84" s="451"/>
      <c r="L84" s="451"/>
      <c r="M84" s="451"/>
      <c r="N84" s="451"/>
      <c r="O84" s="451"/>
      <c r="P84" s="451"/>
      <c r="Q84" s="451"/>
      <c r="R84" s="451"/>
      <c r="S84" s="451"/>
      <c r="T84" s="451"/>
      <c r="U84" s="451"/>
      <c r="V84" s="452"/>
      <c r="W84" s="452"/>
      <c r="X84" s="452"/>
      <c r="Y84" s="453"/>
      <c r="Z84" s="453"/>
      <c r="AA84" s="453"/>
      <c r="AB84" s="453"/>
      <c r="AC84" s="453"/>
      <c r="AD84" s="454"/>
      <c r="AF84" s="53"/>
    </row>
    <row r="85" spans="1:32" ht="30.75" customHeight="1">
      <c r="A85" s="428">
        <v>2</v>
      </c>
      <c r="B85" s="429"/>
      <c r="C85" s="462"/>
      <c r="D85" s="462"/>
      <c r="E85" s="462"/>
      <c r="F85" s="462"/>
      <c r="G85" s="462"/>
      <c r="H85" s="462"/>
      <c r="I85" s="462"/>
      <c r="J85" s="462"/>
      <c r="K85" s="462"/>
      <c r="L85" s="462"/>
      <c r="M85" s="462"/>
      <c r="N85" s="462"/>
      <c r="O85" s="462"/>
      <c r="P85" s="462"/>
      <c r="Q85" s="462"/>
      <c r="R85" s="462"/>
      <c r="S85" s="462"/>
      <c r="T85" s="463"/>
      <c r="U85" s="463"/>
      <c r="V85" s="464"/>
      <c r="W85" s="464"/>
      <c r="X85" s="464"/>
      <c r="Y85" s="455"/>
      <c r="Z85" s="455"/>
      <c r="AA85" s="455"/>
      <c r="AB85" s="455"/>
      <c r="AC85" s="455"/>
      <c r="AD85" s="456"/>
      <c r="AF85" s="53"/>
    </row>
    <row r="86" spans="1:32" ht="30.75" customHeight="1" thickBot="1">
      <c r="A86" s="457">
        <v>3</v>
      </c>
      <c r="B86" s="458"/>
      <c r="C86" s="459"/>
      <c r="D86" s="459"/>
      <c r="E86" s="459"/>
      <c r="F86" s="459"/>
      <c r="G86" s="459"/>
      <c r="H86" s="459"/>
      <c r="I86" s="459"/>
      <c r="J86" s="459"/>
      <c r="K86" s="459"/>
      <c r="L86" s="459"/>
      <c r="M86" s="459"/>
      <c r="N86" s="459"/>
      <c r="O86" s="459"/>
      <c r="P86" s="459"/>
      <c r="Q86" s="459"/>
      <c r="R86" s="459"/>
      <c r="S86" s="459"/>
      <c r="T86" s="459"/>
      <c r="U86" s="459"/>
      <c r="V86" s="459"/>
      <c r="W86" s="459"/>
      <c r="X86" s="459"/>
      <c r="Y86" s="460"/>
      <c r="Z86" s="460"/>
      <c r="AA86" s="460"/>
      <c r="AB86" s="460"/>
      <c r="AC86" s="460"/>
      <c r="AD86" s="46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U17" sqref="U1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55" t="s">
        <v>863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6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342" t="s">
        <v>17</v>
      </c>
      <c r="L5" s="342" t="s">
        <v>18</v>
      </c>
      <c r="M5" s="342" t="s">
        <v>19</v>
      </c>
      <c r="N5" s="34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6" ht="27" customHeight="1">
      <c r="A6" s="108">
        <v>1</v>
      </c>
      <c r="B6" s="11" t="s">
        <v>57</v>
      </c>
      <c r="C6" s="37" t="s">
        <v>472</v>
      </c>
      <c r="D6" s="55" t="s">
        <v>864</v>
      </c>
      <c r="E6" s="57" t="s">
        <v>865</v>
      </c>
      <c r="F6" s="33" t="s">
        <v>866</v>
      </c>
      <c r="G6" s="36">
        <v>4</v>
      </c>
      <c r="H6" s="38">
        <v>25</v>
      </c>
      <c r="I6" s="7">
        <v>3000</v>
      </c>
      <c r="J6" s="5">
        <v>4520</v>
      </c>
      <c r="K6" s="15">
        <f>L6</f>
        <v>4512</v>
      </c>
      <c r="L6" s="15">
        <f>1128*4</f>
        <v>4512</v>
      </c>
      <c r="M6" s="16">
        <f t="shared" ref="M6:M21" si="0">L6-N6</f>
        <v>4512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6</v>
      </c>
      <c r="Q6" s="43">
        <f t="shared" ref="Q6:Q21" si="3">SUM(R6:AA6)</f>
        <v>18</v>
      </c>
      <c r="R6" s="7"/>
      <c r="S6" s="6"/>
      <c r="T6" s="17"/>
      <c r="U6" s="17"/>
      <c r="V6" s="18"/>
      <c r="W6" s="19">
        <v>18</v>
      </c>
      <c r="X6" s="17"/>
      <c r="Y6" s="20"/>
      <c r="Z6" s="20"/>
      <c r="AA6" s="21"/>
      <c r="AB6" s="8">
        <f t="shared" ref="AB6:AB21" si="4">IF(J6=0,"0",(L6/J6))</f>
        <v>0.99823008849557526</v>
      </c>
      <c r="AC6" s="9">
        <f t="shared" ref="AC6:AC21" si="5">IF(P6=0,"0",(P6/24))</f>
        <v>0.25</v>
      </c>
      <c r="AD6" s="10">
        <f t="shared" ref="AD6:AD21" si="6">AC6*AB6*(1-O6)</f>
        <v>0.24955752212389382</v>
      </c>
      <c r="AE6" s="39">
        <f t="shared" ref="AE6:AE21" si="7">$AD$22</f>
        <v>0.59685490797461083</v>
      </c>
      <c r="AF6" s="94">
        <f t="shared" ref="AF6:AF21" si="8">A6</f>
        <v>1</v>
      </c>
    </row>
    <row r="7" spans="1:36" ht="27" customHeight="1">
      <c r="A7" s="108">
        <v>2</v>
      </c>
      <c r="B7" s="11" t="s">
        <v>57</v>
      </c>
      <c r="C7" s="37" t="s">
        <v>123</v>
      </c>
      <c r="D7" s="55" t="s">
        <v>730</v>
      </c>
      <c r="E7" s="57" t="s">
        <v>821</v>
      </c>
      <c r="F7" s="33" t="s">
        <v>523</v>
      </c>
      <c r="G7" s="12" t="s">
        <v>273</v>
      </c>
      <c r="H7" s="13">
        <v>25</v>
      </c>
      <c r="I7" s="34">
        <v>6000</v>
      </c>
      <c r="J7" s="5">
        <v>3800</v>
      </c>
      <c r="K7" s="15">
        <f>L7</f>
        <v>3799</v>
      </c>
      <c r="L7" s="15">
        <f>2362+1437</f>
        <v>3799</v>
      </c>
      <c r="M7" s="16">
        <f t="shared" si="0"/>
        <v>3799</v>
      </c>
      <c r="N7" s="16">
        <v>0</v>
      </c>
      <c r="O7" s="62">
        <f t="shared" si="1"/>
        <v>0</v>
      </c>
      <c r="P7" s="42">
        <f t="shared" si="2"/>
        <v>19</v>
      </c>
      <c r="Q7" s="43">
        <f t="shared" si="3"/>
        <v>5</v>
      </c>
      <c r="R7" s="7"/>
      <c r="S7" s="6">
        <v>5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0.99973684210526315</v>
      </c>
      <c r="AC7" s="9">
        <f t="shared" si="5"/>
        <v>0.79166666666666663</v>
      </c>
      <c r="AD7" s="10">
        <f t="shared" si="6"/>
        <v>0.79145833333333326</v>
      </c>
      <c r="AE7" s="39">
        <f t="shared" si="7"/>
        <v>0.59685490797461083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123</v>
      </c>
      <c r="D8" s="55" t="s">
        <v>812</v>
      </c>
      <c r="E8" s="57" t="s">
        <v>811</v>
      </c>
      <c r="F8" s="33" t="s">
        <v>523</v>
      </c>
      <c r="G8" s="12">
        <v>2</v>
      </c>
      <c r="H8" s="13">
        <v>25</v>
      </c>
      <c r="I8" s="34">
        <v>11000</v>
      </c>
      <c r="J8" s="5">
        <v>8570</v>
      </c>
      <c r="K8" s="15">
        <f>L8+8570</f>
        <v>8570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0.59685490797461083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122</v>
      </c>
      <c r="D9" s="55" t="s">
        <v>135</v>
      </c>
      <c r="E9" s="57" t="s">
        <v>773</v>
      </c>
      <c r="F9" s="33" t="s">
        <v>750</v>
      </c>
      <c r="G9" s="36">
        <v>1</v>
      </c>
      <c r="H9" s="38">
        <v>25</v>
      </c>
      <c r="I9" s="7">
        <v>14000</v>
      </c>
      <c r="J9" s="5">
        <v>5851</v>
      </c>
      <c r="K9" s="15">
        <f>L9+5230+5091</f>
        <v>16172</v>
      </c>
      <c r="L9" s="15">
        <f>3006+2845</f>
        <v>5851</v>
      </c>
      <c r="M9" s="16">
        <f t="shared" si="0"/>
        <v>5851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1</v>
      </c>
      <c r="AD9" s="10">
        <f t="shared" si="6"/>
        <v>1</v>
      </c>
      <c r="AE9" s="39">
        <f t="shared" si="7"/>
        <v>0.59685490797461083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146</v>
      </c>
      <c r="D10" s="55" t="s">
        <v>348</v>
      </c>
      <c r="E10" s="57" t="s">
        <v>349</v>
      </c>
      <c r="F10" s="12" t="s">
        <v>138</v>
      </c>
      <c r="G10" s="12">
        <v>2</v>
      </c>
      <c r="H10" s="13">
        <v>20</v>
      </c>
      <c r="I10" s="34">
        <v>100000</v>
      </c>
      <c r="J10" s="14">
        <v>19910</v>
      </c>
      <c r="K10" s="15">
        <f>L10+24784+20920</f>
        <v>65610</v>
      </c>
      <c r="L10" s="15">
        <f>5373*2+4580*2</f>
        <v>19906</v>
      </c>
      <c r="M10" s="16">
        <f t="shared" si="0"/>
        <v>19906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0.99979909593169258</v>
      </c>
      <c r="AC10" s="9">
        <f t="shared" si="5"/>
        <v>1</v>
      </c>
      <c r="AD10" s="10">
        <f t="shared" si="6"/>
        <v>0.99979909593169258</v>
      </c>
      <c r="AE10" s="39">
        <f t="shared" si="7"/>
        <v>0.59685490797461083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472</v>
      </c>
      <c r="D11" s="55" t="s">
        <v>121</v>
      </c>
      <c r="E11" s="57" t="s">
        <v>867</v>
      </c>
      <c r="F11" s="12" t="s">
        <v>475</v>
      </c>
      <c r="G11" s="12">
        <v>1</v>
      </c>
      <c r="H11" s="13">
        <v>25</v>
      </c>
      <c r="I11" s="34">
        <v>10000</v>
      </c>
      <c r="J11" s="14">
        <v>4350</v>
      </c>
      <c r="K11" s="15">
        <f>L11</f>
        <v>4349</v>
      </c>
      <c r="L11" s="15">
        <f>1578+2771</f>
        <v>4349</v>
      </c>
      <c r="M11" s="16">
        <f t="shared" si="0"/>
        <v>4349</v>
      </c>
      <c r="N11" s="16">
        <v>0</v>
      </c>
      <c r="O11" s="62">
        <f t="shared" si="1"/>
        <v>0</v>
      </c>
      <c r="P11" s="42">
        <f t="shared" si="2"/>
        <v>21</v>
      </c>
      <c r="Q11" s="43">
        <f t="shared" si="3"/>
        <v>3</v>
      </c>
      <c r="R11" s="7"/>
      <c r="S11" s="6"/>
      <c r="T11" s="17">
        <v>3</v>
      </c>
      <c r="U11" s="17"/>
      <c r="V11" s="18"/>
      <c r="W11" s="19"/>
      <c r="X11" s="17"/>
      <c r="Y11" s="20"/>
      <c r="Z11" s="20"/>
      <c r="AA11" s="21"/>
      <c r="AB11" s="8">
        <f t="shared" si="4"/>
        <v>0.99977011494252876</v>
      </c>
      <c r="AC11" s="9">
        <f t="shared" si="5"/>
        <v>0.875</v>
      </c>
      <c r="AD11" s="10">
        <f t="shared" si="6"/>
        <v>0.87479885057471263</v>
      </c>
      <c r="AE11" s="39">
        <f t="shared" si="7"/>
        <v>0.59685490797461083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122</v>
      </c>
      <c r="D12" s="55" t="s">
        <v>786</v>
      </c>
      <c r="E12" s="57" t="s">
        <v>787</v>
      </c>
      <c r="F12" s="12" t="s">
        <v>263</v>
      </c>
      <c r="G12" s="12">
        <v>1</v>
      </c>
      <c r="H12" s="13">
        <v>25</v>
      </c>
      <c r="I12" s="7">
        <v>13000</v>
      </c>
      <c r="J12" s="14">
        <v>5470</v>
      </c>
      <c r="K12" s="15">
        <f>L12+3858+5000</f>
        <v>14324</v>
      </c>
      <c r="L12" s="15">
        <f>2800+2666</f>
        <v>5466</v>
      </c>
      <c r="M12" s="16">
        <f t="shared" si="0"/>
        <v>5466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0.99926873857404019</v>
      </c>
      <c r="AC12" s="9">
        <f t="shared" si="5"/>
        <v>1</v>
      </c>
      <c r="AD12" s="10">
        <f t="shared" si="6"/>
        <v>0.99926873857404019</v>
      </c>
      <c r="AE12" s="39">
        <f t="shared" si="7"/>
        <v>0.59685490797461083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122</v>
      </c>
      <c r="D13" s="55" t="s">
        <v>128</v>
      </c>
      <c r="E13" s="57" t="s">
        <v>729</v>
      </c>
      <c r="F13" s="12" t="s">
        <v>750</v>
      </c>
      <c r="G13" s="12">
        <v>1</v>
      </c>
      <c r="H13" s="13">
        <v>25</v>
      </c>
      <c r="I13" s="7">
        <v>13000</v>
      </c>
      <c r="J13" s="14">
        <v>5310</v>
      </c>
      <c r="K13" s="15">
        <f>L13+5020+4975</f>
        <v>15305</v>
      </c>
      <c r="L13" s="15">
        <f>2723+2587</f>
        <v>5310</v>
      </c>
      <c r="M13" s="16">
        <f t="shared" si="0"/>
        <v>5310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1</v>
      </c>
      <c r="AD13" s="10">
        <f t="shared" si="6"/>
        <v>1</v>
      </c>
      <c r="AE13" s="39">
        <f t="shared" si="7"/>
        <v>0.59685490797461083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128</v>
      </c>
      <c r="E14" s="57" t="s">
        <v>674</v>
      </c>
      <c r="F14" s="33" t="s">
        <v>255</v>
      </c>
      <c r="G14" s="36">
        <v>1</v>
      </c>
      <c r="H14" s="38">
        <v>25</v>
      </c>
      <c r="I14" s="7">
        <v>200</v>
      </c>
      <c r="J14" s="5">
        <v>318</v>
      </c>
      <c r="K14" s="15">
        <f>L14+318</f>
        <v>318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0.59685490797461083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114</v>
      </c>
      <c r="D15" s="55" t="s">
        <v>164</v>
      </c>
      <c r="E15" s="57" t="s">
        <v>203</v>
      </c>
      <c r="F15" s="12">
        <v>8301</v>
      </c>
      <c r="G15" s="12">
        <v>1</v>
      </c>
      <c r="H15" s="13">
        <v>24</v>
      </c>
      <c r="I15" s="34">
        <v>150</v>
      </c>
      <c r="J15" s="14">
        <v>159</v>
      </c>
      <c r="K15" s="15">
        <f>L15+159</f>
        <v>159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0.59685490797461083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472</v>
      </c>
      <c r="D16" s="55" t="s">
        <v>135</v>
      </c>
      <c r="E16" s="56" t="s">
        <v>505</v>
      </c>
      <c r="F16" s="12" t="s">
        <v>529</v>
      </c>
      <c r="G16" s="36">
        <v>2</v>
      </c>
      <c r="H16" s="38">
        <v>25</v>
      </c>
      <c r="I16" s="7">
        <v>80000</v>
      </c>
      <c r="J16" s="14">
        <v>3480</v>
      </c>
      <c r="K16" s="15">
        <f>L16+5764+11522+12610+10598+11958+11682+11716+5732+4589</f>
        <v>89642</v>
      </c>
      <c r="L16" s="15">
        <f>551+2920</f>
        <v>3471</v>
      </c>
      <c r="M16" s="16">
        <f t="shared" si="0"/>
        <v>3471</v>
      </c>
      <c r="N16" s="16">
        <v>0</v>
      </c>
      <c r="O16" s="62">
        <f t="shared" si="1"/>
        <v>0</v>
      </c>
      <c r="P16" s="42">
        <f t="shared" si="2"/>
        <v>15</v>
      </c>
      <c r="Q16" s="43">
        <f t="shared" si="3"/>
        <v>9</v>
      </c>
      <c r="R16" s="7"/>
      <c r="S16" s="6"/>
      <c r="T16" s="17"/>
      <c r="U16" s="17"/>
      <c r="V16" s="18"/>
      <c r="W16" s="19">
        <v>9</v>
      </c>
      <c r="X16" s="17"/>
      <c r="Y16" s="20"/>
      <c r="Z16" s="20"/>
      <c r="AA16" s="21"/>
      <c r="AB16" s="8">
        <f t="shared" si="4"/>
        <v>0.99741379310344824</v>
      </c>
      <c r="AC16" s="9">
        <f t="shared" si="5"/>
        <v>0.625</v>
      </c>
      <c r="AD16" s="10">
        <f t="shared" si="6"/>
        <v>0.62338362068965514</v>
      </c>
      <c r="AE16" s="39">
        <f t="shared" si="7"/>
        <v>0.59685490797461083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123</v>
      </c>
      <c r="D17" s="55" t="s">
        <v>828</v>
      </c>
      <c r="E17" s="57" t="s">
        <v>813</v>
      </c>
      <c r="F17" s="12" t="s">
        <v>151</v>
      </c>
      <c r="G17" s="12">
        <v>2</v>
      </c>
      <c r="H17" s="13">
        <v>25</v>
      </c>
      <c r="I17" s="34">
        <v>10000</v>
      </c>
      <c r="J17" s="5">
        <v>4630</v>
      </c>
      <c r="K17" s="15">
        <f>L17+6968</f>
        <v>11592</v>
      </c>
      <c r="L17" s="15">
        <f>2312*2</f>
        <v>4624</v>
      </c>
      <c r="M17" s="16">
        <f t="shared" si="0"/>
        <v>4624</v>
      </c>
      <c r="N17" s="16">
        <v>0</v>
      </c>
      <c r="O17" s="62">
        <f t="shared" si="1"/>
        <v>0</v>
      </c>
      <c r="P17" s="42">
        <f t="shared" si="2"/>
        <v>12</v>
      </c>
      <c r="Q17" s="43">
        <f t="shared" si="3"/>
        <v>12</v>
      </c>
      <c r="R17" s="7"/>
      <c r="S17" s="6"/>
      <c r="T17" s="17"/>
      <c r="U17" s="17"/>
      <c r="V17" s="18"/>
      <c r="W17" s="19">
        <v>12</v>
      </c>
      <c r="X17" s="17"/>
      <c r="Y17" s="20"/>
      <c r="Z17" s="20"/>
      <c r="AA17" s="21"/>
      <c r="AB17" s="8">
        <f t="shared" si="4"/>
        <v>0.99870410367170626</v>
      </c>
      <c r="AC17" s="9">
        <f t="shared" si="5"/>
        <v>0.5</v>
      </c>
      <c r="AD17" s="10">
        <f t="shared" si="6"/>
        <v>0.49935205183585313</v>
      </c>
      <c r="AE17" s="39">
        <f t="shared" si="7"/>
        <v>0.59685490797461083</v>
      </c>
      <c r="AF17" s="94">
        <f t="shared" ref="AF17:AF19" si="9">A17</f>
        <v>12</v>
      </c>
    </row>
    <row r="18" spans="1:32" ht="27" customHeight="1">
      <c r="A18" s="110">
        <v>13</v>
      </c>
      <c r="B18" s="11" t="s">
        <v>57</v>
      </c>
      <c r="C18" s="37" t="s">
        <v>472</v>
      </c>
      <c r="D18" s="55" t="s">
        <v>128</v>
      </c>
      <c r="E18" s="57" t="s">
        <v>870</v>
      </c>
      <c r="F18" s="33" t="s">
        <v>871</v>
      </c>
      <c r="G18" s="36">
        <v>4</v>
      </c>
      <c r="H18" s="38">
        <v>25</v>
      </c>
      <c r="I18" s="7">
        <v>1000</v>
      </c>
      <c r="J18" s="5">
        <v>1320</v>
      </c>
      <c r="K18" s="15">
        <f>L18</f>
        <v>1320</v>
      </c>
      <c r="L18" s="15">
        <f>330*4</f>
        <v>1320</v>
      </c>
      <c r="M18" s="16">
        <f t="shared" ref="M18" si="10">L18-N18</f>
        <v>1320</v>
      </c>
      <c r="N18" s="16">
        <v>0</v>
      </c>
      <c r="O18" s="62">
        <f t="shared" ref="O18" si="11">IF(L18=0,"0",N18/L18)</f>
        <v>0</v>
      </c>
      <c r="P18" s="42">
        <f t="shared" ref="P18" si="12">IF(L18=0,"0",(24-Q18))</f>
        <v>7</v>
      </c>
      <c r="Q18" s="43">
        <f t="shared" ref="Q18" si="13">SUM(R18:AA18)</f>
        <v>17</v>
      </c>
      <c r="R18" s="7"/>
      <c r="S18" s="6"/>
      <c r="T18" s="17"/>
      <c r="U18" s="17"/>
      <c r="V18" s="18"/>
      <c r="W18" s="19">
        <v>17</v>
      </c>
      <c r="X18" s="17"/>
      <c r="Y18" s="20"/>
      <c r="Z18" s="20"/>
      <c r="AA18" s="21"/>
      <c r="AB18" s="8">
        <f t="shared" ref="AB18" si="14">IF(J18=0,"0",(L18/J18))</f>
        <v>1</v>
      </c>
      <c r="AC18" s="9">
        <f t="shared" ref="AC18" si="15">IF(P18=0,"0",(P18/24))</f>
        <v>0.29166666666666669</v>
      </c>
      <c r="AD18" s="10">
        <f t="shared" ref="AD18" si="16">AC18*AB18*(1-O18)</f>
        <v>0.29166666666666669</v>
      </c>
      <c r="AE18" s="39">
        <f t="shared" si="7"/>
        <v>0.59685490797461083</v>
      </c>
      <c r="AF18" s="94">
        <f t="shared" ref="AF18" si="17">A18</f>
        <v>13</v>
      </c>
    </row>
    <row r="19" spans="1:32" ht="27" customHeight="1">
      <c r="A19" s="110">
        <v>13</v>
      </c>
      <c r="B19" s="11" t="s">
        <v>57</v>
      </c>
      <c r="C19" s="37" t="s">
        <v>122</v>
      </c>
      <c r="D19" s="55" t="s">
        <v>128</v>
      </c>
      <c r="E19" s="57" t="s">
        <v>868</v>
      </c>
      <c r="F19" s="33" t="s">
        <v>869</v>
      </c>
      <c r="G19" s="36">
        <v>1</v>
      </c>
      <c r="H19" s="38">
        <v>25</v>
      </c>
      <c r="I19" s="7">
        <v>16000</v>
      </c>
      <c r="J19" s="5">
        <v>3240</v>
      </c>
      <c r="K19" s="15">
        <f>L19</f>
        <v>3236</v>
      </c>
      <c r="L19" s="15">
        <f>2752+484</f>
        <v>3236</v>
      </c>
      <c r="M19" s="16">
        <f t="shared" si="0"/>
        <v>3236</v>
      </c>
      <c r="N19" s="16">
        <v>0</v>
      </c>
      <c r="O19" s="62">
        <f t="shared" si="1"/>
        <v>0</v>
      </c>
      <c r="P19" s="42">
        <f t="shared" si="2"/>
        <v>15</v>
      </c>
      <c r="Q19" s="43">
        <f t="shared" si="3"/>
        <v>9</v>
      </c>
      <c r="R19" s="7"/>
      <c r="S19" s="6"/>
      <c r="T19" s="17">
        <v>9</v>
      </c>
      <c r="U19" s="17"/>
      <c r="V19" s="18"/>
      <c r="W19" s="19"/>
      <c r="X19" s="17"/>
      <c r="Y19" s="20"/>
      <c r="Z19" s="20"/>
      <c r="AA19" s="21"/>
      <c r="AB19" s="8">
        <f t="shared" si="4"/>
        <v>0.99876543209876545</v>
      </c>
      <c r="AC19" s="9">
        <f t="shared" si="5"/>
        <v>0.625</v>
      </c>
      <c r="AD19" s="10">
        <f t="shared" si="6"/>
        <v>0.62422839506172845</v>
      </c>
      <c r="AE19" s="39">
        <f t="shared" si="7"/>
        <v>0.59685490797461083</v>
      </c>
      <c r="AF19" s="94">
        <f t="shared" si="9"/>
        <v>13</v>
      </c>
    </row>
    <row r="20" spans="1:32" ht="27" customHeight="1">
      <c r="A20" s="110">
        <v>14</v>
      </c>
      <c r="B20" s="11" t="s">
        <v>57</v>
      </c>
      <c r="C20" s="11" t="s">
        <v>146</v>
      </c>
      <c r="D20" s="55" t="s">
        <v>169</v>
      </c>
      <c r="E20" s="57" t="s">
        <v>168</v>
      </c>
      <c r="F20" s="12" t="s">
        <v>138</v>
      </c>
      <c r="G20" s="12" t="s">
        <v>170</v>
      </c>
      <c r="H20" s="13">
        <v>25</v>
      </c>
      <c r="I20" s="7">
        <v>130000</v>
      </c>
      <c r="J20" s="14">
        <v>7250</v>
      </c>
      <c r="K20" s="15">
        <f>L20+3258+4398+5144+3460+6323+4564+5384+7161+2960+2789+7049+2970+3630+7299+2728+7313+2343+2949</f>
        <v>88967</v>
      </c>
      <c r="L20" s="15">
        <f>3675+3570</f>
        <v>7245</v>
      </c>
      <c r="M20" s="16">
        <f t="shared" si="0"/>
        <v>7245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0.99931034482758618</v>
      </c>
      <c r="AC20" s="9">
        <f t="shared" si="5"/>
        <v>1</v>
      </c>
      <c r="AD20" s="10">
        <f t="shared" si="6"/>
        <v>0.99931034482758618</v>
      </c>
      <c r="AE20" s="39">
        <f t="shared" si="7"/>
        <v>0.59685490797461083</v>
      </c>
      <c r="AF20" s="94">
        <f t="shared" si="8"/>
        <v>14</v>
      </c>
    </row>
    <row r="21" spans="1:32" ht="27" customHeight="1" thickBot="1">
      <c r="A21" s="110">
        <v>15</v>
      </c>
      <c r="B21" s="11" t="s">
        <v>57</v>
      </c>
      <c r="C21" s="11" t="s">
        <v>124</v>
      </c>
      <c r="D21" s="55"/>
      <c r="E21" s="56" t="s">
        <v>240</v>
      </c>
      <c r="F21" s="12" t="s">
        <v>125</v>
      </c>
      <c r="G21" s="12">
        <v>4</v>
      </c>
      <c r="H21" s="38">
        <v>20</v>
      </c>
      <c r="I21" s="7">
        <v>800000</v>
      </c>
      <c r="J21" s="14">
        <v>10000</v>
      </c>
      <c r="K21" s="15">
        <f>L21+29128+42972+45096+45728+43064+5640</f>
        <v>211628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0.59685490797461083</v>
      </c>
      <c r="AF21" s="94">
        <f t="shared" si="8"/>
        <v>15</v>
      </c>
    </row>
    <row r="22" spans="1:32" ht="31.5" customHeight="1" thickBot="1">
      <c r="A22" s="369" t="s">
        <v>34</v>
      </c>
      <c r="B22" s="370"/>
      <c r="C22" s="370"/>
      <c r="D22" s="370"/>
      <c r="E22" s="370"/>
      <c r="F22" s="370"/>
      <c r="G22" s="370"/>
      <c r="H22" s="371"/>
      <c r="I22" s="25">
        <f t="shared" ref="I22:N22" si="18">SUM(I6:I21)</f>
        <v>1207350</v>
      </c>
      <c r="J22" s="22">
        <f t="shared" si="18"/>
        <v>88178</v>
      </c>
      <c r="K22" s="23">
        <f t="shared" si="18"/>
        <v>539503</v>
      </c>
      <c r="L22" s="24">
        <f t="shared" si="18"/>
        <v>69089</v>
      </c>
      <c r="M22" s="23">
        <f t="shared" si="18"/>
        <v>69089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215</v>
      </c>
      <c r="Q22" s="46">
        <f t="shared" si="19"/>
        <v>169</v>
      </c>
      <c r="R22" s="26">
        <f t="shared" si="19"/>
        <v>0</v>
      </c>
      <c r="S22" s="27">
        <f t="shared" si="19"/>
        <v>5</v>
      </c>
      <c r="T22" s="27">
        <f t="shared" si="19"/>
        <v>12</v>
      </c>
      <c r="U22" s="27">
        <f t="shared" si="19"/>
        <v>0</v>
      </c>
      <c r="V22" s="28">
        <f t="shared" si="19"/>
        <v>0</v>
      </c>
      <c r="W22" s="29">
        <f t="shared" si="19"/>
        <v>152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0</v>
      </c>
      <c r="AB22" s="31">
        <f>SUM(AB6:AB21)/15</f>
        <v>0.79939990358337387</v>
      </c>
      <c r="AC22" s="4">
        <f>SUM(AC6:AC21)/15</f>
        <v>0.5972222222222221</v>
      </c>
      <c r="AD22" s="4">
        <f>SUM(AD6:AD21)/15</f>
        <v>0.59685490797461083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72" t="s">
        <v>45</v>
      </c>
      <c r="B49" s="372"/>
      <c r="C49" s="372"/>
      <c r="D49" s="372"/>
      <c r="E49" s="37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73" t="s">
        <v>872</v>
      </c>
      <c r="B50" s="374"/>
      <c r="C50" s="374"/>
      <c r="D50" s="374"/>
      <c r="E50" s="374"/>
      <c r="F50" s="374"/>
      <c r="G50" s="374"/>
      <c r="H50" s="374"/>
      <c r="I50" s="374"/>
      <c r="J50" s="374"/>
      <c r="K50" s="374"/>
      <c r="L50" s="374"/>
      <c r="M50" s="375"/>
      <c r="N50" s="376" t="s">
        <v>881</v>
      </c>
      <c r="O50" s="377"/>
      <c r="P50" s="377"/>
      <c r="Q50" s="377"/>
      <c r="R50" s="377"/>
      <c r="S50" s="377"/>
      <c r="T50" s="377"/>
      <c r="U50" s="377"/>
      <c r="V50" s="377"/>
      <c r="W50" s="377"/>
      <c r="X50" s="377"/>
      <c r="Y50" s="377"/>
      <c r="Z50" s="377"/>
      <c r="AA50" s="377"/>
      <c r="AB50" s="377"/>
      <c r="AC50" s="377"/>
      <c r="AD50" s="378"/>
    </row>
    <row r="51" spans="1:32" ht="27" customHeight="1">
      <c r="A51" s="379" t="s">
        <v>2</v>
      </c>
      <c r="B51" s="380"/>
      <c r="C51" s="343" t="s">
        <v>46</v>
      </c>
      <c r="D51" s="343" t="s">
        <v>47</v>
      </c>
      <c r="E51" s="343" t="s">
        <v>108</v>
      </c>
      <c r="F51" s="380" t="s">
        <v>107</v>
      </c>
      <c r="G51" s="380"/>
      <c r="H51" s="380"/>
      <c r="I51" s="380"/>
      <c r="J51" s="380"/>
      <c r="K51" s="380"/>
      <c r="L51" s="380"/>
      <c r="M51" s="381"/>
      <c r="N51" s="73" t="s">
        <v>112</v>
      </c>
      <c r="O51" s="343" t="s">
        <v>46</v>
      </c>
      <c r="P51" s="382" t="s">
        <v>47</v>
      </c>
      <c r="Q51" s="383"/>
      <c r="R51" s="382" t="s">
        <v>38</v>
      </c>
      <c r="S51" s="384"/>
      <c r="T51" s="384"/>
      <c r="U51" s="383"/>
      <c r="V51" s="382" t="s">
        <v>48</v>
      </c>
      <c r="W51" s="384"/>
      <c r="X51" s="384"/>
      <c r="Y51" s="384"/>
      <c r="Z51" s="384"/>
      <c r="AA51" s="384"/>
      <c r="AB51" s="384"/>
      <c r="AC51" s="384"/>
      <c r="AD51" s="385"/>
    </row>
    <row r="52" spans="1:32" ht="27" customHeight="1">
      <c r="A52" s="396" t="s">
        <v>123</v>
      </c>
      <c r="B52" s="397"/>
      <c r="C52" s="344" t="s">
        <v>141</v>
      </c>
      <c r="D52" s="345" t="s">
        <v>730</v>
      </c>
      <c r="E52" s="344" t="s">
        <v>821</v>
      </c>
      <c r="F52" s="398" t="s">
        <v>873</v>
      </c>
      <c r="G52" s="398"/>
      <c r="H52" s="398"/>
      <c r="I52" s="398"/>
      <c r="J52" s="398"/>
      <c r="K52" s="398"/>
      <c r="L52" s="398"/>
      <c r="M52" s="399"/>
      <c r="N52" s="349" t="s">
        <v>884</v>
      </c>
      <c r="O52" s="74" t="s">
        <v>278</v>
      </c>
      <c r="P52" s="402" t="s">
        <v>876</v>
      </c>
      <c r="Q52" s="402"/>
      <c r="R52" s="402" t="s">
        <v>883</v>
      </c>
      <c r="S52" s="402"/>
      <c r="T52" s="402"/>
      <c r="U52" s="402"/>
      <c r="V52" s="398" t="s">
        <v>877</v>
      </c>
      <c r="W52" s="398"/>
      <c r="X52" s="398"/>
      <c r="Y52" s="398"/>
      <c r="Z52" s="398"/>
      <c r="AA52" s="398"/>
      <c r="AB52" s="398"/>
      <c r="AC52" s="398"/>
      <c r="AD52" s="399"/>
    </row>
    <row r="53" spans="1:32" ht="27" customHeight="1">
      <c r="A53" s="396" t="s">
        <v>874</v>
      </c>
      <c r="B53" s="397"/>
      <c r="C53" s="344" t="s">
        <v>875</v>
      </c>
      <c r="D53" s="345" t="s">
        <v>876</v>
      </c>
      <c r="E53" s="344" t="s">
        <v>882</v>
      </c>
      <c r="F53" s="398" t="s">
        <v>877</v>
      </c>
      <c r="G53" s="398"/>
      <c r="H53" s="398"/>
      <c r="I53" s="398"/>
      <c r="J53" s="398"/>
      <c r="K53" s="398"/>
      <c r="L53" s="398"/>
      <c r="M53" s="399"/>
      <c r="N53" s="349" t="s">
        <v>114</v>
      </c>
      <c r="O53" s="74" t="s">
        <v>886</v>
      </c>
      <c r="P53" s="400" t="s">
        <v>887</v>
      </c>
      <c r="Q53" s="401"/>
      <c r="R53" s="402" t="s">
        <v>885</v>
      </c>
      <c r="S53" s="402"/>
      <c r="T53" s="402"/>
      <c r="U53" s="402"/>
      <c r="V53" s="398" t="s">
        <v>877</v>
      </c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 t="s">
        <v>878</v>
      </c>
      <c r="B54" s="397"/>
      <c r="C54" s="344" t="s">
        <v>875</v>
      </c>
      <c r="D54" s="345" t="s">
        <v>128</v>
      </c>
      <c r="E54" s="344" t="s">
        <v>868</v>
      </c>
      <c r="F54" s="398" t="s">
        <v>877</v>
      </c>
      <c r="G54" s="398"/>
      <c r="H54" s="398"/>
      <c r="I54" s="398"/>
      <c r="J54" s="398"/>
      <c r="K54" s="398"/>
      <c r="L54" s="398"/>
      <c r="M54" s="399"/>
      <c r="N54" s="349"/>
      <c r="O54" s="74"/>
      <c r="P54" s="402"/>
      <c r="Q54" s="402"/>
      <c r="R54" s="402"/>
      <c r="S54" s="402"/>
      <c r="T54" s="402"/>
      <c r="U54" s="402"/>
      <c r="V54" s="398"/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 t="s">
        <v>472</v>
      </c>
      <c r="B55" s="397"/>
      <c r="C55" s="344" t="s">
        <v>386</v>
      </c>
      <c r="D55" s="345" t="s">
        <v>879</v>
      </c>
      <c r="E55" s="344" t="s">
        <v>865</v>
      </c>
      <c r="F55" s="398" t="s">
        <v>877</v>
      </c>
      <c r="G55" s="398"/>
      <c r="H55" s="398"/>
      <c r="I55" s="398"/>
      <c r="J55" s="398"/>
      <c r="K55" s="398"/>
      <c r="L55" s="398"/>
      <c r="M55" s="399"/>
      <c r="N55" s="349"/>
      <c r="O55" s="74"/>
      <c r="P55" s="402"/>
      <c r="Q55" s="402"/>
      <c r="R55" s="402"/>
      <c r="S55" s="402"/>
      <c r="T55" s="402"/>
      <c r="U55" s="402"/>
      <c r="V55" s="398"/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 t="s">
        <v>472</v>
      </c>
      <c r="B56" s="397"/>
      <c r="C56" s="344" t="s">
        <v>192</v>
      </c>
      <c r="D56" s="345" t="s">
        <v>880</v>
      </c>
      <c r="E56" s="344" t="s">
        <v>867</v>
      </c>
      <c r="F56" s="398" t="s">
        <v>877</v>
      </c>
      <c r="G56" s="398"/>
      <c r="H56" s="398"/>
      <c r="I56" s="398"/>
      <c r="J56" s="398"/>
      <c r="K56" s="398"/>
      <c r="L56" s="398"/>
      <c r="M56" s="399"/>
      <c r="N56" s="349"/>
      <c r="O56" s="74"/>
      <c r="P56" s="402"/>
      <c r="Q56" s="402"/>
      <c r="R56" s="402"/>
      <c r="S56" s="402"/>
      <c r="T56" s="402"/>
      <c r="U56" s="402"/>
      <c r="V56" s="398"/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/>
      <c r="B57" s="397"/>
      <c r="C57" s="344"/>
      <c r="D57" s="345"/>
      <c r="E57" s="344"/>
      <c r="F57" s="398"/>
      <c r="G57" s="398"/>
      <c r="H57" s="398"/>
      <c r="I57" s="398"/>
      <c r="J57" s="398"/>
      <c r="K57" s="398"/>
      <c r="L57" s="398"/>
      <c r="M57" s="399"/>
      <c r="N57" s="349"/>
      <c r="O57" s="74"/>
      <c r="P57" s="402"/>
      <c r="Q57" s="402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/>
      <c r="B58" s="397"/>
      <c r="C58" s="344"/>
      <c r="D58" s="345"/>
      <c r="E58" s="344"/>
      <c r="F58" s="398"/>
      <c r="G58" s="398"/>
      <c r="H58" s="398"/>
      <c r="I58" s="398"/>
      <c r="J58" s="398"/>
      <c r="K58" s="398"/>
      <c r="L58" s="398"/>
      <c r="M58" s="399"/>
      <c r="N58" s="349"/>
      <c r="O58" s="74"/>
      <c r="P58" s="400"/>
      <c r="Q58" s="401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396"/>
      <c r="B59" s="397"/>
      <c r="C59" s="344"/>
      <c r="D59" s="345"/>
      <c r="E59" s="344"/>
      <c r="F59" s="398"/>
      <c r="G59" s="398"/>
      <c r="H59" s="398"/>
      <c r="I59" s="398"/>
      <c r="J59" s="398"/>
      <c r="K59" s="398"/>
      <c r="L59" s="398"/>
      <c r="M59" s="399"/>
      <c r="N59" s="349"/>
      <c r="O59" s="74"/>
      <c r="P59" s="400"/>
      <c r="Q59" s="401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</row>
    <row r="60" spans="1:32" ht="27" customHeight="1">
      <c r="A60" s="412"/>
      <c r="B60" s="402"/>
      <c r="C60" s="345"/>
      <c r="D60" s="345"/>
      <c r="E60" s="345"/>
      <c r="F60" s="398"/>
      <c r="G60" s="398"/>
      <c r="H60" s="398"/>
      <c r="I60" s="398"/>
      <c r="J60" s="398"/>
      <c r="K60" s="398"/>
      <c r="L60" s="398"/>
      <c r="M60" s="399"/>
      <c r="N60" s="349"/>
      <c r="O60" s="74"/>
      <c r="P60" s="402"/>
      <c r="Q60" s="402"/>
      <c r="R60" s="402"/>
      <c r="S60" s="402"/>
      <c r="T60" s="402"/>
      <c r="U60" s="402"/>
      <c r="V60" s="398"/>
      <c r="W60" s="398"/>
      <c r="X60" s="398"/>
      <c r="Y60" s="398"/>
      <c r="Z60" s="398"/>
      <c r="AA60" s="398"/>
      <c r="AB60" s="398"/>
      <c r="AC60" s="398"/>
      <c r="AD60" s="399"/>
      <c r="AF60" s="94">
        <f>8*3000</f>
        <v>24000</v>
      </c>
    </row>
    <row r="61" spans="1:32" ht="27" customHeight="1" thickBot="1">
      <c r="A61" s="403"/>
      <c r="B61" s="404"/>
      <c r="C61" s="347"/>
      <c r="D61" s="347"/>
      <c r="E61" s="347"/>
      <c r="F61" s="405"/>
      <c r="G61" s="405"/>
      <c r="H61" s="405"/>
      <c r="I61" s="405"/>
      <c r="J61" s="405"/>
      <c r="K61" s="405"/>
      <c r="L61" s="405"/>
      <c r="M61" s="406"/>
      <c r="N61" s="346"/>
      <c r="O61" s="121"/>
      <c r="P61" s="404"/>
      <c r="Q61" s="404"/>
      <c r="R61" s="404"/>
      <c r="S61" s="404"/>
      <c r="T61" s="404"/>
      <c r="U61" s="404"/>
      <c r="V61" s="405"/>
      <c r="W61" s="405"/>
      <c r="X61" s="405"/>
      <c r="Y61" s="405"/>
      <c r="Z61" s="405"/>
      <c r="AA61" s="405"/>
      <c r="AB61" s="405"/>
      <c r="AC61" s="405"/>
      <c r="AD61" s="406"/>
      <c r="AF61" s="94">
        <f>16*3000</f>
        <v>48000</v>
      </c>
    </row>
    <row r="62" spans="1:32" ht="27.75" thickBot="1">
      <c r="A62" s="407" t="s">
        <v>888</v>
      </c>
      <c r="B62" s="407"/>
      <c r="C62" s="407"/>
      <c r="D62" s="407"/>
      <c r="E62" s="40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08" t="s">
        <v>113</v>
      </c>
      <c r="B63" s="409"/>
      <c r="C63" s="348" t="s">
        <v>2</v>
      </c>
      <c r="D63" s="348" t="s">
        <v>37</v>
      </c>
      <c r="E63" s="348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348" t="s">
        <v>40</v>
      </c>
      <c r="N63" s="409" t="s">
        <v>41</v>
      </c>
      <c r="O63" s="409"/>
      <c r="P63" s="410" t="s">
        <v>42</v>
      </c>
      <c r="Q63" s="411"/>
      <c r="R63" s="410" t="s">
        <v>43</v>
      </c>
      <c r="S63" s="413"/>
      <c r="T63" s="413"/>
      <c r="U63" s="413"/>
      <c r="V63" s="413"/>
      <c r="W63" s="413"/>
      <c r="X63" s="413"/>
      <c r="Y63" s="413"/>
      <c r="Z63" s="413"/>
      <c r="AA63" s="411"/>
      <c r="AB63" s="409" t="s">
        <v>44</v>
      </c>
      <c r="AC63" s="409"/>
      <c r="AD63" s="414"/>
      <c r="AF63" s="94">
        <f>SUM(AF60:AF62)</f>
        <v>96000</v>
      </c>
    </row>
    <row r="64" spans="1:32" ht="25.5" customHeight="1">
      <c r="A64" s="415">
        <v>1</v>
      </c>
      <c r="B64" s="416"/>
      <c r="C64" s="124" t="s">
        <v>878</v>
      </c>
      <c r="D64" s="352"/>
      <c r="E64" s="350" t="s">
        <v>879</v>
      </c>
      <c r="F64" s="417" t="s">
        <v>889</v>
      </c>
      <c r="G64" s="418"/>
      <c r="H64" s="418"/>
      <c r="I64" s="418"/>
      <c r="J64" s="418"/>
      <c r="K64" s="418" t="s">
        <v>890</v>
      </c>
      <c r="L64" s="418"/>
      <c r="M64" s="54" t="s">
        <v>891</v>
      </c>
      <c r="N64" s="418">
        <v>1</v>
      </c>
      <c r="O64" s="418"/>
      <c r="P64" s="419">
        <v>100</v>
      </c>
      <c r="Q64" s="419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418"/>
      <c r="AC64" s="418"/>
      <c r="AD64" s="420"/>
      <c r="AF64" s="53"/>
    </row>
    <row r="65" spans="1:32" ht="25.5" customHeight="1">
      <c r="A65" s="415">
        <v>2</v>
      </c>
      <c r="B65" s="416"/>
      <c r="C65" s="124" t="s">
        <v>122</v>
      </c>
      <c r="D65" s="352"/>
      <c r="E65" s="350" t="s">
        <v>851</v>
      </c>
      <c r="F65" s="417" t="s">
        <v>892</v>
      </c>
      <c r="G65" s="418"/>
      <c r="H65" s="418"/>
      <c r="I65" s="418"/>
      <c r="J65" s="418"/>
      <c r="K65" s="418" t="s">
        <v>890</v>
      </c>
      <c r="L65" s="418"/>
      <c r="M65" s="54" t="s">
        <v>891</v>
      </c>
      <c r="N65" s="418">
        <v>1</v>
      </c>
      <c r="O65" s="418"/>
      <c r="P65" s="419">
        <v>100</v>
      </c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3</v>
      </c>
      <c r="B66" s="416"/>
      <c r="C66" s="124"/>
      <c r="D66" s="352"/>
      <c r="E66" s="350"/>
      <c r="F66" s="417"/>
      <c r="G66" s="418"/>
      <c r="H66" s="418"/>
      <c r="I66" s="418"/>
      <c r="J66" s="418"/>
      <c r="K66" s="418"/>
      <c r="L66" s="418"/>
      <c r="M66" s="54"/>
      <c r="N66" s="418"/>
      <c r="O66" s="418"/>
      <c r="P66" s="419"/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4</v>
      </c>
      <c r="B67" s="416"/>
      <c r="C67" s="124"/>
      <c r="D67" s="352"/>
      <c r="E67" s="350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5</v>
      </c>
      <c r="B68" s="416"/>
      <c r="C68" s="124"/>
      <c r="D68" s="352"/>
      <c r="E68" s="350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6</v>
      </c>
      <c r="B69" s="416"/>
      <c r="C69" s="124"/>
      <c r="D69" s="352"/>
      <c r="E69" s="350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7</v>
      </c>
      <c r="B70" s="416"/>
      <c r="C70" s="124"/>
      <c r="D70" s="352"/>
      <c r="E70" s="350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5.5" customHeight="1">
      <c r="A71" s="415">
        <v>8</v>
      </c>
      <c r="B71" s="416"/>
      <c r="C71" s="124"/>
      <c r="D71" s="352"/>
      <c r="E71" s="350"/>
      <c r="F71" s="417"/>
      <c r="G71" s="418"/>
      <c r="H71" s="418"/>
      <c r="I71" s="418"/>
      <c r="J71" s="418"/>
      <c r="K71" s="418"/>
      <c r="L71" s="418"/>
      <c r="M71" s="54"/>
      <c r="N71" s="418"/>
      <c r="O71" s="418"/>
      <c r="P71" s="419"/>
      <c r="Q71" s="419"/>
      <c r="R71" s="398"/>
      <c r="S71" s="398"/>
      <c r="T71" s="398"/>
      <c r="U71" s="398"/>
      <c r="V71" s="398"/>
      <c r="W71" s="398"/>
      <c r="X71" s="398"/>
      <c r="Y71" s="398"/>
      <c r="Z71" s="398"/>
      <c r="AA71" s="398"/>
      <c r="AB71" s="418"/>
      <c r="AC71" s="418"/>
      <c r="AD71" s="420"/>
      <c r="AF71" s="53"/>
    </row>
    <row r="72" spans="1:32" ht="26.25" customHeight="1" thickBot="1">
      <c r="A72" s="421" t="s">
        <v>893</v>
      </c>
      <c r="B72" s="421"/>
      <c r="C72" s="421"/>
      <c r="D72" s="421"/>
      <c r="E72" s="421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2" t="s">
        <v>113</v>
      </c>
      <c r="B73" s="423"/>
      <c r="C73" s="351" t="s">
        <v>2</v>
      </c>
      <c r="D73" s="351" t="s">
        <v>37</v>
      </c>
      <c r="E73" s="351" t="s">
        <v>3</v>
      </c>
      <c r="F73" s="423" t="s">
        <v>38</v>
      </c>
      <c r="G73" s="423"/>
      <c r="H73" s="423"/>
      <c r="I73" s="423"/>
      <c r="J73" s="423"/>
      <c r="K73" s="424" t="s">
        <v>58</v>
      </c>
      <c r="L73" s="425"/>
      <c r="M73" s="425"/>
      <c r="N73" s="425"/>
      <c r="O73" s="425"/>
      <c r="P73" s="425"/>
      <c r="Q73" s="425"/>
      <c r="R73" s="425"/>
      <c r="S73" s="426"/>
      <c r="T73" s="423" t="s">
        <v>49</v>
      </c>
      <c r="U73" s="423"/>
      <c r="V73" s="424" t="s">
        <v>50</v>
      </c>
      <c r="W73" s="426"/>
      <c r="X73" s="425" t="s">
        <v>51</v>
      </c>
      <c r="Y73" s="425"/>
      <c r="Z73" s="425"/>
      <c r="AA73" s="425"/>
      <c r="AB73" s="425"/>
      <c r="AC73" s="425"/>
      <c r="AD73" s="427"/>
      <c r="AF73" s="53"/>
    </row>
    <row r="74" spans="1:32" ht="33.75" customHeight="1">
      <c r="A74" s="436">
        <v>1</v>
      </c>
      <c r="B74" s="437"/>
      <c r="C74" s="353" t="s">
        <v>114</v>
      </c>
      <c r="D74" s="353"/>
      <c r="E74" s="71" t="s">
        <v>119</v>
      </c>
      <c r="F74" s="438" t="s">
        <v>120</v>
      </c>
      <c r="G74" s="439"/>
      <c r="H74" s="439"/>
      <c r="I74" s="439"/>
      <c r="J74" s="440"/>
      <c r="K74" s="441" t="s">
        <v>115</v>
      </c>
      <c r="L74" s="442"/>
      <c r="M74" s="442"/>
      <c r="N74" s="442"/>
      <c r="O74" s="442"/>
      <c r="P74" s="442"/>
      <c r="Q74" s="442"/>
      <c r="R74" s="442"/>
      <c r="S74" s="443"/>
      <c r="T74" s="444">
        <v>42901</v>
      </c>
      <c r="U74" s="445"/>
      <c r="V74" s="446"/>
      <c r="W74" s="446"/>
      <c r="X74" s="447"/>
      <c r="Y74" s="447"/>
      <c r="Z74" s="447"/>
      <c r="AA74" s="447"/>
      <c r="AB74" s="447"/>
      <c r="AC74" s="447"/>
      <c r="AD74" s="448"/>
      <c r="AF74" s="53"/>
    </row>
    <row r="75" spans="1:32" ht="30" customHeight="1">
      <c r="A75" s="428">
        <f>A74+1</f>
        <v>2</v>
      </c>
      <c r="B75" s="429"/>
      <c r="C75" s="352" t="s">
        <v>114</v>
      </c>
      <c r="D75" s="352"/>
      <c r="E75" s="35" t="s">
        <v>116</v>
      </c>
      <c r="F75" s="429" t="s">
        <v>117</v>
      </c>
      <c r="G75" s="429"/>
      <c r="H75" s="429"/>
      <c r="I75" s="429"/>
      <c r="J75" s="429"/>
      <c r="K75" s="430" t="s">
        <v>118</v>
      </c>
      <c r="L75" s="431"/>
      <c r="M75" s="431"/>
      <c r="N75" s="431"/>
      <c r="O75" s="431"/>
      <c r="P75" s="431"/>
      <c r="Q75" s="431"/>
      <c r="R75" s="431"/>
      <c r="S75" s="432"/>
      <c r="T75" s="433">
        <v>42867</v>
      </c>
      <c r="U75" s="433"/>
      <c r="V75" s="433"/>
      <c r="W75" s="433"/>
      <c r="X75" s="434"/>
      <c r="Y75" s="434"/>
      <c r="Z75" s="434"/>
      <c r="AA75" s="434"/>
      <c r="AB75" s="434"/>
      <c r="AC75" s="434"/>
      <c r="AD75" s="435"/>
      <c r="AF75" s="53"/>
    </row>
    <row r="76" spans="1:32" ht="30" customHeight="1">
      <c r="A76" s="428">
        <f t="shared" ref="A76:A82" si="20">A75+1</f>
        <v>3</v>
      </c>
      <c r="B76" s="429"/>
      <c r="C76" s="352"/>
      <c r="D76" s="352"/>
      <c r="E76" s="35"/>
      <c r="F76" s="429"/>
      <c r="G76" s="429"/>
      <c r="H76" s="429"/>
      <c r="I76" s="429"/>
      <c r="J76" s="429"/>
      <c r="K76" s="430"/>
      <c r="L76" s="431"/>
      <c r="M76" s="431"/>
      <c r="N76" s="431"/>
      <c r="O76" s="431"/>
      <c r="P76" s="431"/>
      <c r="Q76" s="431"/>
      <c r="R76" s="431"/>
      <c r="S76" s="432"/>
      <c r="T76" s="433"/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si="20"/>
        <v>4</v>
      </c>
      <c r="B77" s="429"/>
      <c r="C77" s="352"/>
      <c r="D77" s="352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20"/>
        <v>5</v>
      </c>
      <c r="B78" s="429"/>
      <c r="C78" s="352"/>
      <c r="D78" s="352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20"/>
        <v>6</v>
      </c>
      <c r="B79" s="429"/>
      <c r="C79" s="352"/>
      <c r="D79" s="352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20"/>
        <v>7</v>
      </c>
      <c r="B80" s="429"/>
      <c r="C80" s="352"/>
      <c r="D80" s="352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20"/>
        <v>8</v>
      </c>
      <c r="B81" s="429"/>
      <c r="C81" s="352"/>
      <c r="D81" s="352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0" customHeight="1">
      <c r="A82" s="428">
        <f t="shared" si="20"/>
        <v>9</v>
      </c>
      <c r="B82" s="429"/>
      <c r="C82" s="352"/>
      <c r="D82" s="352"/>
      <c r="E82" s="35"/>
      <c r="F82" s="429"/>
      <c r="G82" s="429"/>
      <c r="H82" s="429"/>
      <c r="I82" s="429"/>
      <c r="J82" s="429"/>
      <c r="K82" s="430"/>
      <c r="L82" s="431"/>
      <c r="M82" s="431"/>
      <c r="N82" s="431"/>
      <c r="O82" s="431"/>
      <c r="P82" s="431"/>
      <c r="Q82" s="431"/>
      <c r="R82" s="431"/>
      <c r="S82" s="432"/>
      <c r="T82" s="433"/>
      <c r="U82" s="433"/>
      <c r="V82" s="433"/>
      <c r="W82" s="433"/>
      <c r="X82" s="434"/>
      <c r="Y82" s="434"/>
      <c r="Z82" s="434"/>
      <c r="AA82" s="434"/>
      <c r="AB82" s="434"/>
      <c r="AC82" s="434"/>
      <c r="AD82" s="435"/>
      <c r="AF82" s="53"/>
    </row>
    <row r="83" spans="1:32" ht="36" thickBot="1">
      <c r="A83" s="421" t="s">
        <v>894</v>
      </c>
      <c r="B83" s="421"/>
      <c r="C83" s="421"/>
      <c r="D83" s="421"/>
      <c r="E83" s="421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22" t="s">
        <v>113</v>
      </c>
      <c r="B84" s="423"/>
      <c r="C84" s="449" t="s">
        <v>52</v>
      </c>
      <c r="D84" s="449"/>
      <c r="E84" s="449" t="s">
        <v>53</v>
      </c>
      <c r="F84" s="449"/>
      <c r="G84" s="449"/>
      <c r="H84" s="449"/>
      <c r="I84" s="449"/>
      <c r="J84" s="449"/>
      <c r="K84" s="449" t="s">
        <v>54</v>
      </c>
      <c r="L84" s="449"/>
      <c r="M84" s="449"/>
      <c r="N84" s="449"/>
      <c r="O84" s="449"/>
      <c r="P84" s="449"/>
      <c r="Q84" s="449"/>
      <c r="R84" s="449"/>
      <c r="S84" s="449"/>
      <c r="T84" s="449" t="s">
        <v>55</v>
      </c>
      <c r="U84" s="449"/>
      <c r="V84" s="449" t="s">
        <v>56</v>
      </c>
      <c r="W84" s="449"/>
      <c r="X84" s="449"/>
      <c r="Y84" s="449" t="s">
        <v>51</v>
      </c>
      <c r="Z84" s="449"/>
      <c r="AA84" s="449"/>
      <c r="AB84" s="449"/>
      <c r="AC84" s="449"/>
      <c r="AD84" s="450"/>
      <c r="AF84" s="53"/>
    </row>
    <row r="85" spans="1:32" ht="30.75" customHeight="1">
      <c r="A85" s="436">
        <v>1</v>
      </c>
      <c r="B85" s="437"/>
      <c r="C85" s="451"/>
      <c r="D85" s="451"/>
      <c r="E85" s="451"/>
      <c r="F85" s="451"/>
      <c r="G85" s="451"/>
      <c r="H85" s="451"/>
      <c r="I85" s="451"/>
      <c r="J85" s="451"/>
      <c r="K85" s="451"/>
      <c r="L85" s="451"/>
      <c r="M85" s="451"/>
      <c r="N85" s="451"/>
      <c r="O85" s="451"/>
      <c r="P85" s="451"/>
      <c r="Q85" s="451"/>
      <c r="R85" s="451"/>
      <c r="S85" s="451"/>
      <c r="T85" s="451"/>
      <c r="U85" s="451"/>
      <c r="V85" s="452"/>
      <c r="W85" s="452"/>
      <c r="X85" s="452"/>
      <c r="Y85" s="453"/>
      <c r="Z85" s="453"/>
      <c r="AA85" s="453"/>
      <c r="AB85" s="453"/>
      <c r="AC85" s="453"/>
      <c r="AD85" s="454"/>
      <c r="AF85" s="53"/>
    </row>
    <row r="86" spans="1:32" ht="30.75" customHeight="1">
      <c r="A86" s="428">
        <v>2</v>
      </c>
      <c r="B86" s="429"/>
      <c r="C86" s="462"/>
      <c r="D86" s="462"/>
      <c r="E86" s="462"/>
      <c r="F86" s="462"/>
      <c r="G86" s="462"/>
      <c r="H86" s="462"/>
      <c r="I86" s="462"/>
      <c r="J86" s="462"/>
      <c r="K86" s="462"/>
      <c r="L86" s="462"/>
      <c r="M86" s="462"/>
      <c r="N86" s="462"/>
      <c r="O86" s="462"/>
      <c r="P86" s="462"/>
      <c r="Q86" s="462"/>
      <c r="R86" s="462"/>
      <c r="S86" s="462"/>
      <c r="T86" s="463"/>
      <c r="U86" s="463"/>
      <c r="V86" s="464"/>
      <c r="W86" s="464"/>
      <c r="X86" s="464"/>
      <c r="Y86" s="455"/>
      <c r="Z86" s="455"/>
      <c r="AA86" s="455"/>
      <c r="AB86" s="455"/>
      <c r="AC86" s="455"/>
      <c r="AD86" s="456"/>
      <c r="AF86" s="53"/>
    </row>
    <row r="87" spans="1:32" ht="30.75" customHeight="1" thickBot="1">
      <c r="A87" s="457">
        <v>3</v>
      </c>
      <c r="B87" s="458"/>
      <c r="C87" s="459"/>
      <c r="D87" s="459"/>
      <c r="E87" s="459"/>
      <c r="F87" s="459"/>
      <c r="G87" s="459"/>
      <c r="H87" s="459"/>
      <c r="I87" s="459"/>
      <c r="J87" s="459"/>
      <c r="K87" s="459"/>
      <c r="L87" s="459"/>
      <c r="M87" s="459"/>
      <c r="N87" s="459"/>
      <c r="O87" s="459"/>
      <c r="P87" s="459"/>
      <c r="Q87" s="459"/>
      <c r="R87" s="459"/>
      <c r="S87" s="459"/>
      <c r="T87" s="459"/>
      <c r="U87" s="459"/>
      <c r="V87" s="459"/>
      <c r="W87" s="459"/>
      <c r="X87" s="459"/>
      <c r="Y87" s="460"/>
      <c r="Z87" s="460"/>
      <c r="AA87" s="460"/>
      <c r="AB87" s="460"/>
      <c r="AC87" s="460"/>
      <c r="AD87" s="461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abSelected="1" zoomScale="72" zoomScaleNormal="72" zoomScaleSheetLayoutView="70" workbookViewId="0">
      <selection activeCell="U11" sqref="U11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355" t="s">
        <v>895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355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356"/>
      <c r="B3" s="356"/>
      <c r="C3" s="356"/>
      <c r="D3" s="356"/>
      <c r="E3" s="356"/>
      <c r="F3" s="356"/>
      <c r="G3" s="3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357" t="s">
        <v>0</v>
      </c>
      <c r="B4" s="359" t="s">
        <v>1</v>
      </c>
      <c r="C4" s="359" t="s">
        <v>2</v>
      </c>
      <c r="D4" s="362" t="s">
        <v>3</v>
      </c>
      <c r="E4" s="364" t="s">
        <v>4</v>
      </c>
      <c r="F4" s="362" t="s">
        <v>5</v>
      </c>
      <c r="G4" s="359" t="s">
        <v>6</v>
      </c>
      <c r="H4" s="365" t="s">
        <v>7</v>
      </c>
      <c r="I4" s="386" t="s">
        <v>8</v>
      </c>
      <c r="J4" s="387"/>
      <c r="K4" s="387"/>
      <c r="L4" s="387"/>
      <c r="M4" s="387"/>
      <c r="N4" s="387"/>
      <c r="O4" s="388"/>
      <c r="P4" s="389" t="s">
        <v>9</v>
      </c>
      <c r="Q4" s="390"/>
      <c r="R4" s="391" t="s">
        <v>10</v>
      </c>
      <c r="S4" s="391"/>
      <c r="T4" s="391"/>
      <c r="U4" s="391"/>
      <c r="V4" s="391"/>
      <c r="W4" s="392" t="s">
        <v>11</v>
      </c>
      <c r="X4" s="391"/>
      <c r="Y4" s="391"/>
      <c r="Z4" s="391"/>
      <c r="AA4" s="393"/>
      <c r="AB4" s="394" t="s">
        <v>12</v>
      </c>
      <c r="AC4" s="367" t="s">
        <v>13</v>
      </c>
      <c r="AD4" s="367" t="s">
        <v>14</v>
      </c>
      <c r="AE4" s="58"/>
    </row>
    <row r="5" spans="1:36" ht="51" customHeight="1" thickBot="1">
      <c r="A5" s="358"/>
      <c r="B5" s="360"/>
      <c r="C5" s="361"/>
      <c r="D5" s="363"/>
      <c r="E5" s="363"/>
      <c r="F5" s="363"/>
      <c r="G5" s="360"/>
      <c r="H5" s="366"/>
      <c r="I5" s="59" t="s">
        <v>15</v>
      </c>
      <c r="J5" s="60" t="s">
        <v>16</v>
      </c>
      <c r="K5" s="342" t="s">
        <v>17</v>
      </c>
      <c r="L5" s="342" t="s">
        <v>18</v>
      </c>
      <c r="M5" s="342" t="s">
        <v>19</v>
      </c>
      <c r="N5" s="34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5"/>
      <c r="AC5" s="368"/>
      <c r="AD5" s="368"/>
      <c r="AE5" s="58"/>
    </row>
    <row r="6" spans="1:36" ht="27" customHeight="1">
      <c r="A6" s="108">
        <v>1</v>
      </c>
      <c r="B6" s="11" t="s">
        <v>57</v>
      </c>
      <c r="C6" s="37" t="s">
        <v>472</v>
      </c>
      <c r="D6" s="55" t="s">
        <v>864</v>
      </c>
      <c r="E6" s="57" t="s">
        <v>865</v>
      </c>
      <c r="F6" s="33" t="s">
        <v>866</v>
      </c>
      <c r="G6" s="36">
        <v>4</v>
      </c>
      <c r="H6" s="38">
        <v>25</v>
      </c>
      <c r="I6" s="7">
        <v>3000</v>
      </c>
      <c r="J6" s="5">
        <v>4520</v>
      </c>
      <c r="K6" s="15">
        <f>L6+4512</f>
        <v>4512</v>
      </c>
      <c r="L6" s="15">
        <v>0</v>
      </c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0.42420202866416129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123</v>
      </c>
      <c r="D7" s="55" t="s">
        <v>730</v>
      </c>
      <c r="E7" s="57" t="s">
        <v>821</v>
      </c>
      <c r="F7" s="33" t="s">
        <v>523</v>
      </c>
      <c r="G7" s="12" t="s">
        <v>273</v>
      </c>
      <c r="H7" s="13">
        <v>25</v>
      </c>
      <c r="I7" s="34">
        <v>6000</v>
      </c>
      <c r="J7" s="5">
        <v>2270</v>
      </c>
      <c r="K7" s="15">
        <f>L7+3799</f>
        <v>6060</v>
      </c>
      <c r="L7" s="15">
        <v>2261</v>
      </c>
      <c r="M7" s="16">
        <f t="shared" si="0"/>
        <v>2261</v>
      </c>
      <c r="N7" s="16">
        <v>0</v>
      </c>
      <c r="O7" s="62">
        <f t="shared" si="1"/>
        <v>0</v>
      </c>
      <c r="P7" s="42">
        <f t="shared" si="2"/>
        <v>12</v>
      </c>
      <c r="Q7" s="43">
        <f t="shared" si="3"/>
        <v>12</v>
      </c>
      <c r="R7" s="7"/>
      <c r="S7" s="6">
        <v>12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0.99603524229074891</v>
      </c>
      <c r="AC7" s="9">
        <f t="shared" si="5"/>
        <v>0.5</v>
      </c>
      <c r="AD7" s="10">
        <f t="shared" si="6"/>
        <v>0.49801762114537446</v>
      </c>
      <c r="AE7" s="39">
        <f t="shared" si="7"/>
        <v>0.42420202866416129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123</v>
      </c>
      <c r="D8" s="55" t="s">
        <v>812</v>
      </c>
      <c r="E8" s="57" t="s">
        <v>811</v>
      </c>
      <c r="F8" s="33" t="s">
        <v>523</v>
      </c>
      <c r="G8" s="12">
        <v>2</v>
      </c>
      <c r="H8" s="13">
        <v>25</v>
      </c>
      <c r="I8" s="34">
        <v>11000</v>
      </c>
      <c r="J8" s="5">
        <v>8570</v>
      </c>
      <c r="K8" s="15">
        <f>L8+8570</f>
        <v>8570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0.42420202866416129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114</v>
      </c>
      <c r="D9" s="55" t="s">
        <v>876</v>
      </c>
      <c r="E9" s="57" t="s">
        <v>896</v>
      </c>
      <c r="F9" s="33" t="s">
        <v>137</v>
      </c>
      <c r="G9" s="36">
        <v>1</v>
      </c>
      <c r="H9" s="38">
        <v>25</v>
      </c>
      <c r="I9" s="7">
        <v>1200</v>
      </c>
      <c r="J9" s="5">
        <v>1363</v>
      </c>
      <c r="K9" s="15">
        <f>L9</f>
        <v>1363</v>
      </c>
      <c r="L9" s="15">
        <f>1363</f>
        <v>1363</v>
      </c>
      <c r="M9" s="16">
        <f t="shared" si="0"/>
        <v>1363</v>
      </c>
      <c r="N9" s="16">
        <v>0</v>
      </c>
      <c r="O9" s="62">
        <f t="shared" si="1"/>
        <v>0</v>
      </c>
      <c r="P9" s="42">
        <f t="shared" si="2"/>
        <v>10</v>
      </c>
      <c r="Q9" s="43">
        <f t="shared" si="3"/>
        <v>14</v>
      </c>
      <c r="R9" s="7"/>
      <c r="S9" s="6"/>
      <c r="T9" s="17"/>
      <c r="U9" s="17"/>
      <c r="V9" s="18"/>
      <c r="W9" s="19">
        <v>14</v>
      </c>
      <c r="X9" s="17"/>
      <c r="Y9" s="20"/>
      <c r="Z9" s="20"/>
      <c r="AA9" s="21"/>
      <c r="AB9" s="8">
        <f t="shared" si="4"/>
        <v>1</v>
      </c>
      <c r="AC9" s="9">
        <f t="shared" si="5"/>
        <v>0.41666666666666669</v>
      </c>
      <c r="AD9" s="10">
        <f t="shared" si="6"/>
        <v>0.41666666666666669</v>
      </c>
      <c r="AE9" s="39">
        <f t="shared" si="7"/>
        <v>0.42420202866416129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146</v>
      </c>
      <c r="D10" s="55" t="s">
        <v>348</v>
      </c>
      <c r="E10" s="57" t="s">
        <v>349</v>
      </c>
      <c r="F10" s="12" t="s">
        <v>138</v>
      </c>
      <c r="G10" s="12">
        <v>2</v>
      </c>
      <c r="H10" s="13">
        <v>20</v>
      </c>
      <c r="I10" s="34">
        <v>100000</v>
      </c>
      <c r="J10" s="14">
        <v>1000</v>
      </c>
      <c r="K10" s="15">
        <f>L10+24784+20920+19906</f>
        <v>66594</v>
      </c>
      <c r="L10" s="15">
        <v>984</v>
      </c>
      <c r="M10" s="16">
        <f t="shared" si="0"/>
        <v>984</v>
      </c>
      <c r="N10" s="16">
        <v>0</v>
      </c>
      <c r="O10" s="62">
        <f t="shared" si="1"/>
        <v>0</v>
      </c>
      <c r="P10" s="42">
        <f t="shared" si="2"/>
        <v>6</v>
      </c>
      <c r="Q10" s="43">
        <f t="shared" si="3"/>
        <v>18</v>
      </c>
      <c r="R10" s="7"/>
      <c r="S10" s="6">
        <v>18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0.98399999999999999</v>
      </c>
      <c r="AC10" s="9">
        <f t="shared" si="5"/>
        <v>0.25</v>
      </c>
      <c r="AD10" s="10">
        <f t="shared" si="6"/>
        <v>0.246</v>
      </c>
      <c r="AE10" s="39">
        <f t="shared" si="7"/>
        <v>0.42420202866416129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472</v>
      </c>
      <c r="D11" s="55" t="s">
        <v>121</v>
      </c>
      <c r="E11" s="57" t="s">
        <v>867</v>
      </c>
      <c r="F11" s="12" t="s">
        <v>475</v>
      </c>
      <c r="G11" s="12">
        <v>1</v>
      </c>
      <c r="H11" s="13">
        <v>25</v>
      </c>
      <c r="I11" s="34">
        <v>10000</v>
      </c>
      <c r="J11" s="14">
        <v>4360</v>
      </c>
      <c r="K11" s="15">
        <f>L11+4349</f>
        <v>8701</v>
      </c>
      <c r="L11" s="15">
        <f>1484+2868</f>
        <v>4352</v>
      </c>
      <c r="M11" s="16">
        <f t="shared" si="0"/>
        <v>4352</v>
      </c>
      <c r="N11" s="16">
        <v>0</v>
      </c>
      <c r="O11" s="62">
        <f t="shared" si="1"/>
        <v>0</v>
      </c>
      <c r="P11" s="42">
        <f t="shared" si="2"/>
        <v>22</v>
      </c>
      <c r="Q11" s="43">
        <f t="shared" si="3"/>
        <v>2</v>
      </c>
      <c r="R11" s="7"/>
      <c r="S11" s="6"/>
      <c r="T11" s="17"/>
      <c r="U11" s="17"/>
      <c r="V11" s="18"/>
      <c r="W11" s="19">
        <v>2</v>
      </c>
      <c r="X11" s="17"/>
      <c r="Y11" s="20"/>
      <c r="Z11" s="20"/>
      <c r="AA11" s="21"/>
      <c r="AB11" s="8">
        <f t="shared" si="4"/>
        <v>0.99816513761467895</v>
      </c>
      <c r="AC11" s="9">
        <f t="shared" si="5"/>
        <v>0.91666666666666663</v>
      </c>
      <c r="AD11" s="10">
        <f t="shared" si="6"/>
        <v>0.91498470948012234</v>
      </c>
      <c r="AE11" s="39">
        <f t="shared" si="7"/>
        <v>0.42420202866416129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122</v>
      </c>
      <c r="D12" s="55" t="s">
        <v>786</v>
      </c>
      <c r="E12" s="57" t="s">
        <v>787</v>
      </c>
      <c r="F12" s="12" t="s">
        <v>263</v>
      </c>
      <c r="G12" s="12">
        <v>1</v>
      </c>
      <c r="H12" s="13">
        <v>25</v>
      </c>
      <c r="I12" s="7">
        <v>13000</v>
      </c>
      <c r="J12" s="14">
        <v>5500</v>
      </c>
      <c r="K12" s="15">
        <f>L12+3858+5000+5466</f>
        <v>19818</v>
      </c>
      <c r="L12" s="15">
        <f>2781+2713</f>
        <v>5494</v>
      </c>
      <c r="M12" s="16">
        <f t="shared" si="0"/>
        <v>5494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0.99890909090909086</v>
      </c>
      <c r="AC12" s="9">
        <f t="shared" si="5"/>
        <v>1</v>
      </c>
      <c r="AD12" s="10">
        <f t="shared" si="6"/>
        <v>0.99890909090909086</v>
      </c>
      <c r="AE12" s="39">
        <f t="shared" si="7"/>
        <v>0.42420202866416129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122</v>
      </c>
      <c r="D13" s="55" t="s">
        <v>128</v>
      </c>
      <c r="E13" s="57" t="s">
        <v>729</v>
      </c>
      <c r="F13" s="12" t="s">
        <v>750</v>
      </c>
      <c r="G13" s="12">
        <v>1</v>
      </c>
      <c r="H13" s="13">
        <v>25</v>
      </c>
      <c r="I13" s="7">
        <v>13000</v>
      </c>
      <c r="J13" s="14">
        <v>4480</v>
      </c>
      <c r="K13" s="15">
        <f>L13+5020+4975+5310</f>
        <v>19782</v>
      </c>
      <c r="L13" s="15">
        <f>1860+2617</f>
        <v>4477</v>
      </c>
      <c r="M13" s="16">
        <f t="shared" si="0"/>
        <v>4477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0.99933035714285712</v>
      </c>
      <c r="AC13" s="9">
        <f t="shared" si="5"/>
        <v>1</v>
      </c>
      <c r="AD13" s="10">
        <f t="shared" si="6"/>
        <v>0.99933035714285712</v>
      </c>
      <c r="AE13" s="39">
        <f t="shared" si="7"/>
        <v>0.42420202866416129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128</v>
      </c>
      <c r="E14" s="57" t="s">
        <v>674</v>
      </c>
      <c r="F14" s="33" t="s">
        <v>255</v>
      </c>
      <c r="G14" s="36">
        <v>1</v>
      </c>
      <c r="H14" s="38">
        <v>25</v>
      </c>
      <c r="I14" s="7">
        <v>200</v>
      </c>
      <c r="J14" s="5">
        <v>318</v>
      </c>
      <c r="K14" s="15">
        <f>L14+318</f>
        <v>318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0.42420202866416129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114</v>
      </c>
      <c r="D15" s="55" t="s">
        <v>164</v>
      </c>
      <c r="E15" s="57" t="s">
        <v>203</v>
      </c>
      <c r="F15" s="12">
        <v>8301</v>
      </c>
      <c r="G15" s="12">
        <v>1</v>
      </c>
      <c r="H15" s="13">
        <v>24</v>
      </c>
      <c r="I15" s="34">
        <v>150</v>
      </c>
      <c r="J15" s="14">
        <v>159</v>
      </c>
      <c r="K15" s="15">
        <f>L15+159</f>
        <v>159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0.42420202866416129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114</v>
      </c>
      <c r="D16" s="55" t="s">
        <v>897</v>
      </c>
      <c r="E16" s="56" t="s">
        <v>898</v>
      </c>
      <c r="F16" s="12" t="s">
        <v>899</v>
      </c>
      <c r="G16" s="36">
        <v>1</v>
      </c>
      <c r="H16" s="38">
        <v>25</v>
      </c>
      <c r="I16" s="7">
        <v>1200</v>
      </c>
      <c r="J16" s="14">
        <v>1440</v>
      </c>
      <c r="K16" s="15">
        <f>L16</f>
        <v>1435</v>
      </c>
      <c r="L16" s="15">
        <f>1435</f>
        <v>1435</v>
      </c>
      <c r="M16" s="16">
        <f t="shared" si="0"/>
        <v>1435</v>
      </c>
      <c r="N16" s="16">
        <v>0</v>
      </c>
      <c r="O16" s="62">
        <f t="shared" si="1"/>
        <v>0</v>
      </c>
      <c r="P16" s="42">
        <f t="shared" si="2"/>
        <v>10</v>
      </c>
      <c r="Q16" s="43">
        <f t="shared" si="3"/>
        <v>14</v>
      </c>
      <c r="R16" s="7"/>
      <c r="S16" s="6"/>
      <c r="T16" s="17"/>
      <c r="U16" s="17"/>
      <c r="V16" s="18"/>
      <c r="W16" s="19">
        <v>14</v>
      </c>
      <c r="X16" s="17"/>
      <c r="Y16" s="20"/>
      <c r="Z16" s="20"/>
      <c r="AA16" s="21"/>
      <c r="AB16" s="8">
        <f t="shared" si="4"/>
        <v>0.99652777777777779</v>
      </c>
      <c r="AC16" s="9">
        <f t="shared" si="5"/>
        <v>0.41666666666666669</v>
      </c>
      <c r="AD16" s="10">
        <f t="shared" si="6"/>
        <v>0.41521990740740744</v>
      </c>
      <c r="AE16" s="39">
        <f t="shared" si="7"/>
        <v>0.42420202866416129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123</v>
      </c>
      <c r="D17" s="55" t="s">
        <v>828</v>
      </c>
      <c r="E17" s="57" t="s">
        <v>813</v>
      </c>
      <c r="F17" s="12" t="s">
        <v>151</v>
      </c>
      <c r="G17" s="12">
        <v>2</v>
      </c>
      <c r="H17" s="13">
        <v>25</v>
      </c>
      <c r="I17" s="34">
        <v>10000</v>
      </c>
      <c r="J17" s="5">
        <v>4630</v>
      </c>
      <c r="K17" s="15">
        <f>L17+6968+4624</f>
        <v>11592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0.42420202866416129</v>
      </c>
      <c r="AF17" s="94">
        <f t="shared" ref="AF17:AF18" si="9">A17</f>
        <v>12</v>
      </c>
    </row>
    <row r="18" spans="1:32" ht="27" customHeight="1">
      <c r="A18" s="110">
        <v>13</v>
      </c>
      <c r="B18" s="11" t="s">
        <v>57</v>
      </c>
      <c r="C18" s="37" t="s">
        <v>122</v>
      </c>
      <c r="D18" s="55" t="s">
        <v>128</v>
      </c>
      <c r="E18" s="57" t="s">
        <v>868</v>
      </c>
      <c r="F18" s="33" t="s">
        <v>869</v>
      </c>
      <c r="G18" s="36">
        <v>1</v>
      </c>
      <c r="H18" s="38">
        <v>25</v>
      </c>
      <c r="I18" s="7">
        <v>16000</v>
      </c>
      <c r="J18" s="5">
        <v>5610</v>
      </c>
      <c r="K18" s="15">
        <f>L18+3236</f>
        <v>8845</v>
      </c>
      <c r="L18" s="15">
        <f>3000+2609</f>
        <v>5609</v>
      </c>
      <c r="M18" s="16">
        <f t="shared" si="0"/>
        <v>5609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0.99982174688057046</v>
      </c>
      <c r="AC18" s="9">
        <f t="shared" si="5"/>
        <v>1</v>
      </c>
      <c r="AD18" s="10">
        <f t="shared" si="6"/>
        <v>0.99982174688057046</v>
      </c>
      <c r="AE18" s="39">
        <f t="shared" si="7"/>
        <v>0.42420202866416129</v>
      </c>
      <c r="AF18" s="94">
        <f t="shared" si="9"/>
        <v>13</v>
      </c>
    </row>
    <row r="19" spans="1:32" ht="27" customHeight="1">
      <c r="A19" s="110">
        <v>14</v>
      </c>
      <c r="B19" s="11" t="s">
        <v>57</v>
      </c>
      <c r="C19" s="11" t="s">
        <v>146</v>
      </c>
      <c r="D19" s="55" t="s">
        <v>169</v>
      </c>
      <c r="E19" s="57" t="s">
        <v>168</v>
      </c>
      <c r="F19" s="12" t="s">
        <v>138</v>
      </c>
      <c r="G19" s="12" t="s">
        <v>170</v>
      </c>
      <c r="H19" s="13">
        <v>25</v>
      </c>
      <c r="I19" s="7">
        <v>130000</v>
      </c>
      <c r="J19" s="14">
        <v>6660</v>
      </c>
      <c r="K19" s="15">
        <f>L19+3258+4398+5144+3460+6323+4564+5384+7161+2960+2789+7049+2970+3630+7299+2728+7313+2343+2949+7245</f>
        <v>95620</v>
      </c>
      <c r="L19" s="15">
        <f>3683+2970</f>
        <v>6653</v>
      </c>
      <c r="M19" s="16">
        <f t="shared" si="0"/>
        <v>6653</v>
      </c>
      <c r="N19" s="16">
        <v>0</v>
      </c>
      <c r="O19" s="62">
        <f t="shared" si="1"/>
        <v>0</v>
      </c>
      <c r="P19" s="42">
        <f t="shared" si="2"/>
        <v>21</v>
      </c>
      <c r="Q19" s="43">
        <f t="shared" si="3"/>
        <v>3</v>
      </c>
      <c r="R19" s="7"/>
      <c r="S19" s="6">
        <v>3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0.99894894894894892</v>
      </c>
      <c r="AC19" s="9">
        <f t="shared" si="5"/>
        <v>0.875</v>
      </c>
      <c r="AD19" s="10">
        <f t="shared" si="6"/>
        <v>0.87408033033033028</v>
      </c>
      <c r="AE19" s="39">
        <f t="shared" si="7"/>
        <v>0.42420202866416129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124</v>
      </c>
      <c r="D20" s="55"/>
      <c r="E20" s="56" t="s">
        <v>240</v>
      </c>
      <c r="F20" s="12" t="s">
        <v>125</v>
      </c>
      <c r="G20" s="12">
        <v>4</v>
      </c>
      <c r="H20" s="38">
        <v>20</v>
      </c>
      <c r="I20" s="7">
        <v>800000</v>
      </c>
      <c r="J20" s="14">
        <v>10000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0.42420202866416129</v>
      </c>
      <c r="AF20" s="94">
        <f t="shared" si="8"/>
        <v>15</v>
      </c>
    </row>
    <row r="21" spans="1:32" ht="31.5" customHeight="1" thickBot="1">
      <c r="A21" s="369" t="s">
        <v>34</v>
      </c>
      <c r="B21" s="370"/>
      <c r="C21" s="370"/>
      <c r="D21" s="370"/>
      <c r="E21" s="370"/>
      <c r="F21" s="370"/>
      <c r="G21" s="370"/>
      <c r="H21" s="371"/>
      <c r="I21" s="25">
        <f t="shared" ref="I21:N21" si="10">SUM(I6:I20)</f>
        <v>1114750</v>
      </c>
      <c r="J21" s="22">
        <f t="shared" si="10"/>
        <v>60880</v>
      </c>
      <c r="K21" s="23">
        <f t="shared" si="10"/>
        <v>464997</v>
      </c>
      <c r="L21" s="24">
        <f t="shared" si="10"/>
        <v>32628</v>
      </c>
      <c r="M21" s="23">
        <f t="shared" si="10"/>
        <v>32628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153</v>
      </c>
      <c r="Q21" s="46">
        <f t="shared" si="11"/>
        <v>207</v>
      </c>
      <c r="R21" s="26">
        <f t="shared" si="11"/>
        <v>0</v>
      </c>
      <c r="S21" s="27">
        <f t="shared" si="11"/>
        <v>33</v>
      </c>
      <c r="T21" s="27">
        <f t="shared" si="11"/>
        <v>0</v>
      </c>
      <c r="U21" s="27">
        <f t="shared" si="11"/>
        <v>0</v>
      </c>
      <c r="V21" s="28">
        <f t="shared" si="11"/>
        <v>0</v>
      </c>
      <c r="W21" s="29">
        <f t="shared" si="11"/>
        <v>174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0.59811588677097816</v>
      </c>
      <c r="AC21" s="4">
        <f>SUM(AC6:AC20)/15</f>
        <v>0.42500000000000004</v>
      </c>
      <c r="AD21" s="4">
        <f>SUM(AD6:AD20)/15</f>
        <v>0.42420202866416129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2" t="s">
        <v>45</v>
      </c>
      <c r="B48" s="372"/>
      <c r="C48" s="372"/>
      <c r="D48" s="372"/>
      <c r="E48" s="37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3" t="s">
        <v>900</v>
      </c>
      <c r="B49" s="374"/>
      <c r="C49" s="374"/>
      <c r="D49" s="374"/>
      <c r="E49" s="374"/>
      <c r="F49" s="374"/>
      <c r="G49" s="374"/>
      <c r="H49" s="374"/>
      <c r="I49" s="374"/>
      <c r="J49" s="374"/>
      <c r="K49" s="374"/>
      <c r="L49" s="374"/>
      <c r="M49" s="375"/>
      <c r="N49" s="376" t="s">
        <v>906</v>
      </c>
      <c r="O49" s="377"/>
      <c r="P49" s="377"/>
      <c r="Q49" s="377"/>
      <c r="R49" s="377"/>
      <c r="S49" s="377"/>
      <c r="T49" s="377"/>
      <c r="U49" s="377"/>
      <c r="V49" s="377"/>
      <c r="W49" s="377"/>
      <c r="X49" s="377"/>
      <c r="Y49" s="377"/>
      <c r="Z49" s="377"/>
      <c r="AA49" s="377"/>
      <c r="AB49" s="377"/>
      <c r="AC49" s="377"/>
      <c r="AD49" s="378"/>
    </row>
    <row r="50" spans="1:32" ht="27" customHeight="1">
      <c r="A50" s="379" t="s">
        <v>2</v>
      </c>
      <c r="B50" s="380"/>
      <c r="C50" s="343" t="s">
        <v>46</v>
      </c>
      <c r="D50" s="343" t="s">
        <v>47</v>
      </c>
      <c r="E50" s="343" t="s">
        <v>108</v>
      </c>
      <c r="F50" s="380" t="s">
        <v>107</v>
      </c>
      <c r="G50" s="380"/>
      <c r="H50" s="380"/>
      <c r="I50" s="380"/>
      <c r="J50" s="380"/>
      <c r="K50" s="380"/>
      <c r="L50" s="380"/>
      <c r="M50" s="381"/>
      <c r="N50" s="73" t="s">
        <v>112</v>
      </c>
      <c r="O50" s="343" t="s">
        <v>46</v>
      </c>
      <c r="P50" s="382" t="s">
        <v>47</v>
      </c>
      <c r="Q50" s="383"/>
      <c r="R50" s="382" t="s">
        <v>38</v>
      </c>
      <c r="S50" s="384"/>
      <c r="T50" s="384"/>
      <c r="U50" s="383"/>
      <c r="V50" s="382" t="s">
        <v>48</v>
      </c>
      <c r="W50" s="384"/>
      <c r="X50" s="384"/>
      <c r="Y50" s="384"/>
      <c r="Z50" s="384"/>
      <c r="AA50" s="384"/>
      <c r="AB50" s="384"/>
      <c r="AC50" s="384"/>
      <c r="AD50" s="385"/>
    </row>
    <row r="51" spans="1:32" ht="27" customHeight="1">
      <c r="A51" s="396" t="s">
        <v>901</v>
      </c>
      <c r="B51" s="397"/>
      <c r="C51" s="344" t="s">
        <v>278</v>
      </c>
      <c r="D51" s="345" t="s">
        <v>128</v>
      </c>
      <c r="E51" s="344" t="s">
        <v>896</v>
      </c>
      <c r="F51" s="398" t="s">
        <v>902</v>
      </c>
      <c r="G51" s="398"/>
      <c r="H51" s="398"/>
      <c r="I51" s="398"/>
      <c r="J51" s="398"/>
      <c r="K51" s="398"/>
      <c r="L51" s="398"/>
      <c r="M51" s="399"/>
      <c r="N51" s="349" t="s">
        <v>884</v>
      </c>
      <c r="O51" s="74" t="s">
        <v>192</v>
      </c>
      <c r="P51" s="402" t="s">
        <v>907</v>
      </c>
      <c r="Q51" s="402"/>
      <c r="R51" s="402" t="s">
        <v>908</v>
      </c>
      <c r="S51" s="402"/>
      <c r="T51" s="402"/>
      <c r="U51" s="402"/>
      <c r="V51" s="398" t="s">
        <v>877</v>
      </c>
      <c r="W51" s="398"/>
      <c r="X51" s="398"/>
      <c r="Y51" s="398"/>
      <c r="Z51" s="398"/>
      <c r="AA51" s="398"/>
      <c r="AB51" s="398"/>
      <c r="AC51" s="398"/>
      <c r="AD51" s="399"/>
    </row>
    <row r="52" spans="1:32" ht="27" customHeight="1">
      <c r="A52" s="396" t="s">
        <v>901</v>
      </c>
      <c r="B52" s="397"/>
      <c r="C52" s="344" t="s">
        <v>228</v>
      </c>
      <c r="D52" s="345" t="s">
        <v>903</v>
      </c>
      <c r="E52" s="344" t="s">
        <v>898</v>
      </c>
      <c r="F52" s="398" t="s">
        <v>877</v>
      </c>
      <c r="G52" s="398"/>
      <c r="H52" s="398"/>
      <c r="I52" s="398"/>
      <c r="J52" s="398"/>
      <c r="K52" s="398"/>
      <c r="L52" s="398"/>
      <c r="M52" s="399"/>
      <c r="N52" s="349" t="s">
        <v>909</v>
      </c>
      <c r="O52" s="74" t="s">
        <v>373</v>
      </c>
      <c r="P52" s="400" t="s">
        <v>910</v>
      </c>
      <c r="Q52" s="401"/>
      <c r="R52" s="402" t="s">
        <v>911</v>
      </c>
      <c r="S52" s="402"/>
      <c r="T52" s="402"/>
      <c r="U52" s="402"/>
      <c r="V52" s="398" t="s">
        <v>873</v>
      </c>
      <c r="W52" s="398"/>
      <c r="X52" s="398"/>
      <c r="Y52" s="398"/>
      <c r="Z52" s="398"/>
      <c r="AA52" s="398"/>
      <c r="AB52" s="398"/>
      <c r="AC52" s="398"/>
      <c r="AD52" s="399"/>
    </row>
    <row r="53" spans="1:32" ht="27" customHeight="1">
      <c r="A53" s="396" t="s">
        <v>146</v>
      </c>
      <c r="B53" s="397"/>
      <c r="C53" s="344" t="s">
        <v>131</v>
      </c>
      <c r="D53" s="345" t="s">
        <v>169</v>
      </c>
      <c r="E53" s="344" t="s">
        <v>168</v>
      </c>
      <c r="F53" s="398" t="s">
        <v>904</v>
      </c>
      <c r="G53" s="398"/>
      <c r="H53" s="398"/>
      <c r="I53" s="398"/>
      <c r="J53" s="398"/>
      <c r="K53" s="398"/>
      <c r="L53" s="398"/>
      <c r="M53" s="399"/>
      <c r="N53" s="349"/>
      <c r="O53" s="74"/>
      <c r="P53" s="402"/>
      <c r="Q53" s="402"/>
      <c r="R53" s="402"/>
      <c r="S53" s="402"/>
      <c r="T53" s="402"/>
      <c r="U53" s="402"/>
      <c r="V53" s="398"/>
      <c r="W53" s="398"/>
      <c r="X53" s="398"/>
      <c r="Y53" s="398"/>
      <c r="Z53" s="398"/>
      <c r="AA53" s="398"/>
      <c r="AB53" s="398"/>
      <c r="AC53" s="398"/>
      <c r="AD53" s="399"/>
    </row>
    <row r="54" spans="1:32" ht="27" customHeight="1">
      <c r="A54" s="396" t="s">
        <v>146</v>
      </c>
      <c r="B54" s="397"/>
      <c r="C54" s="344" t="s">
        <v>373</v>
      </c>
      <c r="D54" s="345" t="s">
        <v>348</v>
      </c>
      <c r="E54" s="344" t="s">
        <v>911</v>
      </c>
      <c r="F54" s="398" t="s">
        <v>905</v>
      </c>
      <c r="G54" s="398"/>
      <c r="H54" s="398"/>
      <c r="I54" s="398"/>
      <c r="J54" s="398"/>
      <c r="K54" s="398"/>
      <c r="L54" s="398"/>
      <c r="M54" s="399"/>
      <c r="N54" s="349"/>
      <c r="O54" s="74"/>
      <c r="P54" s="402"/>
      <c r="Q54" s="402"/>
      <c r="R54" s="402"/>
      <c r="S54" s="402"/>
      <c r="T54" s="402"/>
      <c r="U54" s="402"/>
      <c r="V54" s="398"/>
      <c r="W54" s="398"/>
      <c r="X54" s="398"/>
      <c r="Y54" s="398"/>
      <c r="Z54" s="398"/>
      <c r="AA54" s="398"/>
      <c r="AB54" s="398"/>
      <c r="AC54" s="398"/>
      <c r="AD54" s="399"/>
    </row>
    <row r="55" spans="1:32" ht="27" customHeight="1">
      <c r="A55" s="396"/>
      <c r="B55" s="397"/>
      <c r="C55" s="344"/>
      <c r="D55" s="345"/>
      <c r="E55" s="344"/>
      <c r="F55" s="398"/>
      <c r="G55" s="398"/>
      <c r="H55" s="398"/>
      <c r="I55" s="398"/>
      <c r="J55" s="398"/>
      <c r="K55" s="398"/>
      <c r="L55" s="398"/>
      <c r="M55" s="399"/>
      <c r="N55" s="349"/>
      <c r="O55" s="74"/>
      <c r="P55" s="402"/>
      <c r="Q55" s="402"/>
      <c r="R55" s="402"/>
      <c r="S55" s="402"/>
      <c r="T55" s="402"/>
      <c r="U55" s="402"/>
      <c r="V55" s="398"/>
      <c r="W55" s="398"/>
      <c r="X55" s="398"/>
      <c r="Y55" s="398"/>
      <c r="Z55" s="398"/>
      <c r="AA55" s="398"/>
      <c r="AB55" s="398"/>
      <c r="AC55" s="398"/>
      <c r="AD55" s="399"/>
    </row>
    <row r="56" spans="1:32" ht="27" customHeight="1">
      <c r="A56" s="396"/>
      <c r="B56" s="397"/>
      <c r="C56" s="344"/>
      <c r="D56" s="345"/>
      <c r="E56" s="344"/>
      <c r="F56" s="398"/>
      <c r="G56" s="398"/>
      <c r="H56" s="398"/>
      <c r="I56" s="398"/>
      <c r="J56" s="398"/>
      <c r="K56" s="398"/>
      <c r="L56" s="398"/>
      <c r="M56" s="399"/>
      <c r="N56" s="349"/>
      <c r="O56" s="74"/>
      <c r="P56" s="402"/>
      <c r="Q56" s="402"/>
      <c r="R56" s="402"/>
      <c r="S56" s="402"/>
      <c r="T56" s="402"/>
      <c r="U56" s="402"/>
      <c r="V56" s="398"/>
      <c r="W56" s="398"/>
      <c r="X56" s="398"/>
      <c r="Y56" s="398"/>
      <c r="Z56" s="398"/>
      <c r="AA56" s="398"/>
      <c r="AB56" s="398"/>
      <c r="AC56" s="398"/>
      <c r="AD56" s="399"/>
    </row>
    <row r="57" spans="1:32" ht="27" customHeight="1">
      <c r="A57" s="396"/>
      <c r="B57" s="397"/>
      <c r="C57" s="344"/>
      <c r="D57" s="345"/>
      <c r="E57" s="344"/>
      <c r="F57" s="398"/>
      <c r="G57" s="398"/>
      <c r="H57" s="398"/>
      <c r="I57" s="398"/>
      <c r="J57" s="398"/>
      <c r="K57" s="398"/>
      <c r="L57" s="398"/>
      <c r="M57" s="399"/>
      <c r="N57" s="349"/>
      <c r="O57" s="74"/>
      <c r="P57" s="400"/>
      <c r="Q57" s="401"/>
      <c r="R57" s="402"/>
      <c r="S57" s="402"/>
      <c r="T57" s="402"/>
      <c r="U57" s="402"/>
      <c r="V57" s="398"/>
      <c r="W57" s="398"/>
      <c r="X57" s="398"/>
      <c r="Y57" s="398"/>
      <c r="Z57" s="398"/>
      <c r="AA57" s="398"/>
      <c r="AB57" s="398"/>
      <c r="AC57" s="398"/>
      <c r="AD57" s="399"/>
    </row>
    <row r="58" spans="1:32" ht="27" customHeight="1">
      <c r="A58" s="396"/>
      <c r="B58" s="397"/>
      <c r="C58" s="344"/>
      <c r="D58" s="345"/>
      <c r="E58" s="344"/>
      <c r="F58" s="398"/>
      <c r="G58" s="398"/>
      <c r="H58" s="398"/>
      <c r="I58" s="398"/>
      <c r="J58" s="398"/>
      <c r="K58" s="398"/>
      <c r="L58" s="398"/>
      <c r="M58" s="399"/>
      <c r="N58" s="349"/>
      <c r="O58" s="74"/>
      <c r="P58" s="400"/>
      <c r="Q58" s="401"/>
      <c r="R58" s="402"/>
      <c r="S58" s="402"/>
      <c r="T58" s="402"/>
      <c r="U58" s="402"/>
      <c r="V58" s="398"/>
      <c r="W58" s="398"/>
      <c r="X58" s="398"/>
      <c r="Y58" s="398"/>
      <c r="Z58" s="398"/>
      <c r="AA58" s="398"/>
      <c r="AB58" s="398"/>
      <c r="AC58" s="398"/>
      <c r="AD58" s="399"/>
    </row>
    <row r="59" spans="1:32" ht="27" customHeight="1">
      <c r="A59" s="412"/>
      <c r="B59" s="402"/>
      <c r="C59" s="345"/>
      <c r="D59" s="345"/>
      <c r="E59" s="345"/>
      <c r="F59" s="398"/>
      <c r="G59" s="398"/>
      <c r="H59" s="398"/>
      <c r="I59" s="398"/>
      <c r="J59" s="398"/>
      <c r="K59" s="398"/>
      <c r="L59" s="398"/>
      <c r="M59" s="399"/>
      <c r="N59" s="349"/>
      <c r="O59" s="74"/>
      <c r="P59" s="402"/>
      <c r="Q59" s="402"/>
      <c r="R59" s="402"/>
      <c r="S59" s="402"/>
      <c r="T59" s="402"/>
      <c r="U59" s="402"/>
      <c r="V59" s="398"/>
      <c r="W59" s="398"/>
      <c r="X59" s="398"/>
      <c r="Y59" s="398"/>
      <c r="Z59" s="398"/>
      <c r="AA59" s="398"/>
      <c r="AB59" s="398"/>
      <c r="AC59" s="398"/>
      <c r="AD59" s="399"/>
      <c r="AF59" s="94">
        <f>8*3000</f>
        <v>24000</v>
      </c>
    </row>
    <row r="60" spans="1:32" ht="27" customHeight="1" thickBot="1">
      <c r="A60" s="403"/>
      <c r="B60" s="404"/>
      <c r="C60" s="347"/>
      <c r="D60" s="347"/>
      <c r="E60" s="347"/>
      <c r="F60" s="405"/>
      <c r="G60" s="405"/>
      <c r="H60" s="405"/>
      <c r="I60" s="405"/>
      <c r="J60" s="405"/>
      <c r="K60" s="405"/>
      <c r="L60" s="405"/>
      <c r="M60" s="406"/>
      <c r="N60" s="346"/>
      <c r="O60" s="121"/>
      <c r="P60" s="404"/>
      <c r="Q60" s="404"/>
      <c r="R60" s="404"/>
      <c r="S60" s="404"/>
      <c r="T60" s="404"/>
      <c r="U60" s="404"/>
      <c r="V60" s="405"/>
      <c r="W60" s="405"/>
      <c r="X60" s="405"/>
      <c r="Y60" s="405"/>
      <c r="Z60" s="405"/>
      <c r="AA60" s="405"/>
      <c r="AB60" s="405"/>
      <c r="AC60" s="405"/>
      <c r="AD60" s="406"/>
      <c r="AF60" s="94">
        <f>16*3000</f>
        <v>48000</v>
      </c>
    </row>
    <row r="61" spans="1:32" ht="27.75" thickBot="1">
      <c r="A61" s="407" t="s">
        <v>912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348" t="s">
        <v>2</v>
      </c>
      <c r="D62" s="348" t="s">
        <v>37</v>
      </c>
      <c r="E62" s="348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348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3"/>
      <c r="T62" s="413"/>
      <c r="U62" s="413"/>
      <c r="V62" s="413"/>
      <c r="W62" s="413"/>
      <c r="X62" s="413"/>
      <c r="Y62" s="413"/>
      <c r="Z62" s="413"/>
      <c r="AA62" s="411"/>
      <c r="AB62" s="409" t="s">
        <v>44</v>
      </c>
      <c r="AC62" s="409"/>
      <c r="AD62" s="414"/>
      <c r="AF62" s="94">
        <f>SUM(AF59:AF61)</f>
        <v>96000</v>
      </c>
    </row>
    <row r="63" spans="1:32" ht="25.5" customHeight="1">
      <c r="A63" s="415">
        <v>1</v>
      </c>
      <c r="B63" s="416"/>
      <c r="C63" s="124" t="s">
        <v>878</v>
      </c>
      <c r="D63" s="352"/>
      <c r="E63" s="350" t="s">
        <v>879</v>
      </c>
      <c r="F63" s="417" t="s">
        <v>913</v>
      </c>
      <c r="G63" s="418"/>
      <c r="H63" s="418"/>
      <c r="I63" s="418"/>
      <c r="J63" s="418"/>
      <c r="K63" s="418" t="s">
        <v>890</v>
      </c>
      <c r="L63" s="418"/>
      <c r="M63" s="54" t="s">
        <v>891</v>
      </c>
      <c r="N63" s="418">
        <v>1</v>
      </c>
      <c r="O63" s="418"/>
      <c r="P63" s="419"/>
      <c r="Q63" s="419"/>
      <c r="R63" s="398" t="s">
        <v>914</v>
      </c>
      <c r="S63" s="398"/>
      <c r="T63" s="398"/>
      <c r="U63" s="398"/>
      <c r="V63" s="398"/>
      <c r="W63" s="398"/>
      <c r="X63" s="398"/>
      <c r="Y63" s="398"/>
      <c r="Z63" s="398"/>
      <c r="AA63" s="398"/>
      <c r="AB63" s="418"/>
      <c r="AC63" s="418"/>
      <c r="AD63" s="420"/>
      <c r="AF63" s="53"/>
    </row>
    <row r="64" spans="1:32" ht="25.5" customHeight="1">
      <c r="A64" s="415">
        <v>2</v>
      </c>
      <c r="B64" s="416"/>
      <c r="C64" s="124"/>
      <c r="D64" s="352"/>
      <c r="E64" s="350"/>
      <c r="F64" s="417"/>
      <c r="G64" s="418"/>
      <c r="H64" s="418"/>
      <c r="I64" s="418"/>
      <c r="J64" s="418"/>
      <c r="K64" s="418"/>
      <c r="L64" s="418"/>
      <c r="M64" s="54"/>
      <c r="N64" s="418"/>
      <c r="O64" s="418"/>
      <c r="P64" s="419"/>
      <c r="Q64" s="419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418"/>
      <c r="AC64" s="418"/>
      <c r="AD64" s="420"/>
      <c r="AF64" s="53"/>
    </row>
    <row r="65" spans="1:32" ht="25.5" customHeight="1">
      <c r="A65" s="415">
        <v>3</v>
      </c>
      <c r="B65" s="416"/>
      <c r="C65" s="124"/>
      <c r="D65" s="352"/>
      <c r="E65" s="350"/>
      <c r="F65" s="417"/>
      <c r="G65" s="418"/>
      <c r="H65" s="418"/>
      <c r="I65" s="418"/>
      <c r="J65" s="418"/>
      <c r="K65" s="418"/>
      <c r="L65" s="418"/>
      <c r="M65" s="54"/>
      <c r="N65" s="418"/>
      <c r="O65" s="418"/>
      <c r="P65" s="419"/>
      <c r="Q65" s="419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418"/>
      <c r="AC65" s="418"/>
      <c r="AD65" s="420"/>
      <c r="AF65" s="53"/>
    </row>
    <row r="66" spans="1:32" ht="25.5" customHeight="1">
      <c r="A66" s="415">
        <v>4</v>
      </c>
      <c r="B66" s="416"/>
      <c r="C66" s="124"/>
      <c r="D66" s="352"/>
      <c r="E66" s="350"/>
      <c r="F66" s="417"/>
      <c r="G66" s="418"/>
      <c r="H66" s="418"/>
      <c r="I66" s="418"/>
      <c r="J66" s="418"/>
      <c r="K66" s="418"/>
      <c r="L66" s="418"/>
      <c r="M66" s="54"/>
      <c r="N66" s="418"/>
      <c r="O66" s="418"/>
      <c r="P66" s="419"/>
      <c r="Q66" s="419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418"/>
      <c r="AC66" s="418"/>
      <c r="AD66" s="420"/>
      <c r="AF66" s="53"/>
    </row>
    <row r="67" spans="1:32" ht="25.5" customHeight="1">
      <c r="A67" s="415">
        <v>5</v>
      </c>
      <c r="B67" s="416"/>
      <c r="C67" s="124"/>
      <c r="D67" s="352"/>
      <c r="E67" s="350"/>
      <c r="F67" s="417"/>
      <c r="G67" s="418"/>
      <c r="H67" s="418"/>
      <c r="I67" s="418"/>
      <c r="J67" s="418"/>
      <c r="K67" s="418"/>
      <c r="L67" s="418"/>
      <c r="M67" s="54"/>
      <c r="N67" s="418"/>
      <c r="O67" s="418"/>
      <c r="P67" s="419"/>
      <c r="Q67" s="419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418"/>
      <c r="AC67" s="418"/>
      <c r="AD67" s="420"/>
      <c r="AF67" s="53"/>
    </row>
    <row r="68" spans="1:32" ht="25.5" customHeight="1">
      <c r="A68" s="415">
        <v>6</v>
      </c>
      <c r="B68" s="416"/>
      <c r="C68" s="124"/>
      <c r="D68" s="352"/>
      <c r="E68" s="350"/>
      <c r="F68" s="417"/>
      <c r="G68" s="418"/>
      <c r="H68" s="418"/>
      <c r="I68" s="418"/>
      <c r="J68" s="418"/>
      <c r="K68" s="418"/>
      <c r="L68" s="418"/>
      <c r="M68" s="54"/>
      <c r="N68" s="418"/>
      <c r="O68" s="418"/>
      <c r="P68" s="419"/>
      <c r="Q68" s="419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418"/>
      <c r="AC68" s="418"/>
      <c r="AD68" s="420"/>
      <c r="AF68" s="53"/>
    </row>
    <row r="69" spans="1:32" ht="25.5" customHeight="1">
      <c r="A69" s="415">
        <v>7</v>
      </c>
      <c r="B69" s="416"/>
      <c r="C69" s="124"/>
      <c r="D69" s="352"/>
      <c r="E69" s="350"/>
      <c r="F69" s="417"/>
      <c r="G69" s="418"/>
      <c r="H69" s="418"/>
      <c r="I69" s="418"/>
      <c r="J69" s="418"/>
      <c r="K69" s="418"/>
      <c r="L69" s="418"/>
      <c r="M69" s="54"/>
      <c r="N69" s="418"/>
      <c r="O69" s="418"/>
      <c r="P69" s="419"/>
      <c r="Q69" s="419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418"/>
      <c r="AC69" s="418"/>
      <c r="AD69" s="420"/>
      <c r="AF69" s="53"/>
    </row>
    <row r="70" spans="1:32" ht="25.5" customHeight="1">
      <c r="A70" s="415">
        <v>8</v>
      </c>
      <c r="B70" s="416"/>
      <c r="C70" s="124"/>
      <c r="D70" s="352"/>
      <c r="E70" s="350"/>
      <c r="F70" s="417"/>
      <c r="G70" s="418"/>
      <c r="H70" s="418"/>
      <c r="I70" s="418"/>
      <c r="J70" s="418"/>
      <c r="K70" s="418"/>
      <c r="L70" s="418"/>
      <c r="M70" s="54"/>
      <c r="N70" s="418"/>
      <c r="O70" s="418"/>
      <c r="P70" s="419"/>
      <c r="Q70" s="419"/>
      <c r="R70" s="398"/>
      <c r="S70" s="398"/>
      <c r="T70" s="398"/>
      <c r="U70" s="398"/>
      <c r="V70" s="398"/>
      <c r="W70" s="398"/>
      <c r="X70" s="398"/>
      <c r="Y70" s="398"/>
      <c r="Z70" s="398"/>
      <c r="AA70" s="398"/>
      <c r="AB70" s="418"/>
      <c r="AC70" s="418"/>
      <c r="AD70" s="420"/>
      <c r="AF70" s="53"/>
    </row>
    <row r="71" spans="1:32" ht="26.25" customHeight="1" thickBot="1">
      <c r="A71" s="421" t="s">
        <v>915</v>
      </c>
      <c r="B71" s="421"/>
      <c r="C71" s="421"/>
      <c r="D71" s="421"/>
      <c r="E71" s="42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2" t="s">
        <v>113</v>
      </c>
      <c r="B72" s="423"/>
      <c r="C72" s="351" t="s">
        <v>2</v>
      </c>
      <c r="D72" s="351" t="s">
        <v>37</v>
      </c>
      <c r="E72" s="351" t="s">
        <v>3</v>
      </c>
      <c r="F72" s="423" t="s">
        <v>38</v>
      </c>
      <c r="G72" s="423"/>
      <c r="H72" s="423"/>
      <c r="I72" s="423"/>
      <c r="J72" s="423"/>
      <c r="K72" s="424" t="s">
        <v>58</v>
      </c>
      <c r="L72" s="425"/>
      <c r="M72" s="425"/>
      <c r="N72" s="425"/>
      <c r="O72" s="425"/>
      <c r="P72" s="425"/>
      <c r="Q72" s="425"/>
      <c r="R72" s="425"/>
      <c r="S72" s="426"/>
      <c r="T72" s="423" t="s">
        <v>49</v>
      </c>
      <c r="U72" s="423"/>
      <c r="V72" s="424" t="s">
        <v>50</v>
      </c>
      <c r="W72" s="426"/>
      <c r="X72" s="425" t="s">
        <v>51</v>
      </c>
      <c r="Y72" s="425"/>
      <c r="Z72" s="425"/>
      <c r="AA72" s="425"/>
      <c r="AB72" s="425"/>
      <c r="AC72" s="425"/>
      <c r="AD72" s="427"/>
      <c r="AF72" s="53"/>
    </row>
    <row r="73" spans="1:32" ht="33.75" customHeight="1">
      <c r="A73" s="436">
        <v>1</v>
      </c>
      <c r="B73" s="437"/>
      <c r="C73" s="353" t="s">
        <v>114</v>
      </c>
      <c r="D73" s="353"/>
      <c r="E73" s="71" t="s">
        <v>119</v>
      </c>
      <c r="F73" s="438" t="s">
        <v>120</v>
      </c>
      <c r="G73" s="439"/>
      <c r="H73" s="439"/>
      <c r="I73" s="439"/>
      <c r="J73" s="440"/>
      <c r="K73" s="441" t="s">
        <v>115</v>
      </c>
      <c r="L73" s="442"/>
      <c r="M73" s="442"/>
      <c r="N73" s="442"/>
      <c r="O73" s="442"/>
      <c r="P73" s="442"/>
      <c r="Q73" s="442"/>
      <c r="R73" s="442"/>
      <c r="S73" s="443"/>
      <c r="T73" s="444">
        <v>42901</v>
      </c>
      <c r="U73" s="445"/>
      <c r="V73" s="446"/>
      <c r="W73" s="446"/>
      <c r="X73" s="447"/>
      <c r="Y73" s="447"/>
      <c r="Z73" s="447"/>
      <c r="AA73" s="447"/>
      <c r="AB73" s="447"/>
      <c r="AC73" s="447"/>
      <c r="AD73" s="448"/>
      <c r="AF73" s="53"/>
    </row>
    <row r="74" spans="1:32" ht="30" customHeight="1">
      <c r="A74" s="428">
        <f>A73+1</f>
        <v>2</v>
      </c>
      <c r="B74" s="429"/>
      <c r="C74" s="352" t="s">
        <v>114</v>
      </c>
      <c r="D74" s="352"/>
      <c r="E74" s="35" t="s">
        <v>116</v>
      </c>
      <c r="F74" s="429" t="s">
        <v>117</v>
      </c>
      <c r="G74" s="429"/>
      <c r="H74" s="429"/>
      <c r="I74" s="429"/>
      <c r="J74" s="429"/>
      <c r="K74" s="430" t="s">
        <v>118</v>
      </c>
      <c r="L74" s="431"/>
      <c r="M74" s="431"/>
      <c r="N74" s="431"/>
      <c r="O74" s="431"/>
      <c r="P74" s="431"/>
      <c r="Q74" s="431"/>
      <c r="R74" s="431"/>
      <c r="S74" s="432"/>
      <c r="T74" s="433">
        <v>42867</v>
      </c>
      <c r="U74" s="433"/>
      <c r="V74" s="433"/>
      <c r="W74" s="433"/>
      <c r="X74" s="434"/>
      <c r="Y74" s="434"/>
      <c r="Z74" s="434"/>
      <c r="AA74" s="434"/>
      <c r="AB74" s="434"/>
      <c r="AC74" s="434"/>
      <c r="AD74" s="435"/>
      <c r="AF74" s="53"/>
    </row>
    <row r="75" spans="1:32" ht="30" customHeight="1">
      <c r="A75" s="428">
        <f t="shared" ref="A75:A81" si="12">A74+1</f>
        <v>3</v>
      </c>
      <c r="B75" s="429"/>
      <c r="C75" s="352"/>
      <c r="D75" s="352"/>
      <c r="E75" s="35"/>
      <c r="F75" s="429"/>
      <c r="G75" s="429"/>
      <c r="H75" s="429"/>
      <c r="I75" s="429"/>
      <c r="J75" s="429"/>
      <c r="K75" s="430"/>
      <c r="L75" s="431"/>
      <c r="M75" s="431"/>
      <c r="N75" s="431"/>
      <c r="O75" s="431"/>
      <c r="P75" s="431"/>
      <c r="Q75" s="431"/>
      <c r="R75" s="431"/>
      <c r="S75" s="432"/>
      <c r="T75" s="433"/>
      <c r="U75" s="433"/>
      <c r="V75" s="433"/>
      <c r="W75" s="433"/>
      <c r="X75" s="434"/>
      <c r="Y75" s="434"/>
      <c r="Z75" s="434"/>
      <c r="AA75" s="434"/>
      <c r="AB75" s="434"/>
      <c r="AC75" s="434"/>
      <c r="AD75" s="435"/>
      <c r="AF75" s="53"/>
    </row>
    <row r="76" spans="1:32" ht="30" customHeight="1">
      <c r="A76" s="428">
        <f t="shared" si="12"/>
        <v>4</v>
      </c>
      <c r="B76" s="429"/>
      <c r="C76" s="352"/>
      <c r="D76" s="352"/>
      <c r="E76" s="35"/>
      <c r="F76" s="429"/>
      <c r="G76" s="429"/>
      <c r="H76" s="429"/>
      <c r="I76" s="429"/>
      <c r="J76" s="429"/>
      <c r="K76" s="430"/>
      <c r="L76" s="431"/>
      <c r="M76" s="431"/>
      <c r="N76" s="431"/>
      <c r="O76" s="431"/>
      <c r="P76" s="431"/>
      <c r="Q76" s="431"/>
      <c r="R76" s="431"/>
      <c r="S76" s="432"/>
      <c r="T76" s="433"/>
      <c r="U76" s="433"/>
      <c r="V76" s="433"/>
      <c r="W76" s="433"/>
      <c r="X76" s="434"/>
      <c r="Y76" s="434"/>
      <c r="Z76" s="434"/>
      <c r="AA76" s="434"/>
      <c r="AB76" s="434"/>
      <c r="AC76" s="434"/>
      <c r="AD76" s="435"/>
      <c r="AF76" s="53"/>
    </row>
    <row r="77" spans="1:32" ht="30" customHeight="1">
      <c r="A77" s="428">
        <f t="shared" si="12"/>
        <v>5</v>
      </c>
      <c r="B77" s="429"/>
      <c r="C77" s="352"/>
      <c r="D77" s="352"/>
      <c r="E77" s="35"/>
      <c r="F77" s="429"/>
      <c r="G77" s="429"/>
      <c r="H77" s="429"/>
      <c r="I77" s="429"/>
      <c r="J77" s="429"/>
      <c r="K77" s="430"/>
      <c r="L77" s="431"/>
      <c r="M77" s="431"/>
      <c r="N77" s="431"/>
      <c r="O77" s="431"/>
      <c r="P77" s="431"/>
      <c r="Q77" s="431"/>
      <c r="R77" s="431"/>
      <c r="S77" s="432"/>
      <c r="T77" s="433"/>
      <c r="U77" s="433"/>
      <c r="V77" s="433"/>
      <c r="W77" s="433"/>
      <c r="X77" s="434"/>
      <c r="Y77" s="434"/>
      <c r="Z77" s="434"/>
      <c r="AA77" s="434"/>
      <c r="AB77" s="434"/>
      <c r="AC77" s="434"/>
      <c r="AD77" s="435"/>
      <c r="AF77" s="53"/>
    </row>
    <row r="78" spans="1:32" ht="30" customHeight="1">
      <c r="A78" s="428">
        <f t="shared" si="12"/>
        <v>6</v>
      </c>
      <c r="B78" s="429"/>
      <c r="C78" s="352"/>
      <c r="D78" s="352"/>
      <c r="E78" s="35"/>
      <c r="F78" s="429"/>
      <c r="G78" s="429"/>
      <c r="H78" s="429"/>
      <c r="I78" s="429"/>
      <c r="J78" s="429"/>
      <c r="K78" s="430"/>
      <c r="L78" s="431"/>
      <c r="M78" s="431"/>
      <c r="N78" s="431"/>
      <c r="O78" s="431"/>
      <c r="P78" s="431"/>
      <c r="Q78" s="431"/>
      <c r="R78" s="431"/>
      <c r="S78" s="432"/>
      <c r="T78" s="433"/>
      <c r="U78" s="433"/>
      <c r="V78" s="433"/>
      <c r="W78" s="433"/>
      <c r="X78" s="434"/>
      <c r="Y78" s="434"/>
      <c r="Z78" s="434"/>
      <c r="AA78" s="434"/>
      <c r="AB78" s="434"/>
      <c r="AC78" s="434"/>
      <c r="AD78" s="435"/>
      <c r="AF78" s="53"/>
    </row>
    <row r="79" spans="1:32" ht="30" customHeight="1">
      <c r="A79" s="428">
        <f t="shared" si="12"/>
        <v>7</v>
      </c>
      <c r="B79" s="429"/>
      <c r="C79" s="352"/>
      <c r="D79" s="352"/>
      <c r="E79" s="35"/>
      <c r="F79" s="429"/>
      <c r="G79" s="429"/>
      <c r="H79" s="429"/>
      <c r="I79" s="429"/>
      <c r="J79" s="429"/>
      <c r="K79" s="430"/>
      <c r="L79" s="431"/>
      <c r="M79" s="431"/>
      <c r="N79" s="431"/>
      <c r="O79" s="431"/>
      <c r="P79" s="431"/>
      <c r="Q79" s="431"/>
      <c r="R79" s="431"/>
      <c r="S79" s="432"/>
      <c r="T79" s="433"/>
      <c r="U79" s="433"/>
      <c r="V79" s="433"/>
      <c r="W79" s="433"/>
      <c r="X79" s="434"/>
      <c r="Y79" s="434"/>
      <c r="Z79" s="434"/>
      <c r="AA79" s="434"/>
      <c r="AB79" s="434"/>
      <c r="AC79" s="434"/>
      <c r="AD79" s="435"/>
      <c r="AF79" s="53"/>
    </row>
    <row r="80" spans="1:32" ht="30" customHeight="1">
      <c r="A80" s="428">
        <f t="shared" si="12"/>
        <v>8</v>
      </c>
      <c r="B80" s="429"/>
      <c r="C80" s="352"/>
      <c r="D80" s="352"/>
      <c r="E80" s="35"/>
      <c r="F80" s="429"/>
      <c r="G80" s="429"/>
      <c r="H80" s="429"/>
      <c r="I80" s="429"/>
      <c r="J80" s="429"/>
      <c r="K80" s="430"/>
      <c r="L80" s="431"/>
      <c r="M80" s="431"/>
      <c r="N80" s="431"/>
      <c r="O80" s="431"/>
      <c r="P80" s="431"/>
      <c r="Q80" s="431"/>
      <c r="R80" s="431"/>
      <c r="S80" s="432"/>
      <c r="T80" s="433"/>
      <c r="U80" s="433"/>
      <c r="V80" s="433"/>
      <c r="W80" s="433"/>
      <c r="X80" s="434"/>
      <c r="Y80" s="434"/>
      <c r="Z80" s="434"/>
      <c r="AA80" s="434"/>
      <c r="AB80" s="434"/>
      <c r="AC80" s="434"/>
      <c r="AD80" s="435"/>
      <c r="AF80" s="53"/>
    </row>
    <row r="81" spans="1:32" ht="30" customHeight="1">
      <c r="A81" s="428">
        <f t="shared" si="12"/>
        <v>9</v>
      </c>
      <c r="B81" s="429"/>
      <c r="C81" s="352"/>
      <c r="D81" s="352"/>
      <c r="E81" s="35"/>
      <c r="F81" s="429"/>
      <c r="G81" s="429"/>
      <c r="H81" s="429"/>
      <c r="I81" s="429"/>
      <c r="J81" s="429"/>
      <c r="K81" s="430"/>
      <c r="L81" s="431"/>
      <c r="M81" s="431"/>
      <c r="N81" s="431"/>
      <c r="O81" s="431"/>
      <c r="P81" s="431"/>
      <c r="Q81" s="431"/>
      <c r="R81" s="431"/>
      <c r="S81" s="432"/>
      <c r="T81" s="433"/>
      <c r="U81" s="433"/>
      <c r="V81" s="433"/>
      <c r="W81" s="433"/>
      <c r="X81" s="434"/>
      <c r="Y81" s="434"/>
      <c r="Z81" s="434"/>
      <c r="AA81" s="434"/>
      <c r="AB81" s="434"/>
      <c r="AC81" s="434"/>
      <c r="AD81" s="435"/>
      <c r="AF81" s="53"/>
    </row>
    <row r="82" spans="1:32" ht="36" thickBot="1">
      <c r="A82" s="421" t="s">
        <v>916</v>
      </c>
      <c r="B82" s="421"/>
      <c r="C82" s="421"/>
      <c r="D82" s="421"/>
      <c r="E82" s="42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2" t="s">
        <v>113</v>
      </c>
      <c r="B83" s="423"/>
      <c r="C83" s="449" t="s">
        <v>52</v>
      </c>
      <c r="D83" s="449"/>
      <c r="E83" s="449" t="s">
        <v>53</v>
      </c>
      <c r="F83" s="449"/>
      <c r="G83" s="449"/>
      <c r="H83" s="449"/>
      <c r="I83" s="449"/>
      <c r="J83" s="449"/>
      <c r="K83" s="449" t="s">
        <v>54</v>
      </c>
      <c r="L83" s="449"/>
      <c r="M83" s="449"/>
      <c r="N83" s="449"/>
      <c r="O83" s="449"/>
      <c r="P83" s="449"/>
      <c r="Q83" s="449"/>
      <c r="R83" s="449"/>
      <c r="S83" s="449"/>
      <c r="T83" s="449" t="s">
        <v>55</v>
      </c>
      <c r="U83" s="449"/>
      <c r="V83" s="449" t="s">
        <v>56</v>
      </c>
      <c r="W83" s="449"/>
      <c r="X83" s="449"/>
      <c r="Y83" s="449" t="s">
        <v>51</v>
      </c>
      <c r="Z83" s="449"/>
      <c r="AA83" s="449"/>
      <c r="AB83" s="449"/>
      <c r="AC83" s="449"/>
      <c r="AD83" s="450"/>
      <c r="AF83" s="53"/>
    </row>
    <row r="84" spans="1:32" ht="30.75" customHeight="1">
      <c r="A84" s="436">
        <v>1</v>
      </c>
      <c r="B84" s="437"/>
      <c r="C84" s="451"/>
      <c r="D84" s="451"/>
      <c r="E84" s="451"/>
      <c r="F84" s="451"/>
      <c r="G84" s="451"/>
      <c r="H84" s="451"/>
      <c r="I84" s="451"/>
      <c r="J84" s="451"/>
      <c r="K84" s="451"/>
      <c r="L84" s="451"/>
      <c r="M84" s="451"/>
      <c r="N84" s="451"/>
      <c r="O84" s="451"/>
      <c r="P84" s="451"/>
      <c r="Q84" s="451"/>
      <c r="R84" s="451"/>
      <c r="S84" s="451"/>
      <c r="T84" s="451"/>
      <c r="U84" s="451"/>
      <c r="V84" s="452"/>
      <c r="W84" s="452"/>
      <c r="X84" s="452"/>
      <c r="Y84" s="453"/>
      <c r="Z84" s="453"/>
      <c r="AA84" s="453"/>
      <c r="AB84" s="453"/>
      <c r="AC84" s="453"/>
      <c r="AD84" s="454"/>
      <c r="AF84" s="53"/>
    </row>
    <row r="85" spans="1:32" ht="30.75" customHeight="1">
      <c r="A85" s="428">
        <v>2</v>
      </c>
      <c r="B85" s="429"/>
      <c r="C85" s="462"/>
      <c r="D85" s="462"/>
      <c r="E85" s="462"/>
      <c r="F85" s="462"/>
      <c r="G85" s="462"/>
      <c r="H85" s="462"/>
      <c r="I85" s="462"/>
      <c r="J85" s="462"/>
      <c r="K85" s="462"/>
      <c r="L85" s="462"/>
      <c r="M85" s="462"/>
      <c r="N85" s="462"/>
      <c r="O85" s="462"/>
      <c r="P85" s="462"/>
      <c r="Q85" s="462"/>
      <c r="R85" s="462"/>
      <c r="S85" s="462"/>
      <c r="T85" s="463"/>
      <c r="U85" s="463"/>
      <c r="V85" s="464"/>
      <c r="W85" s="464"/>
      <c r="X85" s="464"/>
      <c r="Y85" s="455"/>
      <c r="Z85" s="455"/>
      <c r="AA85" s="455"/>
      <c r="AB85" s="455"/>
      <c r="AC85" s="455"/>
      <c r="AD85" s="456"/>
      <c r="AF85" s="53"/>
    </row>
    <row r="86" spans="1:32" ht="30.75" customHeight="1" thickBot="1">
      <c r="A86" s="457">
        <v>3</v>
      </c>
      <c r="B86" s="458"/>
      <c r="C86" s="459"/>
      <c r="D86" s="459"/>
      <c r="E86" s="459"/>
      <c r="F86" s="459"/>
      <c r="G86" s="459"/>
      <c r="H86" s="459"/>
      <c r="I86" s="459"/>
      <c r="J86" s="459"/>
      <c r="K86" s="459"/>
      <c r="L86" s="459"/>
      <c r="M86" s="459"/>
      <c r="N86" s="459"/>
      <c r="O86" s="459"/>
      <c r="P86" s="459"/>
      <c r="Q86" s="459"/>
      <c r="R86" s="459"/>
      <c r="S86" s="459"/>
      <c r="T86" s="459"/>
      <c r="U86" s="459"/>
      <c r="V86" s="459"/>
      <c r="W86" s="459"/>
      <c r="X86" s="459"/>
      <c r="Y86" s="460"/>
      <c r="Z86" s="460"/>
      <c r="AA86" s="460"/>
      <c r="AB86" s="460"/>
      <c r="AC86" s="460"/>
      <c r="AD86" s="46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21</vt:i4>
      </vt:variant>
      <vt:variant>
        <vt:lpstr>이름이 지정된 범위</vt:lpstr>
      </vt:variant>
      <vt:variant>
        <vt:i4>20</vt:i4>
      </vt:variant>
    </vt:vector>
  </HeadingPairs>
  <TitlesOfParts>
    <vt:vector size="41" baseType="lpstr">
      <vt:lpstr>총괄</vt:lpstr>
      <vt:lpstr>01</vt:lpstr>
      <vt:lpstr>02</vt:lpstr>
      <vt:lpstr>05</vt:lpstr>
      <vt:lpstr>06</vt:lpstr>
      <vt:lpstr>07</vt:lpstr>
      <vt:lpstr>08</vt:lpstr>
      <vt:lpstr>09</vt:lpstr>
      <vt:lpstr>10</vt:lpstr>
      <vt:lpstr>12</vt:lpstr>
      <vt:lpstr>13</vt:lpstr>
      <vt:lpstr>14</vt:lpstr>
      <vt:lpstr>19</vt:lpstr>
      <vt:lpstr>20</vt:lpstr>
      <vt:lpstr>21</vt:lpstr>
      <vt:lpstr>22</vt:lpstr>
      <vt:lpstr>23</vt:lpstr>
      <vt:lpstr>24</vt:lpstr>
      <vt:lpstr>26</vt:lpstr>
      <vt:lpstr>27</vt:lpstr>
      <vt:lpstr>28</vt:lpstr>
      <vt:lpstr>'01'!Print_Area</vt:lpstr>
      <vt:lpstr>'02'!Print_Area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  <vt:lpstr>'12'!Print_Area</vt:lpstr>
      <vt:lpstr>'13'!Print_Area</vt:lpstr>
      <vt:lpstr>'14'!Print_Area</vt:lpstr>
      <vt:lpstr>'19'!Print_Area</vt:lpstr>
      <vt:lpstr>'20'!Print_Area</vt:lpstr>
      <vt:lpstr>'21'!Print_Area</vt:lpstr>
      <vt:lpstr>'22'!Print_Area</vt:lpstr>
      <vt:lpstr>'23'!Print_Area</vt:lpstr>
      <vt:lpstr>'24'!Print_Area</vt:lpstr>
      <vt:lpstr>'26'!Print_Area</vt:lpstr>
      <vt:lpstr>'27'!Print_Area</vt:lpstr>
      <vt:lpstr>'28'!Print_Area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2017-05-09T00:48:16Z</cp:lastPrinted>
  <dcterms:created xsi:type="dcterms:W3CDTF">2014-05-16T00:06:55Z</dcterms:created>
  <dcterms:modified xsi:type="dcterms:W3CDTF">2018-03-03T02:15:14Z</dcterms:modified>
</cp:coreProperties>
</file>