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3"/>
  </bookViews>
  <sheets>
    <sheet name="총괄" sheetId="16" r:id="rId1"/>
    <sheet name="01" sheetId="1142" r:id="rId2"/>
    <sheet name="05" sheetId="1143" r:id="rId3"/>
    <sheet name="06" sheetId="1144" r:id="rId4"/>
    <sheet name="07" sheetId="1145" r:id="rId5"/>
    <sheet name="08" sheetId="1146" r:id="rId6"/>
    <sheet name="09" sheetId="1147" r:id="rId7"/>
    <sheet name="10" sheetId="1148" r:id="rId8"/>
    <sheet name="12" sheetId="1149" r:id="rId9"/>
    <sheet name="13" sheetId="1150" r:id="rId10"/>
    <sheet name="14" sheetId="1151" r:id="rId11"/>
    <sheet name="15" sheetId="1152" r:id="rId12"/>
    <sheet name="16" sheetId="1153" r:id="rId13"/>
    <sheet name="17" sheetId="1154" r:id="rId14"/>
    <sheet name="19" sheetId="1155" r:id="rId15"/>
    <sheet name="20" sheetId="1156" r:id="rId16"/>
    <sheet name="21" sheetId="1157" r:id="rId17"/>
    <sheet name="22" sheetId="1158" r:id="rId18"/>
    <sheet name="23" sheetId="1159" r:id="rId19"/>
    <sheet name="26" sheetId="1160" r:id="rId20"/>
    <sheet name="27" sheetId="1161" r:id="rId21"/>
    <sheet name="28" sheetId="1162" r:id="rId22"/>
    <sheet name="29" sheetId="1163" r:id="rId23"/>
    <sheet name="30" sheetId="1164" r:id="rId24"/>
  </sheets>
  <definedNames>
    <definedName name="_xlnm.Print_Area" localSheetId="1">'01'!$A$1:$AD$86</definedName>
    <definedName name="_xlnm.Print_Area" localSheetId="2">'05'!$A$1:$AD$86</definedName>
    <definedName name="_xlnm.Print_Area" localSheetId="3">'06'!$A$1:$AD$86</definedName>
    <definedName name="_xlnm.Print_Area" localSheetId="4">'07'!$A$1:$AD$86</definedName>
    <definedName name="_xlnm.Print_Area" localSheetId="5">'08'!$A$1:$AD$86</definedName>
    <definedName name="_xlnm.Print_Area" localSheetId="6">'09'!$A$1:$AD$87</definedName>
    <definedName name="_xlnm.Print_Area" localSheetId="7">'10'!$A$1:$AD$87</definedName>
    <definedName name="_xlnm.Print_Area" localSheetId="8">'12'!$A$1:$AD$86</definedName>
    <definedName name="_xlnm.Print_Area" localSheetId="9">'13'!$A$1:$AD$86</definedName>
    <definedName name="_xlnm.Print_Area" localSheetId="10">'14'!$A$1:$AD$86</definedName>
    <definedName name="_xlnm.Print_Area" localSheetId="11">'15'!$A$1:$AD$86</definedName>
    <definedName name="_xlnm.Print_Area" localSheetId="12">'16'!$A$1:$AD$86</definedName>
    <definedName name="_xlnm.Print_Area" localSheetId="13">'17'!$A$1:$AD$86</definedName>
    <definedName name="_xlnm.Print_Area" localSheetId="14">'19'!$A$1:$AD$86</definedName>
    <definedName name="_xlnm.Print_Area" localSheetId="15">'20'!$A$1:$AD$86</definedName>
    <definedName name="_xlnm.Print_Area" localSheetId="16">'21'!$A$1:$AD$87</definedName>
    <definedName name="_xlnm.Print_Area" localSheetId="17">'22'!$A$1:$AD$87</definedName>
    <definedName name="_xlnm.Print_Area" localSheetId="18">'23'!$A$1:$AD$86</definedName>
    <definedName name="_xlnm.Print_Area" localSheetId="19">'26'!$A$1:$AD$86</definedName>
    <definedName name="_xlnm.Print_Area" localSheetId="20">'27'!$A$1:$AD$86</definedName>
    <definedName name="_xlnm.Print_Area" localSheetId="21">'28'!$A$1:$AD$86</definedName>
    <definedName name="_xlnm.Print_Area" localSheetId="22">'29'!$A$1:$AD$87</definedName>
    <definedName name="_xlnm.Print_Area" localSheetId="23">'30'!$A$1:$AD$86</definedName>
  </definedNames>
  <calcPr calcId="144525"/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1164"/>
  <c r="L18" i="1164"/>
  <c r="L16" i="1164"/>
  <c r="L13" i="1164"/>
  <c r="K13" i="1164" s="1"/>
  <c r="L10" i="1164"/>
  <c r="O10" i="1164" s="1"/>
  <c r="AF10" i="1164"/>
  <c r="Q10" i="1164"/>
  <c r="K9" i="1164"/>
  <c r="K8" i="1164"/>
  <c r="K20" i="1164"/>
  <c r="K18" i="1164"/>
  <c r="K16" i="1164"/>
  <c r="K12" i="1164"/>
  <c r="A75" i="1164"/>
  <c r="A76" i="1164" s="1"/>
  <c r="A77" i="1164" s="1"/>
  <c r="A78" i="1164" s="1"/>
  <c r="A79" i="1164" s="1"/>
  <c r="A80" i="1164" s="1"/>
  <c r="A81" i="1164" s="1"/>
  <c r="A74" i="1164"/>
  <c r="AF60" i="1164"/>
  <c r="AF59" i="1164"/>
  <c r="AF62" i="1164" s="1"/>
  <c r="AA21" i="1164"/>
  <c r="Z21" i="1164"/>
  <c r="Y21" i="1164"/>
  <c r="X21" i="1164"/>
  <c r="W21" i="1164"/>
  <c r="V21" i="1164"/>
  <c r="U21" i="1164"/>
  <c r="T21" i="1164"/>
  <c r="S21" i="1164"/>
  <c r="R21" i="1164"/>
  <c r="N21" i="1164"/>
  <c r="J21" i="1164"/>
  <c r="I21" i="1164"/>
  <c r="AF20" i="1164"/>
  <c r="Q20" i="1164"/>
  <c r="O20" i="1164"/>
  <c r="AF19" i="1164"/>
  <c r="AB19" i="1164"/>
  <c r="Q19" i="1164"/>
  <c r="P19" i="1164"/>
  <c r="AC19" i="1164" s="1"/>
  <c r="O19" i="1164"/>
  <c r="M19" i="1164"/>
  <c r="K19" i="1164"/>
  <c r="AF18" i="1164"/>
  <c r="AB18" i="1164"/>
  <c r="Q18" i="1164"/>
  <c r="P18" i="1164" s="1"/>
  <c r="AC18" i="1164" s="1"/>
  <c r="O18" i="1164"/>
  <c r="M18" i="1164"/>
  <c r="AF17" i="1164"/>
  <c r="AC17" i="1164"/>
  <c r="AB17" i="1164"/>
  <c r="Q17" i="1164"/>
  <c r="P17" i="1164"/>
  <c r="O17" i="1164"/>
  <c r="M17" i="1164"/>
  <c r="K17" i="1164"/>
  <c r="AF16" i="1164"/>
  <c r="Q16" i="1164"/>
  <c r="P16" i="1164" s="1"/>
  <c r="AC16" i="1164" s="1"/>
  <c r="O16" i="1164"/>
  <c r="AF15" i="1164"/>
  <c r="AB15" i="1164"/>
  <c r="Q15" i="1164"/>
  <c r="P15" i="1164"/>
  <c r="AC15" i="1164" s="1"/>
  <c r="O15" i="1164"/>
  <c r="M15" i="1164"/>
  <c r="K15" i="1164"/>
  <c r="AF14" i="1164"/>
  <c r="AB14" i="1164"/>
  <c r="Q14" i="1164"/>
  <c r="P14" i="1164"/>
  <c r="AC14" i="1164" s="1"/>
  <c r="O14" i="1164"/>
  <c r="M14" i="1164"/>
  <c r="K14" i="1164"/>
  <c r="AF13" i="1164"/>
  <c r="AB13" i="1164"/>
  <c r="Q13" i="1164"/>
  <c r="P13" i="1164" s="1"/>
  <c r="AC13" i="1164" s="1"/>
  <c r="O13" i="1164"/>
  <c r="M13" i="1164"/>
  <c r="AF12" i="1164"/>
  <c r="AB12" i="1164"/>
  <c r="Q12" i="1164"/>
  <c r="P12" i="1164" s="1"/>
  <c r="AC12" i="1164" s="1"/>
  <c r="O12" i="1164"/>
  <c r="M12" i="1164"/>
  <c r="AF11" i="1164"/>
  <c r="AC11" i="1164"/>
  <c r="AB11" i="1164"/>
  <c r="Q11" i="1164"/>
  <c r="P11" i="1164"/>
  <c r="O11" i="1164"/>
  <c r="M11" i="1164"/>
  <c r="K11" i="1164"/>
  <c r="AF9" i="1164"/>
  <c r="AB9" i="1164"/>
  <c r="Q9" i="1164"/>
  <c r="P9" i="1164" s="1"/>
  <c r="AC9" i="1164" s="1"/>
  <c r="O9" i="1164"/>
  <c r="M9" i="1164"/>
  <c r="AF8" i="1164"/>
  <c r="AB8" i="1164"/>
  <c r="Q8" i="1164"/>
  <c r="P8" i="1164" s="1"/>
  <c r="AC8" i="1164" s="1"/>
  <c r="O8" i="1164"/>
  <c r="M8" i="1164"/>
  <c r="AF7" i="1164"/>
  <c r="AB7" i="1164"/>
  <c r="Q7" i="1164"/>
  <c r="P7" i="1164"/>
  <c r="AC7" i="1164" s="1"/>
  <c r="O7" i="1164"/>
  <c r="M7" i="1164"/>
  <c r="K7" i="1164"/>
  <c r="AF6" i="1164"/>
  <c r="AB6" i="1164"/>
  <c r="Q6" i="1164"/>
  <c r="P6" i="1164"/>
  <c r="O6" i="1164"/>
  <c r="M6" i="1164"/>
  <c r="K6" i="1164"/>
  <c r="AD19" i="1164" l="1"/>
  <c r="AD7" i="1164"/>
  <c r="AD18" i="1164"/>
  <c r="L21" i="1164"/>
  <c r="O21" i="1164" s="1"/>
  <c r="K10" i="1164"/>
  <c r="P10" i="1164"/>
  <c r="AC10" i="1164" s="1"/>
  <c r="M10" i="1164"/>
  <c r="AB10" i="1164"/>
  <c r="AD8" i="1164"/>
  <c r="Q21" i="1164"/>
  <c r="AD9" i="1164"/>
  <c r="AD17" i="1164"/>
  <c r="AD13" i="1164"/>
  <c r="AD14" i="1164"/>
  <c r="AD15" i="1164"/>
  <c r="AD11" i="1164"/>
  <c r="AD12" i="1164"/>
  <c r="AC6" i="1164"/>
  <c r="M16" i="1164"/>
  <c r="AB16" i="1164"/>
  <c r="AD16" i="1164" s="1"/>
  <c r="P20" i="1164"/>
  <c r="AC20" i="1164" s="1"/>
  <c r="K21" i="1164"/>
  <c r="M20" i="1164"/>
  <c r="AB20" i="1164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163"/>
  <c r="L19" i="1163"/>
  <c r="K19" i="1163" s="1"/>
  <c r="AF19" i="1163"/>
  <c r="Q19" i="1163"/>
  <c r="AB19" i="1163"/>
  <c r="L17" i="1163"/>
  <c r="K17" i="1163" s="1"/>
  <c r="AF17" i="1163"/>
  <c r="Q17" i="1163"/>
  <c r="P17" i="1163" s="1"/>
  <c r="AC17" i="1163" s="1"/>
  <c r="M17" i="1163"/>
  <c r="AB17" i="1163"/>
  <c r="L16" i="1163"/>
  <c r="K16" i="1163" s="1"/>
  <c r="L10" i="1163"/>
  <c r="K10" i="1163" s="1"/>
  <c r="K21" i="1163"/>
  <c r="K20" i="1163"/>
  <c r="K12" i="1163"/>
  <c r="K9" i="1163"/>
  <c r="A76" i="1163"/>
  <c r="A77" i="1163" s="1"/>
  <c r="A78" i="1163" s="1"/>
  <c r="A79" i="1163" s="1"/>
  <c r="A80" i="1163" s="1"/>
  <c r="A81" i="1163" s="1"/>
  <c r="A82" i="1163" s="1"/>
  <c r="A75" i="1163"/>
  <c r="AF61" i="1163"/>
  <c r="AF60" i="1163"/>
  <c r="AF63" i="1163" s="1"/>
  <c r="AA22" i="1163"/>
  <c r="Z22" i="1163"/>
  <c r="Y22" i="1163"/>
  <c r="X22" i="1163"/>
  <c r="W22" i="1163"/>
  <c r="V22" i="1163"/>
  <c r="U22" i="1163"/>
  <c r="T22" i="1163"/>
  <c r="S22" i="1163"/>
  <c r="R22" i="1163"/>
  <c r="N22" i="1163"/>
  <c r="J22" i="1163"/>
  <c r="I22" i="1163"/>
  <c r="AF21" i="1163"/>
  <c r="Q21" i="1163"/>
  <c r="O21" i="1163"/>
  <c r="AF20" i="1163"/>
  <c r="Q20" i="1163"/>
  <c r="P20" i="1163"/>
  <c r="AC20" i="1163" s="1"/>
  <c r="AB20" i="1163"/>
  <c r="AF18" i="1163"/>
  <c r="AB18" i="1163"/>
  <c r="Q18" i="1163"/>
  <c r="P18" i="1163"/>
  <c r="AC18" i="1163" s="1"/>
  <c r="AD18" i="1163" s="1"/>
  <c r="O18" i="1163"/>
  <c r="M18" i="1163"/>
  <c r="K18" i="1163"/>
  <c r="AF16" i="1163"/>
  <c r="Q16" i="1163"/>
  <c r="P16" i="1163" s="1"/>
  <c r="AC16" i="1163" s="1"/>
  <c r="AB16" i="1163"/>
  <c r="AF15" i="1163"/>
  <c r="AB15" i="1163"/>
  <c r="Q15" i="1163"/>
  <c r="P15" i="1163"/>
  <c r="AC15" i="1163" s="1"/>
  <c r="O15" i="1163"/>
  <c r="M15" i="1163"/>
  <c r="K15" i="1163"/>
  <c r="AF14" i="1163"/>
  <c r="AB14" i="1163"/>
  <c r="Q14" i="1163"/>
  <c r="P14" i="1163"/>
  <c r="AC14" i="1163" s="1"/>
  <c r="AD14" i="1163" s="1"/>
  <c r="O14" i="1163"/>
  <c r="M14" i="1163"/>
  <c r="K14" i="1163"/>
  <c r="AF13" i="1163"/>
  <c r="AB13" i="1163"/>
  <c r="Q13" i="1163"/>
  <c r="P13" i="1163"/>
  <c r="AC13" i="1163" s="1"/>
  <c r="AD13" i="1163" s="1"/>
  <c r="O13" i="1163"/>
  <c r="M13" i="1163"/>
  <c r="K13" i="1163"/>
  <c r="AF12" i="1163"/>
  <c r="Q12" i="1163"/>
  <c r="P12" i="1163" s="1"/>
  <c r="AC12" i="1163" s="1"/>
  <c r="AF11" i="1163"/>
  <c r="AB11" i="1163"/>
  <c r="Q11" i="1163"/>
  <c r="P11" i="1163"/>
  <c r="AC11" i="1163" s="1"/>
  <c r="O11" i="1163"/>
  <c r="M11" i="1163"/>
  <c r="K11" i="1163"/>
  <c r="AF10" i="1163"/>
  <c r="AB10" i="1163"/>
  <c r="Q10" i="1163"/>
  <c r="P10" i="1163" s="1"/>
  <c r="AC10" i="1163" s="1"/>
  <c r="O10" i="1163"/>
  <c r="M10" i="1163"/>
  <c r="AF9" i="1163"/>
  <c r="Q9" i="1163"/>
  <c r="L22" i="1163"/>
  <c r="O22" i="1163" s="1"/>
  <c r="AF8" i="1163"/>
  <c r="AB8" i="1163"/>
  <c r="Q8" i="1163"/>
  <c r="P8" i="1163"/>
  <c r="AC8" i="1163" s="1"/>
  <c r="AD8" i="1163" s="1"/>
  <c r="O8" i="1163"/>
  <c r="M8" i="1163"/>
  <c r="K8" i="1163"/>
  <c r="AF7" i="1163"/>
  <c r="AB7" i="1163"/>
  <c r="Q7" i="1163"/>
  <c r="P7" i="1163"/>
  <c r="AC7" i="1163" s="1"/>
  <c r="AD7" i="1163" s="1"/>
  <c r="O7" i="1163"/>
  <c r="M7" i="1163"/>
  <c r="K7" i="1163"/>
  <c r="AF6" i="1163"/>
  <c r="AB6" i="1163"/>
  <c r="Q6" i="1163"/>
  <c r="P6" i="1163"/>
  <c r="O6" i="1163"/>
  <c r="M6" i="1163"/>
  <c r="K6" i="1163"/>
  <c r="AD10" i="1164" l="1"/>
  <c r="P21" i="1164"/>
  <c r="AB21" i="1164"/>
  <c r="AD20" i="1164"/>
  <c r="M21" i="1164"/>
  <c r="AC21" i="1164"/>
  <c r="AD6" i="1164"/>
  <c r="O19" i="1163"/>
  <c r="K22" i="1163"/>
  <c r="P19" i="1163"/>
  <c r="AC19" i="1163" s="1"/>
  <c r="AD19" i="1163" s="1"/>
  <c r="M19" i="1163"/>
  <c r="O17" i="1163"/>
  <c r="AD17" i="1163" s="1"/>
  <c r="AD15" i="1163"/>
  <c r="Q22" i="1163"/>
  <c r="AD11" i="1163"/>
  <c r="AD10" i="1163"/>
  <c r="M9" i="1163"/>
  <c r="AB9" i="1163"/>
  <c r="M12" i="1163"/>
  <c r="AB12" i="1163"/>
  <c r="O9" i="1163"/>
  <c r="O12" i="1163"/>
  <c r="AC6" i="1163"/>
  <c r="P9" i="1163"/>
  <c r="AC9" i="1163" s="1"/>
  <c r="O16" i="1163"/>
  <c r="AD16" i="1163" s="1"/>
  <c r="O20" i="1163"/>
  <c r="AD20" i="1163" s="1"/>
  <c r="P21" i="1163"/>
  <c r="AC21" i="1163" s="1"/>
  <c r="M21" i="1163"/>
  <c r="AB21" i="1163"/>
  <c r="M16" i="1163"/>
  <c r="M20" i="1163"/>
  <c r="AD21" i="1164" l="1"/>
  <c r="AD12" i="1163"/>
  <c r="AD21" i="1163"/>
  <c r="AB22" i="1163"/>
  <c r="M22" i="1163"/>
  <c r="AC22" i="1163"/>
  <c r="AD6" i="1163"/>
  <c r="P22" i="1163"/>
  <c r="AD9" i="1163"/>
  <c r="AE8" i="1164" l="1"/>
  <c r="AE10" i="1164"/>
  <c r="AE16" i="1164"/>
  <c r="AE20" i="1164"/>
  <c r="AE17" i="1164"/>
  <c r="AE11" i="1164"/>
  <c r="AE18" i="1164"/>
  <c r="AE19" i="1164"/>
  <c r="AE13" i="1164"/>
  <c r="AE6" i="1164"/>
  <c r="AE7" i="1164"/>
  <c r="AE12" i="1164"/>
  <c r="AE9" i="1164"/>
  <c r="AE15" i="1164"/>
  <c r="AE14" i="1164"/>
  <c r="AD22" i="1163"/>
  <c r="AE17" i="1163" l="1"/>
  <c r="AE19" i="1163"/>
  <c r="AE15" i="1163"/>
  <c r="AE6" i="1163"/>
  <c r="AE14" i="1163"/>
  <c r="AE12" i="1163"/>
  <c r="AE20" i="1163"/>
  <c r="AE9" i="1163"/>
  <c r="AE21" i="1163"/>
  <c r="AE18" i="1163"/>
  <c r="AE10" i="1163"/>
  <c r="AE7" i="1163"/>
  <c r="AE13" i="1163"/>
  <c r="AE16" i="1163"/>
  <c r="AE11" i="1163"/>
  <c r="AE8" i="1163"/>
  <c r="AC18" i="16" l="1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162"/>
  <c r="K20" i="1162" s="1"/>
  <c r="L19" i="1162"/>
  <c r="L18" i="1162"/>
  <c r="L16" i="1162"/>
  <c r="L12" i="1162"/>
  <c r="K12" i="1162" s="1"/>
  <c r="L10" i="1162"/>
  <c r="K10" i="1162" s="1"/>
  <c r="L9" i="1162"/>
  <c r="K19" i="1162"/>
  <c r="K17" i="1162"/>
  <c r="K16" i="1162"/>
  <c r="K13" i="1162"/>
  <c r="K9" i="1162"/>
  <c r="A75" i="1162"/>
  <c r="A76" i="1162" s="1"/>
  <c r="A77" i="1162" s="1"/>
  <c r="A78" i="1162" s="1"/>
  <c r="A79" i="1162" s="1"/>
  <c r="A80" i="1162" s="1"/>
  <c r="A81" i="1162" s="1"/>
  <c r="A74" i="1162"/>
  <c r="AF60" i="1162"/>
  <c r="AF59" i="1162"/>
  <c r="AF62" i="1162" s="1"/>
  <c r="AA21" i="1162"/>
  <c r="Z21" i="1162"/>
  <c r="Y21" i="1162"/>
  <c r="X21" i="1162"/>
  <c r="W21" i="1162"/>
  <c r="V21" i="1162"/>
  <c r="U21" i="1162"/>
  <c r="T21" i="1162"/>
  <c r="S21" i="1162"/>
  <c r="R21" i="1162"/>
  <c r="N21" i="1162"/>
  <c r="J21" i="1162"/>
  <c r="I21" i="1162"/>
  <c r="AF20" i="1162"/>
  <c r="Q20" i="1162"/>
  <c r="O20" i="1162"/>
  <c r="AF19" i="1162"/>
  <c r="Q19" i="1162"/>
  <c r="AB19" i="1162"/>
  <c r="AF18" i="1162"/>
  <c r="Q18" i="1162"/>
  <c r="AB18" i="1162"/>
  <c r="AF17" i="1162"/>
  <c r="AB17" i="1162"/>
  <c r="Q17" i="1162"/>
  <c r="P17" i="1162"/>
  <c r="AC17" i="1162" s="1"/>
  <c r="AD17" i="1162" s="1"/>
  <c r="O17" i="1162"/>
  <c r="M17" i="1162"/>
  <c r="AF16" i="1162"/>
  <c r="Q16" i="1162"/>
  <c r="AB16" i="1162"/>
  <c r="AF15" i="1162"/>
  <c r="AC15" i="1162"/>
  <c r="AB15" i="1162"/>
  <c r="Q15" i="1162"/>
  <c r="P15" i="1162"/>
  <c r="O15" i="1162"/>
  <c r="M15" i="1162"/>
  <c r="K15" i="1162"/>
  <c r="AF14" i="1162"/>
  <c r="AB14" i="1162"/>
  <c r="Q14" i="1162"/>
  <c r="P14" i="1162"/>
  <c r="AC14" i="1162" s="1"/>
  <c r="AD14" i="1162" s="1"/>
  <c r="O14" i="1162"/>
  <c r="M14" i="1162"/>
  <c r="K14" i="1162"/>
  <c r="AF13" i="1162"/>
  <c r="Q13" i="1162"/>
  <c r="P13" i="1162"/>
  <c r="AC13" i="1162" s="1"/>
  <c r="O13" i="1162"/>
  <c r="AB13" i="1162"/>
  <c r="AF12" i="1162"/>
  <c r="AB12" i="1162"/>
  <c r="Q12" i="1162"/>
  <c r="P12" i="1162" s="1"/>
  <c r="AC12" i="1162" s="1"/>
  <c r="O12" i="1162"/>
  <c r="M12" i="1162"/>
  <c r="AF11" i="1162"/>
  <c r="AB11" i="1162"/>
  <c r="Q11" i="1162"/>
  <c r="P11" i="1162"/>
  <c r="AC11" i="1162" s="1"/>
  <c r="AD11" i="1162" s="1"/>
  <c r="O11" i="1162"/>
  <c r="M11" i="1162"/>
  <c r="K11" i="1162"/>
  <c r="AF10" i="1162"/>
  <c r="AB10" i="1162"/>
  <c r="Q10" i="1162"/>
  <c r="O10" i="1162"/>
  <c r="M10" i="1162"/>
  <c r="P10" i="1162"/>
  <c r="AC10" i="1162" s="1"/>
  <c r="AF9" i="1162"/>
  <c r="Q9" i="1162"/>
  <c r="O9" i="1162"/>
  <c r="AF8" i="1162"/>
  <c r="AB8" i="1162"/>
  <c r="Q8" i="1162"/>
  <c r="P8" i="1162"/>
  <c r="AC8" i="1162" s="1"/>
  <c r="AD8" i="1162" s="1"/>
  <c r="O8" i="1162"/>
  <c r="M8" i="1162"/>
  <c r="K8" i="1162"/>
  <c r="AF7" i="1162"/>
  <c r="AC7" i="1162"/>
  <c r="AD7" i="1162" s="1"/>
  <c r="AB7" i="1162"/>
  <c r="Q7" i="1162"/>
  <c r="P7" i="1162"/>
  <c r="O7" i="1162"/>
  <c r="M7" i="1162"/>
  <c r="K7" i="1162"/>
  <c r="AF6" i="1162"/>
  <c r="AB6" i="1162"/>
  <c r="Q6" i="1162"/>
  <c r="P6" i="1162"/>
  <c r="O6" i="1162"/>
  <c r="M6" i="1162"/>
  <c r="K6" i="1162"/>
  <c r="P18" i="1162" l="1"/>
  <c r="AC18" i="1162" s="1"/>
  <c r="K18" i="1162"/>
  <c r="O18" i="1162"/>
  <c r="AD18" i="1162" s="1"/>
  <c r="Q21" i="1162"/>
  <c r="AD12" i="1162"/>
  <c r="AD10" i="1162"/>
  <c r="AD15" i="1162"/>
  <c r="AD13" i="1162"/>
  <c r="AC6" i="1162"/>
  <c r="P9" i="1162"/>
  <c r="AC9" i="1162" s="1"/>
  <c r="M13" i="1162"/>
  <c r="O16" i="1162"/>
  <c r="M18" i="1162"/>
  <c r="O19" i="1162"/>
  <c r="K21" i="1162"/>
  <c r="P20" i="1162"/>
  <c r="AC20" i="1162" s="1"/>
  <c r="P16" i="1162"/>
  <c r="AC16" i="1162" s="1"/>
  <c r="P19" i="1162"/>
  <c r="AC19" i="1162" s="1"/>
  <c r="AD19" i="1162" s="1"/>
  <c r="AB9" i="1162"/>
  <c r="M20" i="1162"/>
  <c r="AB20" i="1162"/>
  <c r="L21" i="1162"/>
  <c r="O21" i="1162" s="1"/>
  <c r="M9" i="1162"/>
  <c r="M16" i="1162"/>
  <c r="M19" i="1162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161"/>
  <c r="O20" i="1161" s="1"/>
  <c r="L19" i="1161"/>
  <c r="K19" i="1161" s="1"/>
  <c r="L18" i="1161"/>
  <c r="K18" i="1161" s="1"/>
  <c r="K17" i="1161"/>
  <c r="L16" i="1161"/>
  <c r="K16" i="1161" s="1"/>
  <c r="L13" i="1161"/>
  <c r="K13" i="1161" s="1"/>
  <c r="L10" i="1161"/>
  <c r="K10" i="1161" s="1"/>
  <c r="L9" i="1161"/>
  <c r="K9" i="1161" s="1"/>
  <c r="K20" i="1161"/>
  <c r="K12" i="1161"/>
  <c r="A74" i="1161"/>
  <c r="A75" i="1161" s="1"/>
  <c r="A76" i="1161" s="1"/>
  <c r="A77" i="1161" s="1"/>
  <c r="A78" i="1161" s="1"/>
  <c r="A79" i="1161" s="1"/>
  <c r="A80" i="1161" s="1"/>
  <c r="A81" i="1161" s="1"/>
  <c r="AF60" i="1161"/>
  <c r="AF62" i="1161" s="1"/>
  <c r="AF59" i="1161"/>
  <c r="AA21" i="1161"/>
  <c r="Z21" i="1161"/>
  <c r="Y21" i="1161"/>
  <c r="X21" i="1161"/>
  <c r="W21" i="1161"/>
  <c r="V21" i="1161"/>
  <c r="U21" i="1161"/>
  <c r="T21" i="1161"/>
  <c r="S21" i="1161"/>
  <c r="R21" i="1161"/>
  <c r="N21" i="1161"/>
  <c r="J21" i="1161"/>
  <c r="I21" i="1161"/>
  <c r="AF20" i="1161"/>
  <c r="AB20" i="1161"/>
  <c r="Q20" i="1161"/>
  <c r="M20" i="1161"/>
  <c r="P20" i="1161"/>
  <c r="AC20" i="1161" s="1"/>
  <c r="AF19" i="1161"/>
  <c r="AB19" i="1161"/>
  <c r="Q19" i="1161"/>
  <c r="P19" i="1161" s="1"/>
  <c r="AC19" i="1161" s="1"/>
  <c r="O19" i="1161"/>
  <c r="M19" i="1161"/>
  <c r="AF18" i="1161"/>
  <c r="AB18" i="1161"/>
  <c r="Q18" i="1161"/>
  <c r="P18" i="1161" s="1"/>
  <c r="AC18" i="1161" s="1"/>
  <c r="O18" i="1161"/>
  <c r="M18" i="1161"/>
  <c r="AF17" i="1161"/>
  <c r="AB17" i="1161"/>
  <c r="Q17" i="1161"/>
  <c r="P17" i="1161" s="1"/>
  <c r="AC17" i="1161" s="1"/>
  <c r="O17" i="1161"/>
  <c r="M17" i="1161"/>
  <c r="AF16" i="1161"/>
  <c r="Q16" i="1161"/>
  <c r="P16" i="1161"/>
  <c r="AC16" i="1161" s="1"/>
  <c r="O16" i="1161"/>
  <c r="AF15" i="1161"/>
  <c r="AC15" i="1161"/>
  <c r="AB15" i="1161"/>
  <c r="Q15" i="1161"/>
  <c r="P15" i="1161"/>
  <c r="O15" i="1161"/>
  <c r="M15" i="1161"/>
  <c r="K15" i="1161"/>
  <c r="AF14" i="1161"/>
  <c r="AB14" i="1161"/>
  <c r="Q14" i="1161"/>
  <c r="P14" i="1161"/>
  <c r="AC14" i="1161" s="1"/>
  <c r="AD14" i="1161" s="1"/>
  <c r="O14" i="1161"/>
  <c r="M14" i="1161"/>
  <c r="K14" i="1161"/>
  <c r="AF13" i="1161"/>
  <c r="Q13" i="1161"/>
  <c r="P13" i="1161"/>
  <c r="AC13" i="1161" s="1"/>
  <c r="O13" i="1161"/>
  <c r="AB13" i="1161"/>
  <c r="AF12" i="1161"/>
  <c r="AB12" i="1161"/>
  <c r="Q12" i="1161"/>
  <c r="P12" i="1161" s="1"/>
  <c r="AC12" i="1161" s="1"/>
  <c r="AD12" i="1161" s="1"/>
  <c r="O12" i="1161"/>
  <c r="M12" i="1161"/>
  <c r="AF11" i="1161"/>
  <c r="AB11" i="1161"/>
  <c r="Q11" i="1161"/>
  <c r="P11" i="1161"/>
  <c r="AC11" i="1161" s="1"/>
  <c r="O11" i="1161"/>
  <c r="M11" i="1161"/>
  <c r="K11" i="1161"/>
  <c r="AF10" i="1161"/>
  <c r="Q10" i="1161"/>
  <c r="P10" i="1161"/>
  <c r="AC10" i="1161" s="1"/>
  <c r="O10" i="1161"/>
  <c r="AB10" i="1161"/>
  <c r="AF9" i="1161"/>
  <c r="AB9" i="1161"/>
  <c r="Q9" i="1161"/>
  <c r="O9" i="1161"/>
  <c r="M9" i="1161"/>
  <c r="L21" i="1161"/>
  <c r="O21" i="1161" s="1"/>
  <c r="AF8" i="1161"/>
  <c r="AB8" i="1161"/>
  <c r="Q8" i="1161"/>
  <c r="P8" i="1161"/>
  <c r="AC8" i="1161" s="1"/>
  <c r="AD8" i="1161" s="1"/>
  <c r="O8" i="1161"/>
  <c r="M8" i="1161"/>
  <c r="K8" i="1161"/>
  <c r="AF7" i="1161"/>
  <c r="AC7" i="1161"/>
  <c r="AD7" i="1161" s="1"/>
  <c r="AB7" i="1161"/>
  <c r="Q7" i="1161"/>
  <c r="P7" i="1161"/>
  <c r="O7" i="1161"/>
  <c r="M7" i="1161"/>
  <c r="K7" i="1161"/>
  <c r="AF6" i="1161"/>
  <c r="AB6" i="1161"/>
  <c r="Q6" i="1161"/>
  <c r="P6" i="1161"/>
  <c r="O6" i="1161"/>
  <c r="M6" i="1161"/>
  <c r="K6" i="1161"/>
  <c r="AD20" i="1162" l="1"/>
  <c r="M21" i="1162"/>
  <c r="AB21" i="1162"/>
  <c r="P21" i="1162"/>
  <c r="AD9" i="1162"/>
  <c r="AD16" i="1162"/>
  <c r="AC21" i="1162"/>
  <c r="AD6" i="1162"/>
  <c r="Q21" i="1161"/>
  <c r="AD11" i="1161"/>
  <c r="AD15" i="1161"/>
  <c r="AD17" i="1161"/>
  <c r="AD20" i="1161"/>
  <c r="AD18" i="1161"/>
  <c r="AD19" i="1161"/>
  <c r="AD10" i="1161"/>
  <c r="AD13" i="1161"/>
  <c r="AC6" i="1161"/>
  <c r="P9" i="1161"/>
  <c r="AC9" i="1161" s="1"/>
  <c r="AD9" i="1161" s="1"/>
  <c r="K21" i="1161"/>
  <c r="M16" i="1161"/>
  <c r="AB16" i="1161"/>
  <c r="AB21" i="1161" s="1"/>
  <c r="M10" i="1161"/>
  <c r="M13" i="1161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AD21" i="1162" l="1"/>
  <c r="M21" i="1161"/>
  <c r="AD16" i="1161"/>
  <c r="AC21" i="1161"/>
  <c r="AD6" i="1161"/>
  <c r="AD21" i="1161" s="1"/>
  <c r="P21" i="1161"/>
  <c r="L20" i="1160"/>
  <c r="L18" i="1160"/>
  <c r="K18" i="1160" s="1"/>
  <c r="L16" i="1160"/>
  <c r="L13" i="1160"/>
  <c r="L12" i="1160"/>
  <c r="M12" i="1160" s="1"/>
  <c r="K12" i="1160"/>
  <c r="L10" i="1160"/>
  <c r="K10" i="1160" s="1"/>
  <c r="L9" i="1160"/>
  <c r="K9" i="1160" s="1"/>
  <c r="K19" i="1160"/>
  <c r="K17" i="1160"/>
  <c r="K16" i="1160"/>
  <c r="K13" i="1160"/>
  <c r="K6" i="1160"/>
  <c r="A75" i="1160"/>
  <c r="A76" i="1160" s="1"/>
  <c r="A77" i="1160" s="1"/>
  <c r="A78" i="1160" s="1"/>
  <c r="A79" i="1160" s="1"/>
  <c r="A80" i="1160" s="1"/>
  <c r="A81" i="1160" s="1"/>
  <c r="A74" i="1160"/>
  <c r="AF62" i="1160"/>
  <c r="AF60" i="1160"/>
  <c r="AF59" i="1160"/>
  <c r="AA21" i="1160"/>
  <c r="Z21" i="1160"/>
  <c r="Y21" i="1160"/>
  <c r="X21" i="1160"/>
  <c r="W21" i="1160"/>
  <c r="V21" i="1160"/>
  <c r="U21" i="1160"/>
  <c r="T21" i="1160"/>
  <c r="S21" i="1160"/>
  <c r="R21" i="1160"/>
  <c r="N21" i="1160"/>
  <c r="J21" i="1160"/>
  <c r="I21" i="1160"/>
  <c r="AF20" i="1160"/>
  <c r="AB20" i="1160"/>
  <c r="Q20" i="1160"/>
  <c r="P20" i="1160"/>
  <c r="AC20" i="1160" s="1"/>
  <c r="O20" i="1160"/>
  <c r="M20" i="1160"/>
  <c r="K20" i="1160"/>
  <c r="AF19" i="1160"/>
  <c r="AB19" i="1160"/>
  <c r="Q19" i="1160"/>
  <c r="P19" i="1160" s="1"/>
  <c r="AC19" i="1160" s="1"/>
  <c r="AD19" i="1160" s="1"/>
  <c r="O19" i="1160"/>
  <c r="M19" i="1160"/>
  <c r="AF18" i="1160"/>
  <c r="AB18" i="1160"/>
  <c r="Q18" i="1160"/>
  <c r="P18" i="1160"/>
  <c r="AC18" i="1160" s="1"/>
  <c r="O18" i="1160"/>
  <c r="M18" i="1160"/>
  <c r="AF17" i="1160"/>
  <c r="AB17" i="1160"/>
  <c r="Q17" i="1160"/>
  <c r="P17" i="1160" s="1"/>
  <c r="AC17" i="1160" s="1"/>
  <c r="O17" i="1160"/>
  <c r="M17" i="1160"/>
  <c r="AF16" i="1160"/>
  <c r="Q16" i="1160"/>
  <c r="P16" i="1160" s="1"/>
  <c r="AC16" i="1160" s="1"/>
  <c r="O16" i="1160"/>
  <c r="AB16" i="1160"/>
  <c r="AF15" i="1160"/>
  <c r="AB15" i="1160"/>
  <c r="Q15" i="1160"/>
  <c r="P15" i="1160"/>
  <c r="AC15" i="1160" s="1"/>
  <c r="AD15" i="1160" s="1"/>
  <c r="O15" i="1160"/>
  <c r="M15" i="1160"/>
  <c r="K15" i="1160"/>
  <c r="AF14" i="1160"/>
  <c r="AB14" i="1160"/>
  <c r="Q14" i="1160"/>
  <c r="P14" i="1160"/>
  <c r="AC14" i="1160" s="1"/>
  <c r="AD14" i="1160" s="1"/>
  <c r="O14" i="1160"/>
  <c r="M14" i="1160"/>
  <c r="K14" i="1160"/>
  <c r="AF13" i="1160"/>
  <c r="AB13" i="1160"/>
  <c r="Q13" i="1160"/>
  <c r="P13" i="1160"/>
  <c r="AC13" i="1160" s="1"/>
  <c r="O13" i="1160"/>
  <c r="M13" i="1160"/>
  <c r="AF12" i="1160"/>
  <c r="Q12" i="1160"/>
  <c r="O12" i="1160"/>
  <c r="AF11" i="1160"/>
  <c r="AC11" i="1160"/>
  <c r="AB11" i="1160"/>
  <c r="Q11" i="1160"/>
  <c r="P11" i="1160"/>
  <c r="O11" i="1160"/>
  <c r="M11" i="1160"/>
  <c r="K11" i="1160"/>
  <c r="AF10" i="1160"/>
  <c r="Q10" i="1160"/>
  <c r="L21" i="1160"/>
  <c r="O21" i="1160" s="1"/>
  <c r="AF9" i="1160"/>
  <c r="AB9" i="1160"/>
  <c r="Q9" i="1160"/>
  <c r="P9" i="1160" s="1"/>
  <c r="AC9" i="1160" s="1"/>
  <c r="O9" i="1160"/>
  <c r="M9" i="1160"/>
  <c r="AF8" i="1160"/>
  <c r="AB8" i="1160"/>
  <c r="Q8" i="1160"/>
  <c r="P8" i="1160"/>
  <c r="AC8" i="1160" s="1"/>
  <c r="O8" i="1160"/>
  <c r="M8" i="1160"/>
  <c r="K8" i="1160"/>
  <c r="AF7" i="1160"/>
  <c r="AB7" i="1160"/>
  <c r="Q7" i="1160"/>
  <c r="P7" i="1160"/>
  <c r="AC7" i="1160" s="1"/>
  <c r="O7" i="1160"/>
  <c r="M7" i="1160"/>
  <c r="K7" i="1160"/>
  <c r="AF6" i="1160"/>
  <c r="AB6" i="1160"/>
  <c r="Q6" i="1160"/>
  <c r="P6" i="1160"/>
  <c r="AC6" i="1160" s="1"/>
  <c r="O6" i="1160"/>
  <c r="M6" i="1160"/>
  <c r="AE18" i="1162" l="1"/>
  <c r="AE15" i="1162"/>
  <c r="AE13" i="1162"/>
  <c r="AE11" i="1162"/>
  <c r="AE8" i="1162"/>
  <c r="AE19" i="1162"/>
  <c r="AE16" i="1162"/>
  <c r="AE20" i="1162"/>
  <c r="AE17" i="1162"/>
  <c r="AE12" i="1162"/>
  <c r="AE10" i="1162"/>
  <c r="AE7" i="1162"/>
  <c r="AE6" i="1162"/>
  <c r="AE14" i="1162"/>
  <c r="AE9" i="1162"/>
  <c r="AE19" i="1161"/>
  <c r="AE20" i="1161"/>
  <c r="AE17" i="1161"/>
  <c r="AE12" i="1161"/>
  <c r="AE9" i="1161"/>
  <c r="AE16" i="1161"/>
  <c r="AE14" i="1161"/>
  <c r="AE8" i="1161"/>
  <c r="AE6" i="1161"/>
  <c r="AE18" i="1161"/>
  <c r="AE15" i="1161"/>
  <c r="AE13" i="1161"/>
  <c r="AE10" i="1161"/>
  <c r="AE7" i="1161"/>
  <c r="AE11" i="1161"/>
  <c r="AD20" i="1160"/>
  <c r="AB12" i="1160"/>
  <c r="AD12" i="1160" s="1"/>
  <c r="P12" i="1160"/>
  <c r="AC12" i="1160" s="1"/>
  <c r="Q21" i="1160"/>
  <c r="AD9" i="1160"/>
  <c r="AD18" i="1160"/>
  <c r="AD8" i="1160"/>
  <c r="AD11" i="1160"/>
  <c r="AD7" i="1160"/>
  <c r="AD13" i="1160"/>
  <c r="AD17" i="1160"/>
  <c r="AD16" i="1160"/>
  <c r="M10" i="1160"/>
  <c r="AB10" i="1160"/>
  <c r="AD6" i="1160"/>
  <c r="O10" i="1160"/>
  <c r="K21" i="1160"/>
  <c r="P10" i="1160"/>
  <c r="AC10" i="1160" s="1"/>
  <c r="AD10" i="1160" s="1"/>
  <c r="M16" i="1160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K19" i="1159"/>
  <c r="L16" i="1159"/>
  <c r="L13" i="1159"/>
  <c r="L10" i="1159"/>
  <c r="K10" i="1159" s="1"/>
  <c r="K18" i="1159"/>
  <c r="K17" i="1159"/>
  <c r="K16" i="1159"/>
  <c r="K15" i="1159"/>
  <c r="K13" i="1159"/>
  <c r="K12" i="1159"/>
  <c r="K9" i="1159"/>
  <c r="K8" i="1159"/>
  <c r="K7" i="1159"/>
  <c r="K6" i="1159"/>
  <c r="A74" i="1159"/>
  <c r="A75" i="1159" s="1"/>
  <c r="A76" i="1159" s="1"/>
  <c r="A77" i="1159" s="1"/>
  <c r="A78" i="1159" s="1"/>
  <c r="A79" i="1159" s="1"/>
  <c r="A80" i="1159" s="1"/>
  <c r="A81" i="1159" s="1"/>
  <c r="AF60" i="1159"/>
  <c r="AF59" i="1159"/>
  <c r="AA21" i="1159"/>
  <c r="Z21" i="1159"/>
  <c r="Y21" i="1159"/>
  <c r="X21" i="1159"/>
  <c r="W21" i="1159"/>
  <c r="V21" i="1159"/>
  <c r="U21" i="1159"/>
  <c r="T21" i="1159"/>
  <c r="S21" i="1159"/>
  <c r="R21" i="1159"/>
  <c r="N21" i="1159"/>
  <c r="J21" i="1159"/>
  <c r="I21" i="1159"/>
  <c r="AF20" i="1159"/>
  <c r="AB20" i="1159"/>
  <c r="Q20" i="1159"/>
  <c r="P20" i="1159"/>
  <c r="AC20" i="1159" s="1"/>
  <c r="O20" i="1159"/>
  <c r="M20" i="1159"/>
  <c r="K20" i="1159"/>
  <c r="AF19" i="1159"/>
  <c r="AB19" i="1159"/>
  <c r="Q19" i="1159"/>
  <c r="P19" i="1159" s="1"/>
  <c r="AC19" i="1159" s="1"/>
  <c r="O19" i="1159"/>
  <c r="M19" i="1159"/>
  <c r="AF18" i="1159"/>
  <c r="AB18" i="1159"/>
  <c r="Q18" i="1159"/>
  <c r="P18" i="1159"/>
  <c r="AC18" i="1159" s="1"/>
  <c r="O18" i="1159"/>
  <c r="M18" i="1159"/>
  <c r="AF17" i="1159"/>
  <c r="Q17" i="1159"/>
  <c r="P17" i="1159" s="1"/>
  <c r="AC17" i="1159" s="1"/>
  <c r="AF16" i="1159"/>
  <c r="AB16" i="1159"/>
  <c r="Q16" i="1159"/>
  <c r="P16" i="1159"/>
  <c r="AC16" i="1159" s="1"/>
  <c r="O16" i="1159"/>
  <c r="M16" i="1159"/>
  <c r="AF15" i="1159"/>
  <c r="Q15" i="1159"/>
  <c r="P15" i="1159"/>
  <c r="AC15" i="1159" s="1"/>
  <c r="AF14" i="1159"/>
  <c r="AB14" i="1159"/>
  <c r="Q14" i="1159"/>
  <c r="P14" i="1159"/>
  <c r="AC14" i="1159" s="1"/>
  <c r="O14" i="1159"/>
  <c r="M14" i="1159"/>
  <c r="K14" i="1159"/>
  <c r="AF13" i="1159"/>
  <c r="AB13" i="1159"/>
  <c r="Q13" i="1159"/>
  <c r="P13" i="1159" s="1"/>
  <c r="AC13" i="1159" s="1"/>
  <c r="O13" i="1159"/>
  <c r="M13" i="1159"/>
  <c r="AF12" i="1159"/>
  <c r="AB12" i="1159"/>
  <c r="Q12" i="1159"/>
  <c r="P12" i="1159" s="1"/>
  <c r="AC12" i="1159" s="1"/>
  <c r="O12" i="1159"/>
  <c r="M12" i="1159"/>
  <c r="AF11" i="1159"/>
  <c r="AB11" i="1159"/>
  <c r="Q11" i="1159"/>
  <c r="P11" i="1159"/>
  <c r="AC11" i="1159" s="1"/>
  <c r="AD11" i="1159" s="1"/>
  <c r="O11" i="1159"/>
  <c r="M11" i="1159"/>
  <c r="K11" i="1159"/>
  <c r="AF10" i="1159"/>
  <c r="Q10" i="1159"/>
  <c r="L21" i="1159"/>
  <c r="O21" i="1159" s="1"/>
  <c r="AF9" i="1159"/>
  <c r="AB9" i="1159"/>
  <c r="Q9" i="1159"/>
  <c r="P9" i="1159"/>
  <c r="AC9" i="1159" s="1"/>
  <c r="O9" i="1159"/>
  <c r="M9" i="1159"/>
  <c r="AF8" i="1159"/>
  <c r="AB8" i="1159"/>
  <c r="Q8" i="1159"/>
  <c r="P8" i="1159" s="1"/>
  <c r="AC8" i="1159" s="1"/>
  <c r="O8" i="1159"/>
  <c r="M8" i="1159"/>
  <c r="AF7" i="1159"/>
  <c r="AB7" i="1159"/>
  <c r="Q7" i="1159"/>
  <c r="P7" i="1159"/>
  <c r="AC7" i="1159" s="1"/>
  <c r="O7" i="1159"/>
  <c r="M7" i="1159"/>
  <c r="AF6" i="1159"/>
  <c r="AB6" i="1159"/>
  <c r="Q6" i="1159"/>
  <c r="O6" i="1159"/>
  <c r="M6" i="1159"/>
  <c r="AB21" i="1160" l="1"/>
  <c r="AD21" i="1160"/>
  <c r="AE8" i="1160" s="1"/>
  <c r="AC21" i="1160"/>
  <c r="M21" i="1160"/>
  <c r="P21" i="1160"/>
  <c r="AF62" i="1159"/>
  <c r="AD14" i="1159"/>
  <c r="AD20" i="1159"/>
  <c r="AD19" i="1159"/>
  <c r="AD13" i="1159"/>
  <c r="Q21" i="1159"/>
  <c r="P6" i="1159"/>
  <c r="AD16" i="1159"/>
  <c r="AD8" i="1159"/>
  <c r="AD9" i="1159"/>
  <c r="AD7" i="1159"/>
  <c r="AD12" i="1159"/>
  <c r="AD18" i="1159"/>
  <c r="AC6" i="1159"/>
  <c r="M10" i="1159"/>
  <c r="AB15" i="1159"/>
  <c r="M17" i="1159"/>
  <c r="O10" i="1159"/>
  <c r="O15" i="1159"/>
  <c r="O17" i="1159"/>
  <c r="AB10" i="1159"/>
  <c r="M15" i="1159"/>
  <c r="AB17" i="1159"/>
  <c r="AD17" i="1159" s="1"/>
  <c r="K21" i="1159"/>
  <c r="P10" i="1159"/>
  <c r="AC10" i="1159" s="1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K20" i="1158"/>
  <c r="L19" i="1158"/>
  <c r="K19" i="1158" s="1"/>
  <c r="L18" i="1158"/>
  <c r="K18" i="1158" s="1"/>
  <c r="AF18" i="1158"/>
  <c r="AB18" i="1158"/>
  <c r="Q18" i="1158"/>
  <c r="P18" i="1158" s="1"/>
  <c r="AC18" i="1158" s="1"/>
  <c r="O18" i="1158"/>
  <c r="M18" i="1158"/>
  <c r="K17" i="1158"/>
  <c r="L16" i="1158"/>
  <c r="K16" i="1158" s="1"/>
  <c r="L15" i="1158"/>
  <c r="L13" i="1158"/>
  <c r="K13" i="1158" s="1"/>
  <c r="L10" i="1158"/>
  <c r="K10" i="1158" s="1"/>
  <c r="L6" i="1158"/>
  <c r="K6" i="1158" s="1"/>
  <c r="K15" i="1158"/>
  <c r="K12" i="1158"/>
  <c r="K9" i="1158"/>
  <c r="K8" i="1158"/>
  <c r="K7" i="1158"/>
  <c r="A75" i="1158"/>
  <c r="A76" i="1158" s="1"/>
  <c r="A77" i="1158" s="1"/>
  <c r="A78" i="1158" s="1"/>
  <c r="A79" i="1158" s="1"/>
  <c r="A80" i="1158" s="1"/>
  <c r="A81" i="1158" s="1"/>
  <c r="A82" i="1158" s="1"/>
  <c r="AF61" i="1158"/>
  <c r="AF63" i="1158" s="1"/>
  <c r="AF60" i="1158"/>
  <c r="AA22" i="1158"/>
  <c r="Z22" i="1158"/>
  <c r="Y22" i="1158"/>
  <c r="X22" i="1158"/>
  <c r="W22" i="1158"/>
  <c r="V22" i="1158"/>
  <c r="U22" i="1158"/>
  <c r="T22" i="1158"/>
  <c r="S22" i="1158"/>
  <c r="R22" i="1158"/>
  <c r="N22" i="1158"/>
  <c r="J22" i="1158"/>
  <c r="I22" i="1158"/>
  <c r="AF21" i="1158"/>
  <c r="AB21" i="1158"/>
  <c r="Q21" i="1158"/>
  <c r="P21" i="1158"/>
  <c r="AC21" i="1158" s="1"/>
  <c r="O21" i="1158"/>
  <c r="M21" i="1158"/>
  <c r="K21" i="1158"/>
  <c r="AF20" i="1158"/>
  <c r="AB20" i="1158"/>
  <c r="Q20" i="1158"/>
  <c r="P20" i="1158" s="1"/>
  <c r="AC20" i="1158" s="1"/>
  <c r="M20" i="1158"/>
  <c r="O20" i="1158"/>
  <c r="AF19" i="1158"/>
  <c r="Q19" i="1158"/>
  <c r="P19" i="1158" s="1"/>
  <c r="AC19" i="1158" s="1"/>
  <c r="AF17" i="1158"/>
  <c r="AB17" i="1158"/>
  <c r="Q17" i="1158"/>
  <c r="P17" i="1158" s="1"/>
  <c r="AC17" i="1158" s="1"/>
  <c r="M17" i="1158"/>
  <c r="O17" i="1158"/>
  <c r="AF16" i="1158"/>
  <c r="Q16" i="1158"/>
  <c r="AF15" i="1158"/>
  <c r="AB15" i="1158"/>
  <c r="Q15" i="1158"/>
  <c r="P15" i="1158" s="1"/>
  <c r="AC15" i="1158" s="1"/>
  <c r="O15" i="1158"/>
  <c r="M15" i="1158"/>
  <c r="AF14" i="1158"/>
  <c r="AB14" i="1158"/>
  <c r="Q14" i="1158"/>
  <c r="P14" i="1158" s="1"/>
  <c r="AC14" i="1158" s="1"/>
  <c r="O14" i="1158"/>
  <c r="M14" i="1158"/>
  <c r="K14" i="1158"/>
  <c r="AF13" i="1158"/>
  <c r="AB13" i="1158"/>
  <c r="Q13" i="1158"/>
  <c r="P13" i="1158" s="1"/>
  <c r="AC13" i="1158" s="1"/>
  <c r="O13" i="1158"/>
  <c r="M13" i="1158"/>
  <c r="AF12" i="1158"/>
  <c r="Q12" i="1158"/>
  <c r="AB12" i="1158"/>
  <c r="AF11" i="1158"/>
  <c r="AB11" i="1158"/>
  <c r="Q11" i="1158"/>
  <c r="P11" i="1158"/>
  <c r="AC11" i="1158" s="1"/>
  <c r="O11" i="1158"/>
  <c r="M11" i="1158"/>
  <c r="K11" i="1158"/>
  <c r="AF10" i="1158"/>
  <c r="AB10" i="1158"/>
  <c r="Q10" i="1158"/>
  <c r="P10" i="1158" s="1"/>
  <c r="AC10" i="1158" s="1"/>
  <c r="O10" i="1158"/>
  <c r="M10" i="1158"/>
  <c r="AF9" i="1158"/>
  <c r="AB9" i="1158"/>
  <c r="Q9" i="1158"/>
  <c r="P9" i="1158" s="1"/>
  <c r="AC9" i="1158" s="1"/>
  <c r="O9" i="1158"/>
  <c r="M9" i="1158"/>
  <c r="AF8" i="1158"/>
  <c r="Q8" i="1158"/>
  <c r="O8" i="1158"/>
  <c r="P8" i="1158"/>
  <c r="AC8" i="1158" s="1"/>
  <c r="AF7" i="1158"/>
  <c r="AB7" i="1158"/>
  <c r="Q7" i="1158"/>
  <c r="P7" i="1158" s="1"/>
  <c r="AC7" i="1158" s="1"/>
  <c r="M7" i="1158"/>
  <c r="O7" i="1158"/>
  <c r="AF6" i="1158"/>
  <c r="Q6" i="1158"/>
  <c r="AB6" i="1158"/>
  <c r="AE10" i="1160" l="1"/>
  <c r="AE9" i="1160"/>
  <c r="AE11" i="1160"/>
  <c r="AE13" i="1160"/>
  <c r="AE14" i="1160"/>
  <c r="AE16" i="1160"/>
  <c r="AE12" i="1160"/>
  <c r="AE15" i="1160"/>
  <c r="AE17" i="1160"/>
  <c r="AE18" i="1160"/>
  <c r="AE6" i="1160"/>
  <c r="AE7" i="1160"/>
  <c r="AE19" i="1160"/>
  <c r="AE20" i="1160"/>
  <c r="M21" i="1159"/>
  <c r="AB21" i="1159"/>
  <c r="AD15" i="1159"/>
  <c r="P21" i="1159"/>
  <c r="AD10" i="1159"/>
  <c r="AC21" i="1159"/>
  <c r="AD6" i="1159"/>
  <c r="P16" i="1158"/>
  <c r="AC16" i="1158" s="1"/>
  <c r="O19" i="1158"/>
  <c r="AD20" i="1158"/>
  <c r="AD18" i="1158"/>
  <c r="O16" i="1158"/>
  <c r="AD9" i="1158"/>
  <c r="Q22" i="1158"/>
  <c r="AD13" i="1158"/>
  <c r="AD14" i="1158"/>
  <c r="AD15" i="1158"/>
  <c r="AD21" i="1158"/>
  <c r="AD11" i="1158"/>
  <c r="AD10" i="1158"/>
  <c r="AD17" i="1158"/>
  <c r="AD7" i="1158"/>
  <c r="O6" i="1158"/>
  <c r="O12" i="1158"/>
  <c r="P6" i="1158"/>
  <c r="M8" i="1158"/>
  <c r="AB8" i="1158"/>
  <c r="AD8" i="1158" s="1"/>
  <c r="P12" i="1158"/>
  <c r="AC12" i="1158" s="1"/>
  <c r="AD12" i="1158" s="1"/>
  <c r="M16" i="1158"/>
  <c r="AB16" i="1158"/>
  <c r="AD16" i="1158" s="1"/>
  <c r="M19" i="1158"/>
  <c r="AB19" i="1158"/>
  <c r="L22" i="1158"/>
  <c r="O22" i="1158" s="1"/>
  <c r="M6" i="1158"/>
  <c r="M12" i="1158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1157"/>
  <c r="K20" i="1157" s="1"/>
  <c r="K18" i="1157"/>
  <c r="AF18" i="1157"/>
  <c r="Q18" i="1157"/>
  <c r="AB18" i="1157"/>
  <c r="L19" i="1157"/>
  <c r="K19" i="1157" s="1"/>
  <c r="L17" i="1157"/>
  <c r="K17" i="1157" s="1"/>
  <c r="L16" i="1157"/>
  <c r="K16" i="1157" s="1"/>
  <c r="L15" i="1157"/>
  <c r="L12" i="1157"/>
  <c r="K12" i="1157" s="1"/>
  <c r="L10" i="1157"/>
  <c r="K10" i="1157" s="1"/>
  <c r="K9" i="1157"/>
  <c r="L8" i="1157"/>
  <c r="K8" i="1157" s="1"/>
  <c r="L7" i="1157"/>
  <c r="K7" i="1157" s="1"/>
  <c r="L6" i="1157"/>
  <c r="K15" i="1157"/>
  <c r="A76" i="1157"/>
  <c r="A77" i="1157" s="1"/>
  <c r="A78" i="1157" s="1"/>
  <c r="A79" i="1157" s="1"/>
  <c r="A80" i="1157" s="1"/>
  <c r="A81" i="1157" s="1"/>
  <c r="A82" i="1157" s="1"/>
  <c r="A75" i="1157"/>
  <c r="AF61" i="1157"/>
  <c r="AF60" i="1157"/>
  <c r="AF63" i="1157" s="1"/>
  <c r="AA22" i="1157"/>
  <c r="Z22" i="1157"/>
  <c r="Y22" i="1157"/>
  <c r="X22" i="1157"/>
  <c r="W22" i="1157"/>
  <c r="V22" i="1157"/>
  <c r="U22" i="1157"/>
  <c r="T22" i="1157"/>
  <c r="S22" i="1157"/>
  <c r="R22" i="1157"/>
  <c r="N22" i="1157"/>
  <c r="J22" i="1157"/>
  <c r="I22" i="1157"/>
  <c r="AF21" i="1157"/>
  <c r="AB21" i="1157"/>
  <c r="Q21" i="1157"/>
  <c r="P21" i="1157"/>
  <c r="AC21" i="1157" s="1"/>
  <c r="O21" i="1157"/>
  <c r="M21" i="1157"/>
  <c r="K21" i="1157"/>
  <c r="AF20" i="1157"/>
  <c r="Q20" i="1157"/>
  <c r="P20" i="1157" s="1"/>
  <c r="AC20" i="1157" s="1"/>
  <c r="O20" i="1157"/>
  <c r="AB20" i="1157"/>
  <c r="AF19" i="1157"/>
  <c r="AB19" i="1157"/>
  <c r="Q19" i="1157"/>
  <c r="P19" i="1157" s="1"/>
  <c r="AC19" i="1157" s="1"/>
  <c r="O19" i="1157"/>
  <c r="M19" i="1157"/>
  <c r="AF17" i="1157"/>
  <c r="AB17" i="1157"/>
  <c r="Q17" i="1157"/>
  <c r="P17" i="1157" s="1"/>
  <c r="AC17" i="1157" s="1"/>
  <c r="O17" i="1157"/>
  <c r="M17" i="1157"/>
  <c r="AF16" i="1157"/>
  <c r="Q16" i="1157"/>
  <c r="P16" i="1157"/>
  <c r="AC16" i="1157" s="1"/>
  <c r="AB16" i="1157"/>
  <c r="AF15" i="1157"/>
  <c r="AB15" i="1157"/>
  <c r="Q15" i="1157"/>
  <c r="P15" i="1157" s="1"/>
  <c r="AC15" i="1157" s="1"/>
  <c r="O15" i="1157"/>
  <c r="M15" i="1157"/>
  <c r="AF14" i="1157"/>
  <c r="AB14" i="1157"/>
  <c r="Q14" i="1157"/>
  <c r="P14" i="1157"/>
  <c r="AC14" i="1157" s="1"/>
  <c r="O14" i="1157"/>
  <c r="M14" i="1157"/>
  <c r="K14" i="1157"/>
  <c r="AF13" i="1157"/>
  <c r="AC13" i="1157"/>
  <c r="AB13" i="1157"/>
  <c r="Q13" i="1157"/>
  <c r="P13" i="1157"/>
  <c r="O13" i="1157"/>
  <c r="M13" i="1157"/>
  <c r="K13" i="1157"/>
  <c r="AF12" i="1157"/>
  <c r="Q12" i="1157"/>
  <c r="O12" i="1157"/>
  <c r="AF11" i="1157"/>
  <c r="AB11" i="1157"/>
  <c r="Q11" i="1157"/>
  <c r="P11" i="1157"/>
  <c r="AC11" i="1157" s="1"/>
  <c r="O11" i="1157"/>
  <c r="M11" i="1157"/>
  <c r="K11" i="1157"/>
  <c r="AF10" i="1157"/>
  <c r="AB10" i="1157"/>
  <c r="Q10" i="1157"/>
  <c r="P10" i="1157" s="1"/>
  <c r="AC10" i="1157" s="1"/>
  <c r="O10" i="1157"/>
  <c r="M10" i="1157"/>
  <c r="AF9" i="1157"/>
  <c r="AB9" i="1157"/>
  <c r="Q9" i="1157"/>
  <c r="P9" i="1157" s="1"/>
  <c r="AC9" i="1157" s="1"/>
  <c r="O9" i="1157"/>
  <c r="M9" i="1157"/>
  <c r="AF8" i="1157"/>
  <c r="Q8" i="1157"/>
  <c r="P8" i="1157"/>
  <c r="AC8" i="1157" s="1"/>
  <c r="O8" i="1157"/>
  <c r="AB8" i="1157"/>
  <c r="AF7" i="1157"/>
  <c r="AB7" i="1157"/>
  <c r="Q7" i="1157"/>
  <c r="P7" i="1157" s="1"/>
  <c r="AC7" i="1157" s="1"/>
  <c r="O7" i="1157"/>
  <c r="M7" i="1157"/>
  <c r="L22" i="1157"/>
  <c r="O22" i="1157" s="1"/>
  <c r="AF6" i="1157"/>
  <c r="AB6" i="1157"/>
  <c r="Q6" i="1157"/>
  <c r="O6" i="1157"/>
  <c r="M6" i="1157"/>
  <c r="K6" i="1157"/>
  <c r="AD21" i="1159" l="1"/>
  <c r="AD19" i="1158"/>
  <c r="K22" i="1158"/>
  <c r="AB22" i="1158"/>
  <c r="M22" i="1158"/>
  <c r="P22" i="1158"/>
  <c r="AC6" i="1158"/>
  <c r="O18" i="1157"/>
  <c r="P18" i="1157"/>
  <c r="AC18" i="1157" s="1"/>
  <c r="AD18" i="1157" s="1"/>
  <c r="AD17" i="1157"/>
  <c r="M18" i="1157"/>
  <c r="AD19" i="1157"/>
  <c r="O16" i="1157"/>
  <c r="AD9" i="1157"/>
  <c r="Q22" i="1157"/>
  <c r="AD7" i="1157"/>
  <c r="P6" i="1157"/>
  <c r="AC6" i="1157" s="1"/>
  <c r="AD6" i="1157" s="1"/>
  <c r="AD13" i="1157"/>
  <c r="AD14" i="1157"/>
  <c r="AD15" i="1157"/>
  <c r="AD10" i="1157"/>
  <c r="AD11" i="1157"/>
  <c r="AD21" i="1157"/>
  <c r="AE18" i="1157" s="1"/>
  <c r="AD8" i="1157"/>
  <c r="AD16" i="1157"/>
  <c r="AD20" i="1157"/>
  <c r="M8" i="1157"/>
  <c r="P12" i="1157"/>
  <c r="AC12" i="1157" s="1"/>
  <c r="M16" i="1157"/>
  <c r="M20" i="1157"/>
  <c r="M12" i="1157"/>
  <c r="AB12" i="1157"/>
  <c r="AB22" i="1157" s="1"/>
  <c r="K22" i="1157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19" i="1156"/>
  <c r="L18" i="1156"/>
  <c r="L16" i="1156"/>
  <c r="L15" i="1156"/>
  <c r="L12" i="1156"/>
  <c r="K12" i="1156" s="1"/>
  <c r="L10" i="1156"/>
  <c r="K10" i="1156" s="1"/>
  <c r="L8" i="1156"/>
  <c r="K8" i="1156" s="1"/>
  <c r="L7" i="1156"/>
  <c r="K7" i="1156" s="1"/>
  <c r="K19" i="1156"/>
  <c r="K18" i="1156"/>
  <c r="K16" i="1156"/>
  <c r="K15" i="1156"/>
  <c r="K13" i="1156"/>
  <c r="A75" i="1156"/>
  <c r="A76" i="1156" s="1"/>
  <c r="A77" i="1156" s="1"/>
  <c r="A78" i="1156" s="1"/>
  <c r="A79" i="1156" s="1"/>
  <c r="A80" i="1156" s="1"/>
  <c r="A81" i="1156" s="1"/>
  <c r="A74" i="1156"/>
  <c r="AF60" i="1156"/>
  <c r="AF59" i="1156"/>
  <c r="AF62" i="1156" s="1"/>
  <c r="AA21" i="1156"/>
  <c r="Z21" i="1156"/>
  <c r="Y21" i="1156"/>
  <c r="X21" i="1156"/>
  <c r="W21" i="1156"/>
  <c r="V21" i="1156"/>
  <c r="U21" i="1156"/>
  <c r="T21" i="1156"/>
  <c r="S21" i="1156"/>
  <c r="R21" i="1156"/>
  <c r="N21" i="1156"/>
  <c r="J21" i="1156"/>
  <c r="I21" i="1156"/>
  <c r="AF20" i="1156"/>
  <c r="AB20" i="1156"/>
  <c r="Q20" i="1156"/>
  <c r="P20" i="1156"/>
  <c r="AC20" i="1156" s="1"/>
  <c r="AD20" i="1156" s="1"/>
  <c r="O20" i="1156"/>
  <c r="M20" i="1156"/>
  <c r="K20" i="1156"/>
  <c r="AF19" i="1156"/>
  <c r="Q19" i="1156"/>
  <c r="P19" i="1156"/>
  <c r="AC19" i="1156" s="1"/>
  <c r="O19" i="1156"/>
  <c r="AB19" i="1156"/>
  <c r="AF18" i="1156"/>
  <c r="AB18" i="1156"/>
  <c r="Q18" i="1156"/>
  <c r="P18" i="1156" s="1"/>
  <c r="AC18" i="1156" s="1"/>
  <c r="O18" i="1156"/>
  <c r="M18" i="1156"/>
  <c r="AF17" i="1156"/>
  <c r="AB17" i="1156"/>
  <c r="Q17" i="1156"/>
  <c r="P17" i="1156"/>
  <c r="AC17" i="1156" s="1"/>
  <c r="O17" i="1156"/>
  <c r="M17" i="1156"/>
  <c r="K17" i="1156"/>
  <c r="AF16" i="1156"/>
  <c r="Q16" i="1156"/>
  <c r="P16" i="1156"/>
  <c r="AC16" i="1156" s="1"/>
  <c r="O16" i="1156"/>
  <c r="AB16" i="1156"/>
  <c r="AF15" i="1156"/>
  <c r="AB15" i="1156"/>
  <c r="Q15" i="1156"/>
  <c r="P15" i="1156" s="1"/>
  <c r="AC15" i="1156" s="1"/>
  <c r="O15" i="1156"/>
  <c r="M15" i="1156"/>
  <c r="AF14" i="1156"/>
  <c r="AB14" i="1156"/>
  <c r="Q14" i="1156"/>
  <c r="P14" i="1156"/>
  <c r="AC14" i="1156" s="1"/>
  <c r="O14" i="1156"/>
  <c r="M14" i="1156"/>
  <c r="K14" i="1156"/>
  <c r="AF13" i="1156"/>
  <c r="AB13" i="1156"/>
  <c r="Q13" i="1156"/>
  <c r="P13" i="1156"/>
  <c r="AC13" i="1156" s="1"/>
  <c r="O13" i="1156"/>
  <c r="M13" i="1156"/>
  <c r="AF12" i="1156"/>
  <c r="Q12" i="1156"/>
  <c r="O12" i="1156"/>
  <c r="AF11" i="1156"/>
  <c r="AB11" i="1156"/>
  <c r="Q11" i="1156"/>
  <c r="P11" i="1156"/>
  <c r="AC11" i="1156" s="1"/>
  <c r="O11" i="1156"/>
  <c r="M11" i="1156"/>
  <c r="K11" i="1156"/>
  <c r="AF10" i="1156"/>
  <c r="AB10" i="1156"/>
  <c r="Q10" i="1156"/>
  <c r="P10" i="1156" s="1"/>
  <c r="AC10" i="1156" s="1"/>
  <c r="O10" i="1156"/>
  <c r="M10" i="1156"/>
  <c r="AF9" i="1156"/>
  <c r="AB9" i="1156"/>
  <c r="Q9" i="1156"/>
  <c r="P9" i="1156"/>
  <c r="AC9" i="1156" s="1"/>
  <c r="AD9" i="1156" s="1"/>
  <c r="O9" i="1156"/>
  <c r="M9" i="1156"/>
  <c r="K9" i="1156"/>
  <c r="AF8" i="1156"/>
  <c r="Q8" i="1156"/>
  <c r="P8" i="1156" s="1"/>
  <c r="AC8" i="1156" s="1"/>
  <c r="O8" i="1156"/>
  <c r="AB8" i="1156"/>
  <c r="AF7" i="1156"/>
  <c r="AB7" i="1156"/>
  <c r="Q7" i="1156"/>
  <c r="P7" i="1156" s="1"/>
  <c r="AC7" i="1156" s="1"/>
  <c r="O7" i="1156"/>
  <c r="M7" i="1156"/>
  <c r="AF6" i="1156"/>
  <c r="AB6" i="1156"/>
  <c r="Q6" i="1156"/>
  <c r="P6" i="1156"/>
  <c r="AC6" i="1156" s="1"/>
  <c r="O6" i="1156"/>
  <c r="M6" i="1156"/>
  <c r="K6" i="1156"/>
  <c r="AE17" i="1159" l="1"/>
  <c r="AE15" i="1159"/>
  <c r="AE10" i="1159"/>
  <c r="AE20" i="1159"/>
  <c r="AE18" i="1159"/>
  <c r="AE16" i="1159"/>
  <c r="AE13" i="1159"/>
  <c r="AE8" i="1159"/>
  <c r="AE6" i="1159"/>
  <c r="AE9" i="1159"/>
  <c r="AE7" i="1159"/>
  <c r="AE11" i="1159"/>
  <c r="AE19" i="1159"/>
  <c r="AE14" i="1159"/>
  <c r="AE12" i="1159"/>
  <c r="AC22" i="1158"/>
  <c r="AD6" i="1158"/>
  <c r="AD22" i="1158" s="1"/>
  <c r="AE18" i="1158" s="1"/>
  <c r="M22" i="1157"/>
  <c r="AD12" i="1157"/>
  <c r="AD22" i="1157" s="1"/>
  <c r="P22" i="1157"/>
  <c r="AC22" i="1157"/>
  <c r="AD18" i="1156"/>
  <c r="AD10" i="1156"/>
  <c r="Q21" i="1156"/>
  <c r="AD7" i="1156"/>
  <c r="AD17" i="1156"/>
  <c r="AD19" i="1156"/>
  <c r="AD11" i="1156"/>
  <c r="AD14" i="1156"/>
  <c r="AD15" i="1156"/>
  <c r="AD16" i="1156"/>
  <c r="AD13" i="1156"/>
  <c r="AD8" i="1156"/>
  <c r="AD6" i="1156"/>
  <c r="AB12" i="1156"/>
  <c r="AB21" i="1156" s="1"/>
  <c r="M8" i="1156"/>
  <c r="K21" i="1156"/>
  <c r="P12" i="1156"/>
  <c r="AC12" i="1156" s="1"/>
  <c r="M16" i="1156"/>
  <c r="M19" i="1156"/>
  <c r="M12" i="1156"/>
  <c r="L21" i="1156"/>
  <c r="O21" i="1156" s="1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AE20" i="1158" l="1"/>
  <c r="AE17" i="1158"/>
  <c r="AE11" i="1158"/>
  <c r="AE14" i="1158"/>
  <c r="AE12" i="1158"/>
  <c r="AE9" i="1158"/>
  <c r="AE21" i="1158"/>
  <c r="AE15" i="1158"/>
  <c r="AE10" i="1158"/>
  <c r="AE7" i="1158"/>
  <c r="AE13" i="1158"/>
  <c r="AE8" i="1158"/>
  <c r="AE6" i="1158"/>
  <c r="AE19" i="1158"/>
  <c r="AE16" i="1158"/>
  <c r="AE20" i="1157"/>
  <c r="AE16" i="1157"/>
  <c r="AE13" i="1157"/>
  <c r="AE8" i="1157"/>
  <c r="AE12" i="1157"/>
  <c r="AE11" i="1157"/>
  <c r="AE14" i="1157"/>
  <c r="AE9" i="1157"/>
  <c r="AE21" i="1157"/>
  <c r="AE19" i="1157"/>
  <c r="AE15" i="1157"/>
  <c r="AE10" i="1157"/>
  <c r="AE7" i="1157"/>
  <c r="AE17" i="1157"/>
  <c r="AE6" i="1157"/>
  <c r="M21" i="1156"/>
  <c r="P21" i="1156"/>
  <c r="AD12" i="1156"/>
  <c r="AD21" i="1156" s="1"/>
  <c r="AC21" i="1156"/>
  <c r="L19" i="1155"/>
  <c r="L18" i="1155"/>
  <c r="K18" i="1155" s="1"/>
  <c r="L16" i="1155"/>
  <c r="L15" i="1155"/>
  <c r="K15" i="1155" s="1"/>
  <c r="L12" i="1155"/>
  <c r="L10" i="1155"/>
  <c r="L8" i="1155"/>
  <c r="K8" i="1155" s="1"/>
  <c r="L7" i="1155"/>
  <c r="K7" i="1155" s="1"/>
  <c r="AE19" i="1156" l="1"/>
  <c r="AE16" i="1156"/>
  <c r="AE13" i="1156"/>
  <c r="AE8" i="1156"/>
  <c r="AE11" i="1156"/>
  <c r="AE9" i="1156"/>
  <c r="AE20" i="1156"/>
  <c r="AE17" i="1156"/>
  <c r="AE14" i="1156"/>
  <c r="AE12" i="1156"/>
  <c r="AE18" i="1156"/>
  <c r="AE15" i="1156"/>
  <c r="AE10" i="1156"/>
  <c r="AE7" i="1156"/>
  <c r="AE6" i="1156"/>
  <c r="K19" i="1155"/>
  <c r="K16" i="1155"/>
  <c r="K13" i="1155"/>
  <c r="K12" i="1155"/>
  <c r="K10" i="1155"/>
  <c r="K9" i="1155"/>
  <c r="A75" i="1155"/>
  <c r="A76" i="1155" s="1"/>
  <c r="A77" i="1155" s="1"/>
  <c r="A78" i="1155" s="1"/>
  <c r="A79" i="1155" s="1"/>
  <c r="A80" i="1155" s="1"/>
  <c r="A81" i="1155" s="1"/>
  <c r="A74" i="1155"/>
  <c r="AF60" i="1155"/>
  <c r="AF59" i="1155"/>
  <c r="AF62" i="1155" s="1"/>
  <c r="AA21" i="1155"/>
  <c r="Z21" i="1155"/>
  <c r="Y21" i="1155"/>
  <c r="X21" i="1155"/>
  <c r="W21" i="1155"/>
  <c r="V21" i="1155"/>
  <c r="U21" i="1155"/>
  <c r="T21" i="1155"/>
  <c r="S21" i="1155"/>
  <c r="R21" i="1155"/>
  <c r="N21" i="1155"/>
  <c r="J21" i="1155"/>
  <c r="I21" i="1155"/>
  <c r="AF20" i="1155"/>
  <c r="AB20" i="1155"/>
  <c r="Q20" i="1155"/>
  <c r="P20" i="1155"/>
  <c r="AC20" i="1155" s="1"/>
  <c r="O20" i="1155"/>
  <c r="M20" i="1155"/>
  <c r="K20" i="1155"/>
  <c r="AF19" i="1155"/>
  <c r="Q19" i="1155"/>
  <c r="P19" i="1155"/>
  <c r="AC19" i="1155" s="1"/>
  <c r="O19" i="1155"/>
  <c r="AB19" i="1155"/>
  <c r="AF18" i="1155"/>
  <c r="AB18" i="1155"/>
  <c r="Q18" i="1155"/>
  <c r="P18" i="1155" s="1"/>
  <c r="AC18" i="1155" s="1"/>
  <c r="O18" i="1155"/>
  <c r="M18" i="1155"/>
  <c r="AF17" i="1155"/>
  <c r="AB17" i="1155"/>
  <c r="Q17" i="1155"/>
  <c r="P17" i="1155"/>
  <c r="AC17" i="1155" s="1"/>
  <c r="O17" i="1155"/>
  <c r="M17" i="1155"/>
  <c r="K17" i="1155"/>
  <c r="AF16" i="1155"/>
  <c r="Q16" i="1155"/>
  <c r="P16" i="1155" s="1"/>
  <c r="AC16" i="1155" s="1"/>
  <c r="O16" i="1155"/>
  <c r="AB16" i="1155"/>
  <c r="AF15" i="1155"/>
  <c r="AB15" i="1155"/>
  <c r="Q15" i="1155"/>
  <c r="P15" i="1155" s="1"/>
  <c r="AC15" i="1155" s="1"/>
  <c r="O15" i="1155"/>
  <c r="M15" i="1155"/>
  <c r="AF14" i="1155"/>
  <c r="AB14" i="1155"/>
  <c r="Q14" i="1155"/>
  <c r="P14" i="1155"/>
  <c r="AC14" i="1155" s="1"/>
  <c r="O14" i="1155"/>
  <c r="M14" i="1155"/>
  <c r="K14" i="1155"/>
  <c r="AF13" i="1155"/>
  <c r="AB13" i="1155"/>
  <c r="Q13" i="1155"/>
  <c r="P13" i="1155" s="1"/>
  <c r="AC13" i="1155" s="1"/>
  <c r="O13" i="1155"/>
  <c r="M13" i="1155"/>
  <c r="AF12" i="1155"/>
  <c r="AB12" i="1155"/>
  <c r="Q12" i="1155"/>
  <c r="P12" i="1155" s="1"/>
  <c r="AC12" i="1155" s="1"/>
  <c r="M12" i="1155"/>
  <c r="AF11" i="1155"/>
  <c r="AB11" i="1155"/>
  <c r="Q11" i="1155"/>
  <c r="P11" i="1155"/>
  <c r="AC11" i="1155" s="1"/>
  <c r="AD11" i="1155" s="1"/>
  <c r="O11" i="1155"/>
  <c r="M11" i="1155"/>
  <c r="K11" i="1155"/>
  <c r="AF10" i="1155"/>
  <c r="AB10" i="1155"/>
  <c r="Q10" i="1155"/>
  <c r="P10" i="1155" s="1"/>
  <c r="AC10" i="1155" s="1"/>
  <c r="O10" i="1155"/>
  <c r="M10" i="1155"/>
  <c r="AF9" i="1155"/>
  <c r="AB9" i="1155"/>
  <c r="Q9" i="1155"/>
  <c r="M9" i="1155"/>
  <c r="P9" i="1155"/>
  <c r="AC9" i="1155" s="1"/>
  <c r="AF8" i="1155"/>
  <c r="Q8" i="1155"/>
  <c r="L21" i="1155"/>
  <c r="O21" i="1155" s="1"/>
  <c r="AF7" i="1155"/>
  <c r="AB7" i="1155"/>
  <c r="Q7" i="1155"/>
  <c r="P7" i="1155" s="1"/>
  <c r="AC7" i="1155" s="1"/>
  <c r="O7" i="1155"/>
  <c r="M7" i="1155"/>
  <c r="AF6" i="1155"/>
  <c r="AC6" i="1155"/>
  <c r="AB6" i="1155"/>
  <c r="Q6" i="1155"/>
  <c r="P6" i="1155"/>
  <c r="O6" i="1155"/>
  <c r="M6" i="1155"/>
  <c r="K6" i="1155"/>
  <c r="AD18" i="1155" l="1"/>
  <c r="AD13" i="1155"/>
  <c r="Q21" i="1155"/>
  <c r="AD10" i="1155"/>
  <c r="AD17" i="1155"/>
  <c r="AD7" i="1155"/>
  <c r="AD14" i="1155"/>
  <c r="AD15" i="1155"/>
  <c r="AD20" i="1155"/>
  <c r="AD16" i="1155"/>
  <c r="AD19" i="1155"/>
  <c r="M8" i="1155"/>
  <c r="AB8" i="1155"/>
  <c r="AB21" i="1155" s="1"/>
  <c r="O9" i="1155"/>
  <c r="AD9" i="1155" s="1"/>
  <c r="O12" i="1155"/>
  <c r="AD12" i="1155" s="1"/>
  <c r="AD6" i="1155"/>
  <c r="O8" i="1155"/>
  <c r="K21" i="1155"/>
  <c r="M16" i="1155"/>
  <c r="M19" i="1155"/>
  <c r="P8" i="1155"/>
  <c r="AC8" i="1155" s="1"/>
  <c r="K19" i="1154"/>
  <c r="K19" i="1153"/>
  <c r="L19" i="1154"/>
  <c r="L18" i="1154"/>
  <c r="L16" i="1154"/>
  <c r="L13" i="1154"/>
  <c r="K13" i="1154" s="1"/>
  <c r="L12" i="1154"/>
  <c r="L10" i="1154"/>
  <c r="K10" i="1154" s="1"/>
  <c r="L9" i="1154"/>
  <c r="K9" i="1154" s="1"/>
  <c r="L8" i="1154"/>
  <c r="K8" i="1154" s="1"/>
  <c r="K18" i="1154"/>
  <c r="K16" i="1154"/>
  <c r="K12" i="1154"/>
  <c r="K7" i="1154"/>
  <c r="A74" i="1154"/>
  <c r="A75" i="1154" s="1"/>
  <c r="A76" i="1154" s="1"/>
  <c r="A77" i="1154" s="1"/>
  <c r="A78" i="1154" s="1"/>
  <c r="A79" i="1154" s="1"/>
  <c r="A80" i="1154" s="1"/>
  <c r="A81" i="1154" s="1"/>
  <c r="AF62" i="1154"/>
  <c r="AF60" i="1154"/>
  <c r="AF59" i="1154"/>
  <c r="AA21" i="1154"/>
  <c r="Z21" i="1154"/>
  <c r="Y21" i="1154"/>
  <c r="X21" i="1154"/>
  <c r="W21" i="1154"/>
  <c r="V21" i="1154"/>
  <c r="U21" i="1154"/>
  <c r="T21" i="1154"/>
  <c r="S21" i="1154"/>
  <c r="R21" i="1154"/>
  <c r="N21" i="1154"/>
  <c r="J21" i="1154"/>
  <c r="I21" i="1154"/>
  <c r="AF20" i="1154"/>
  <c r="AC20" i="1154"/>
  <c r="AB20" i="1154"/>
  <c r="Q20" i="1154"/>
  <c r="P20" i="1154"/>
  <c r="O20" i="1154"/>
  <c r="M20" i="1154"/>
  <c r="K20" i="1154"/>
  <c r="AF19" i="1154"/>
  <c r="Q19" i="1154"/>
  <c r="P19" i="1154" s="1"/>
  <c r="AC19" i="1154" s="1"/>
  <c r="AF18" i="1154"/>
  <c r="Q18" i="1154"/>
  <c r="P18" i="1154"/>
  <c r="AC18" i="1154" s="1"/>
  <c r="O18" i="1154"/>
  <c r="AF17" i="1154"/>
  <c r="AC17" i="1154"/>
  <c r="AB17" i="1154"/>
  <c r="Q17" i="1154"/>
  <c r="P17" i="1154"/>
  <c r="O17" i="1154"/>
  <c r="M17" i="1154"/>
  <c r="K17" i="1154"/>
  <c r="AF16" i="1154"/>
  <c r="Q16" i="1154"/>
  <c r="P16" i="1154"/>
  <c r="AC16" i="1154" s="1"/>
  <c r="AF15" i="1154"/>
  <c r="AB15" i="1154"/>
  <c r="Q15" i="1154"/>
  <c r="P15" i="1154"/>
  <c r="AC15" i="1154" s="1"/>
  <c r="O15" i="1154"/>
  <c r="M15" i="1154"/>
  <c r="K15" i="1154"/>
  <c r="AF14" i="1154"/>
  <c r="AC14" i="1154"/>
  <c r="AD14" i="1154" s="1"/>
  <c r="AB14" i="1154"/>
  <c r="Q14" i="1154"/>
  <c r="P14" i="1154"/>
  <c r="O14" i="1154"/>
  <c r="M14" i="1154"/>
  <c r="K14" i="1154"/>
  <c r="AF13" i="1154"/>
  <c r="AB13" i="1154"/>
  <c r="Q13" i="1154"/>
  <c r="P13" i="1154" s="1"/>
  <c r="AC13" i="1154" s="1"/>
  <c r="O13" i="1154"/>
  <c r="M13" i="1154"/>
  <c r="AF12" i="1154"/>
  <c r="AB12" i="1154"/>
  <c r="Q12" i="1154"/>
  <c r="P12" i="1154" s="1"/>
  <c r="AC12" i="1154" s="1"/>
  <c r="AD12" i="1154" s="1"/>
  <c r="O12" i="1154"/>
  <c r="M12" i="1154"/>
  <c r="AF11" i="1154"/>
  <c r="AB11" i="1154"/>
  <c r="Q11" i="1154"/>
  <c r="P11" i="1154"/>
  <c r="AC11" i="1154" s="1"/>
  <c r="O11" i="1154"/>
  <c r="M11" i="1154"/>
  <c r="K11" i="1154"/>
  <c r="AF10" i="1154"/>
  <c r="AB10" i="1154"/>
  <c r="Q10" i="1154"/>
  <c r="P10" i="1154"/>
  <c r="AC10" i="1154" s="1"/>
  <c r="O10" i="1154"/>
  <c r="M10" i="1154"/>
  <c r="AF9" i="1154"/>
  <c r="AB9" i="1154"/>
  <c r="Q9" i="1154"/>
  <c r="P9" i="1154" s="1"/>
  <c r="AC9" i="1154" s="1"/>
  <c r="O9" i="1154"/>
  <c r="M9" i="1154"/>
  <c r="AF8" i="1154"/>
  <c r="Q8" i="1154"/>
  <c r="P8" i="1154" s="1"/>
  <c r="AC8" i="1154" s="1"/>
  <c r="O8" i="1154"/>
  <c r="AF7" i="1154"/>
  <c r="AB7" i="1154"/>
  <c r="Q7" i="1154"/>
  <c r="P7" i="1154"/>
  <c r="AC7" i="1154" s="1"/>
  <c r="O7" i="1154"/>
  <c r="M7" i="1154"/>
  <c r="L21" i="1154"/>
  <c r="O21" i="1154" s="1"/>
  <c r="AF6" i="1154"/>
  <c r="AC6" i="1154"/>
  <c r="AB6" i="1154"/>
  <c r="Q6" i="1154"/>
  <c r="P6" i="1154"/>
  <c r="O6" i="1154"/>
  <c r="M6" i="1154"/>
  <c r="K6" i="1154"/>
  <c r="P21" i="1155" l="1"/>
  <c r="M21" i="1155"/>
  <c r="AD8" i="1155"/>
  <c r="AD21" i="1155" s="1"/>
  <c r="AC21" i="1155"/>
  <c r="Q21" i="1154"/>
  <c r="AD20" i="1154"/>
  <c r="AD15" i="1154"/>
  <c r="AD10" i="1154"/>
  <c r="AD7" i="1154"/>
  <c r="AD9" i="1154"/>
  <c r="AD11" i="1154"/>
  <c r="AD13" i="1154"/>
  <c r="AD17" i="1154"/>
  <c r="P21" i="1154"/>
  <c r="AC21" i="1154"/>
  <c r="M16" i="1154"/>
  <c r="AB16" i="1154"/>
  <c r="M19" i="1154"/>
  <c r="AB19" i="1154"/>
  <c r="AD6" i="1154"/>
  <c r="M8" i="1154"/>
  <c r="AB8" i="1154"/>
  <c r="K21" i="1154"/>
  <c r="O16" i="1154"/>
  <c r="M18" i="1154"/>
  <c r="AB18" i="1154"/>
  <c r="AD18" i="1154" s="1"/>
  <c r="O19" i="1154"/>
  <c r="L19" i="1153"/>
  <c r="L18" i="1153"/>
  <c r="L16" i="1153"/>
  <c r="K16" i="1153" s="1"/>
  <c r="L12" i="1153"/>
  <c r="L10" i="1153"/>
  <c r="K10" i="1153" s="1"/>
  <c r="L8" i="1153"/>
  <c r="K8" i="1153" s="1"/>
  <c r="L7" i="1153"/>
  <c r="K7" i="1153" s="1"/>
  <c r="K18" i="1153"/>
  <c r="K13" i="1153"/>
  <c r="K12" i="1153"/>
  <c r="K11" i="1153"/>
  <c r="A75" i="1153"/>
  <c r="A76" i="1153" s="1"/>
  <c r="A77" i="1153" s="1"/>
  <c r="A78" i="1153" s="1"/>
  <c r="A79" i="1153" s="1"/>
  <c r="A80" i="1153" s="1"/>
  <c r="A81" i="1153" s="1"/>
  <c r="A74" i="1153"/>
  <c r="AF60" i="1153"/>
  <c r="AF59" i="1153"/>
  <c r="AF62" i="1153" s="1"/>
  <c r="AA21" i="1153"/>
  <c r="Z21" i="1153"/>
  <c r="Y21" i="1153"/>
  <c r="X21" i="1153"/>
  <c r="W21" i="1153"/>
  <c r="V21" i="1153"/>
  <c r="U21" i="1153"/>
  <c r="T21" i="1153"/>
  <c r="S21" i="1153"/>
  <c r="R21" i="1153"/>
  <c r="N21" i="1153"/>
  <c r="J21" i="1153"/>
  <c r="I21" i="1153"/>
  <c r="AF20" i="1153"/>
  <c r="AB20" i="1153"/>
  <c r="Q20" i="1153"/>
  <c r="P20" i="1153"/>
  <c r="AC20" i="1153" s="1"/>
  <c r="AD20" i="1153" s="1"/>
  <c r="O20" i="1153"/>
  <c r="M20" i="1153"/>
  <c r="K20" i="1153"/>
  <c r="AF19" i="1153"/>
  <c r="Q19" i="1153"/>
  <c r="P19" i="1153" s="1"/>
  <c r="AC19" i="1153" s="1"/>
  <c r="O19" i="1153"/>
  <c r="AF18" i="1153"/>
  <c r="AB18" i="1153"/>
  <c r="Q18" i="1153"/>
  <c r="P18" i="1153" s="1"/>
  <c r="AC18" i="1153" s="1"/>
  <c r="M18" i="1153"/>
  <c r="O18" i="1153"/>
  <c r="AF17" i="1153"/>
  <c r="AC17" i="1153"/>
  <c r="AD17" i="1153" s="1"/>
  <c r="AB17" i="1153"/>
  <c r="Q17" i="1153"/>
  <c r="P17" i="1153"/>
  <c r="O17" i="1153"/>
  <c r="M17" i="1153"/>
  <c r="K17" i="1153"/>
  <c r="AF16" i="1153"/>
  <c r="Q16" i="1153"/>
  <c r="P16" i="1153"/>
  <c r="AC16" i="1153" s="1"/>
  <c r="AF15" i="1153"/>
  <c r="AB15" i="1153"/>
  <c r="Q15" i="1153"/>
  <c r="P15" i="1153"/>
  <c r="AC15" i="1153" s="1"/>
  <c r="AD15" i="1153" s="1"/>
  <c r="O15" i="1153"/>
  <c r="M15" i="1153"/>
  <c r="K15" i="1153"/>
  <c r="AF14" i="1153"/>
  <c r="AB14" i="1153"/>
  <c r="Q14" i="1153"/>
  <c r="P14" i="1153"/>
  <c r="AC14" i="1153" s="1"/>
  <c r="O14" i="1153"/>
  <c r="M14" i="1153"/>
  <c r="K14" i="1153"/>
  <c r="AF13" i="1153"/>
  <c r="AB13" i="1153"/>
  <c r="Q13" i="1153"/>
  <c r="P13" i="1153"/>
  <c r="AC13" i="1153" s="1"/>
  <c r="M13" i="1153"/>
  <c r="O13" i="1153"/>
  <c r="AF12" i="1153"/>
  <c r="Q12" i="1153"/>
  <c r="O12" i="1153"/>
  <c r="AB12" i="1153"/>
  <c r="AF11" i="1153"/>
  <c r="AB11" i="1153"/>
  <c r="Q11" i="1153"/>
  <c r="P11" i="1153"/>
  <c r="AC11" i="1153" s="1"/>
  <c r="AD11" i="1153" s="1"/>
  <c r="O11" i="1153"/>
  <c r="M11" i="1153"/>
  <c r="AF10" i="1153"/>
  <c r="Q10" i="1153"/>
  <c r="P10" i="1153"/>
  <c r="AC10" i="1153" s="1"/>
  <c r="AF9" i="1153"/>
  <c r="AB9" i="1153"/>
  <c r="Q9" i="1153"/>
  <c r="P9" i="1153"/>
  <c r="AC9" i="1153" s="1"/>
  <c r="O9" i="1153"/>
  <c r="M9" i="1153"/>
  <c r="K9" i="1153"/>
  <c r="AF8" i="1153"/>
  <c r="AB8" i="1153"/>
  <c r="Q8" i="1153"/>
  <c r="P8" i="1153"/>
  <c r="AC8" i="1153" s="1"/>
  <c r="M8" i="1153"/>
  <c r="O8" i="1153"/>
  <c r="AF7" i="1153"/>
  <c r="Q7" i="1153"/>
  <c r="L21" i="1153"/>
  <c r="O21" i="1153" s="1"/>
  <c r="AF6" i="1153"/>
  <c r="AB6" i="1153"/>
  <c r="Q6" i="1153"/>
  <c r="P6" i="1153"/>
  <c r="O6" i="1153"/>
  <c r="M6" i="1153"/>
  <c r="K6" i="1153"/>
  <c r="AE19" i="1155" l="1"/>
  <c r="AE20" i="1155"/>
  <c r="AE17" i="1155"/>
  <c r="AE12" i="1155"/>
  <c r="AE9" i="1155"/>
  <c r="AE6" i="1155"/>
  <c r="AE14" i="1155"/>
  <c r="AE11" i="1155"/>
  <c r="AE8" i="1155"/>
  <c r="AE18" i="1155"/>
  <c r="AE15" i="1155"/>
  <c r="AE13" i="1155"/>
  <c r="AE10" i="1155"/>
  <c r="AE16" i="1155"/>
  <c r="AE7" i="1155"/>
  <c r="M21" i="1154"/>
  <c r="AD16" i="1154"/>
  <c r="AD19" i="1154"/>
  <c r="AB21" i="1154"/>
  <c r="AD8" i="1154"/>
  <c r="Q21" i="1153"/>
  <c r="AD8" i="1153"/>
  <c r="AD14" i="1153"/>
  <c r="AD9" i="1153"/>
  <c r="AD13" i="1153"/>
  <c r="AD18" i="1153"/>
  <c r="M7" i="1153"/>
  <c r="AB7" i="1153"/>
  <c r="M10" i="1153"/>
  <c r="AB10" i="1153"/>
  <c r="P12" i="1153"/>
  <c r="AC12" i="1153" s="1"/>
  <c r="AD12" i="1153" s="1"/>
  <c r="M16" i="1153"/>
  <c r="AB16" i="1153"/>
  <c r="M19" i="1153"/>
  <c r="AB19" i="1153"/>
  <c r="AD19" i="1153" s="1"/>
  <c r="O7" i="1153"/>
  <c r="O10" i="1153"/>
  <c r="O16" i="1153"/>
  <c r="AC6" i="1153"/>
  <c r="P7" i="1153"/>
  <c r="AC7" i="1153" s="1"/>
  <c r="K21" i="1153"/>
  <c r="M12" i="1153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19" i="1152"/>
  <c r="L18" i="1152"/>
  <c r="L16" i="1152"/>
  <c r="P16" i="1152" s="1"/>
  <c r="AC16" i="1152" s="1"/>
  <c r="L13" i="1152"/>
  <c r="K13" i="1152" s="1"/>
  <c r="L12" i="1152"/>
  <c r="L11" i="1152"/>
  <c r="K11" i="1152" s="1"/>
  <c r="L10" i="1152"/>
  <c r="L8" i="1152"/>
  <c r="K19" i="1152"/>
  <c r="K18" i="1152"/>
  <c r="K16" i="1152"/>
  <c r="K14" i="1152"/>
  <c r="K10" i="1152"/>
  <c r="K8" i="1152"/>
  <c r="L7" i="1152"/>
  <c r="K7" i="1152" s="1"/>
  <c r="A74" i="1152"/>
  <c r="A75" i="1152" s="1"/>
  <c r="A76" i="1152" s="1"/>
  <c r="A77" i="1152" s="1"/>
  <c r="A78" i="1152" s="1"/>
  <c r="A79" i="1152" s="1"/>
  <c r="A80" i="1152" s="1"/>
  <c r="A81" i="1152" s="1"/>
  <c r="AF60" i="1152"/>
  <c r="AF62" i="1152" s="1"/>
  <c r="AF59" i="1152"/>
  <c r="AA21" i="1152"/>
  <c r="Z21" i="1152"/>
  <c r="Y21" i="1152"/>
  <c r="X21" i="1152"/>
  <c r="W21" i="1152"/>
  <c r="V21" i="1152"/>
  <c r="U21" i="1152"/>
  <c r="T21" i="1152"/>
  <c r="S21" i="1152"/>
  <c r="R21" i="1152"/>
  <c r="N21" i="1152"/>
  <c r="J21" i="1152"/>
  <c r="I21" i="1152"/>
  <c r="AF20" i="1152"/>
  <c r="AC20" i="1152"/>
  <c r="AD20" i="1152" s="1"/>
  <c r="AB20" i="1152"/>
  <c r="Q20" i="1152"/>
  <c r="P20" i="1152"/>
  <c r="O20" i="1152"/>
  <c r="M20" i="1152"/>
  <c r="K20" i="1152"/>
  <c r="AF19" i="1152"/>
  <c r="Q19" i="1152"/>
  <c r="P19" i="1152"/>
  <c r="AC19" i="1152" s="1"/>
  <c r="AF18" i="1152"/>
  <c r="Q18" i="1152"/>
  <c r="P18" i="1152" s="1"/>
  <c r="AC18" i="1152" s="1"/>
  <c r="O18" i="1152"/>
  <c r="AB18" i="1152"/>
  <c r="AF17" i="1152"/>
  <c r="AB17" i="1152"/>
  <c r="Q17" i="1152"/>
  <c r="P17" i="1152"/>
  <c r="AC17" i="1152" s="1"/>
  <c r="AD17" i="1152" s="1"/>
  <c r="O17" i="1152"/>
  <c r="M17" i="1152"/>
  <c r="K17" i="1152"/>
  <c r="AF16" i="1152"/>
  <c r="Q16" i="1152"/>
  <c r="AF15" i="1152"/>
  <c r="AB15" i="1152"/>
  <c r="Q15" i="1152"/>
  <c r="P15" i="1152"/>
  <c r="AC15" i="1152" s="1"/>
  <c r="O15" i="1152"/>
  <c r="M15" i="1152"/>
  <c r="K15" i="1152"/>
  <c r="AF14" i="1152"/>
  <c r="AB14" i="1152"/>
  <c r="Q14" i="1152"/>
  <c r="P14" i="1152" s="1"/>
  <c r="AC14" i="1152" s="1"/>
  <c r="AD14" i="1152" s="1"/>
  <c r="O14" i="1152"/>
  <c r="M14" i="1152"/>
  <c r="AF13" i="1152"/>
  <c r="Q13" i="1152"/>
  <c r="P13" i="1152" s="1"/>
  <c r="AC13" i="1152" s="1"/>
  <c r="O13" i="1152"/>
  <c r="AB13" i="1152"/>
  <c r="AF12" i="1152"/>
  <c r="AB12" i="1152"/>
  <c r="Q12" i="1152"/>
  <c r="P12" i="1152" s="1"/>
  <c r="AC12" i="1152" s="1"/>
  <c r="AD12" i="1152" s="1"/>
  <c r="O12" i="1152"/>
  <c r="M12" i="1152"/>
  <c r="K12" i="1152"/>
  <c r="AF11" i="1152"/>
  <c r="Q11" i="1152"/>
  <c r="P11" i="1152" s="1"/>
  <c r="AC11" i="1152" s="1"/>
  <c r="AF10" i="1152"/>
  <c r="Q10" i="1152"/>
  <c r="P10" i="1152"/>
  <c r="AC10" i="1152" s="1"/>
  <c r="O10" i="1152"/>
  <c r="AB10" i="1152"/>
  <c r="AF9" i="1152"/>
  <c r="AB9" i="1152"/>
  <c r="Q9" i="1152"/>
  <c r="P9" i="1152"/>
  <c r="AC9" i="1152" s="1"/>
  <c r="AD9" i="1152" s="1"/>
  <c r="O9" i="1152"/>
  <c r="M9" i="1152"/>
  <c r="K9" i="1152"/>
  <c r="AF8" i="1152"/>
  <c r="Q8" i="1152"/>
  <c r="L21" i="1152"/>
  <c r="O21" i="1152" s="1"/>
  <c r="AF7" i="1152"/>
  <c r="AB7" i="1152"/>
  <c r="Q7" i="1152"/>
  <c r="P7" i="1152" s="1"/>
  <c r="AC7" i="1152" s="1"/>
  <c r="O7" i="1152"/>
  <c r="M7" i="1152"/>
  <c r="AF6" i="1152"/>
  <c r="AC6" i="1152"/>
  <c r="AB6" i="1152"/>
  <c r="Q6" i="1152"/>
  <c r="P6" i="1152"/>
  <c r="O6" i="1152"/>
  <c r="M6" i="1152"/>
  <c r="K6" i="1152"/>
  <c r="AD21" i="1154" l="1"/>
  <c r="AE14" i="1154"/>
  <c r="AE12" i="1154"/>
  <c r="AE9" i="1154"/>
  <c r="AE6" i="1154"/>
  <c r="AE13" i="1154"/>
  <c r="AE16" i="1154"/>
  <c r="AE20" i="1154"/>
  <c r="AE17" i="1154"/>
  <c r="AE10" i="1154"/>
  <c r="AE7" i="1154"/>
  <c r="AE11" i="1154"/>
  <c r="AE18" i="1154"/>
  <c r="AE15" i="1154"/>
  <c r="AE8" i="1154"/>
  <c r="AE19" i="1154"/>
  <c r="AD16" i="1153"/>
  <c r="M21" i="1153"/>
  <c r="P21" i="1153"/>
  <c r="AD10" i="1153"/>
  <c r="AB21" i="1153"/>
  <c r="AD7" i="1153"/>
  <c r="AC21" i="1153"/>
  <c r="AD6" i="1153"/>
  <c r="AD15" i="1152"/>
  <c r="AD10" i="1152"/>
  <c r="AD13" i="1152"/>
  <c r="AD18" i="1152"/>
  <c r="Q21" i="1152"/>
  <c r="AD7" i="1152"/>
  <c r="AB8" i="1152"/>
  <c r="M11" i="1152"/>
  <c r="AB11" i="1152"/>
  <c r="M16" i="1152"/>
  <c r="AB16" i="1152"/>
  <c r="M19" i="1152"/>
  <c r="AB19" i="1152"/>
  <c r="M8" i="1152"/>
  <c r="AD6" i="1152"/>
  <c r="O8" i="1152"/>
  <c r="M10" i="1152"/>
  <c r="O11" i="1152"/>
  <c r="M13" i="1152"/>
  <c r="O16" i="1152"/>
  <c r="M18" i="1152"/>
  <c r="O19" i="1152"/>
  <c r="K21" i="1152"/>
  <c r="P8" i="1152"/>
  <c r="AC8" i="1152" s="1"/>
  <c r="AC21" i="1152" s="1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19" i="1151"/>
  <c r="K19" i="1151" s="1"/>
  <c r="L18" i="1151"/>
  <c r="K18" i="1151" s="1"/>
  <c r="L16" i="1151"/>
  <c r="L13" i="1151"/>
  <c r="K13" i="1151" s="1"/>
  <c r="L11" i="1151"/>
  <c r="K11" i="1151" s="1"/>
  <c r="L10" i="1151"/>
  <c r="K10" i="1151" s="1"/>
  <c r="L8" i="1151"/>
  <c r="P8" i="1151" s="1"/>
  <c r="AC8" i="1151" s="1"/>
  <c r="K17" i="1151"/>
  <c r="K16" i="1151"/>
  <c r="K14" i="1151"/>
  <c r="K12" i="1151"/>
  <c r="A74" i="1151"/>
  <c r="A75" i="1151" s="1"/>
  <c r="A76" i="1151" s="1"/>
  <c r="A77" i="1151" s="1"/>
  <c r="A78" i="1151" s="1"/>
  <c r="A79" i="1151" s="1"/>
  <c r="A80" i="1151" s="1"/>
  <c r="A81" i="1151" s="1"/>
  <c r="AF62" i="1151"/>
  <c r="AF60" i="1151"/>
  <c r="AF59" i="1151"/>
  <c r="AA21" i="1151"/>
  <c r="Z21" i="1151"/>
  <c r="Y21" i="1151"/>
  <c r="X21" i="1151"/>
  <c r="W21" i="1151"/>
  <c r="V21" i="1151"/>
  <c r="U21" i="1151"/>
  <c r="T21" i="1151"/>
  <c r="S21" i="1151"/>
  <c r="R21" i="1151"/>
  <c r="N21" i="1151"/>
  <c r="J21" i="1151"/>
  <c r="I21" i="1151"/>
  <c r="AF20" i="1151"/>
  <c r="AB20" i="1151"/>
  <c r="Q20" i="1151"/>
  <c r="P20" i="1151"/>
  <c r="AC20" i="1151" s="1"/>
  <c r="AD20" i="1151" s="1"/>
  <c r="O20" i="1151"/>
  <c r="M20" i="1151"/>
  <c r="K20" i="1151"/>
  <c r="AF19" i="1151"/>
  <c r="Q19" i="1151"/>
  <c r="P19" i="1151"/>
  <c r="AC19" i="1151" s="1"/>
  <c r="AF18" i="1151"/>
  <c r="Q18" i="1151"/>
  <c r="P18" i="1151" s="1"/>
  <c r="AC18" i="1151" s="1"/>
  <c r="O18" i="1151"/>
  <c r="AF17" i="1151"/>
  <c r="Q17" i="1151"/>
  <c r="P17" i="1151"/>
  <c r="AC17" i="1151" s="1"/>
  <c r="O17" i="1151"/>
  <c r="AB17" i="1151"/>
  <c r="AF16" i="1151"/>
  <c r="AB16" i="1151"/>
  <c r="Q16" i="1151"/>
  <c r="O16" i="1151"/>
  <c r="M16" i="1151"/>
  <c r="P16" i="1151"/>
  <c r="AC16" i="1151" s="1"/>
  <c r="AF15" i="1151"/>
  <c r="AB15" i="1151"/>
  <c r="Q15" i="1151"/>
  <c r="P15" i="1151"/>
  <c r="AC15" i="1151" s="1"/>
  <c r="O15" i="1151"/>
  <c r="M15" i="1151"/>
  <c r="K15" i="1151"/>
  <c r="AF14" i="1151"/>
  <c r="Q14" i="1151"/>
  <c r="P14" i="1151" s="1"/>
  <c r="AC14" i="1151" s="1"/>
  <c r="O14" i="1151"/>
  <c r="AB14" i="1151"/>
  <c r="AF13" i="1151"/>
  <c r="AB13" i="1151"/>
  <c r="Q13" i="1151"/>
  <c r="O13" i="1151"/>
  <c r="M13" i="1151"/>
  <c r="P13" i="1151"/>
  <c r="AC13" i="1151" s="1"/>
  <c r="AF12" i="1151"/>
  <c r="AB12" i="1151"/>
  <c r="Q12" i="1151"/>
  <c r="P12" i="1151" s="1"/>
  <c r="AC12" i="1151" s="1"/>
  <c r="O12" i="1151"/>
  <c r="M12" i="1151"/>
  <c r="AF11" i="1151"/>
  <c r="Q11" i="1151"/>
  <c r="P11" i="1151"/>
  <c r="AC11" i="1151" s="1"/>
  <c r="O11" i="1151"/>
  <c r="AB11" i="1151"/>
  <c r="AF10" i="1151"/>
  <c r="AB10" i="1151"/>
  <c r="Q10" i="1151"/>
  <c r="O10" i="1151"/>
  <c r="M10" i="1151"/>
  <c r="P10" i="1151"/>
  <c r="AC10" i="1151" s="1"/>
  <c r="AD10" i="1151" s="1"/>
  <c r="AF9" i="1151"/>
  <c r="AB9" i="1151"/>
  <c r="Q9" i="1151"/>
  <c r="P9" i="1151"/>
  <c r="AC9" i="1151" s="1"/>
  <c r="O9" i="1151"/>
  <c r="M9" i="1151"/>
  <c r="K9" i="1151"/>
  <c r="AF8" i="1151"/>
  <c r="Q8" i="1151"/>
  <c r="L21" i="1151"/>
  <c r="O21" i="1151" s="1"/>
  <c r="AF7" i="1151"/>
  <c r="AB7" i="1151"/>
  <c r="Q7" i="1151"/>
  <c r="P7" i="1151"/>
  <c r="AC7" i="1151" s="1"/>
  <c r="AD7" i="1151" s="1"/>
  <c r="O7" i="1151"/>
  <c r="M7" i="1151"/>
  <c r="K7" i="1151"/>
  <c r="AF6" i="1151"/>
  <c r="AB6" i="1151"/>
  <c r="Q6" i="1151"/>
  <c r="P6" i="1151"/>
  <c r="O6" i="1151"/>
  <c r="M6" i="1151"/>
  <c r="K6" i="1151"/>
  <c r="AD21" i="1153" l="1"/>
  <c r="AE8" i="1153" s="1"/>
  <c r="AD19" i="1152"/>
  <c r="AD11" i="1152"/>
  <c r="AD16" i="1152"/>
  <c r="AB21" i="1152"/>
  <c r="M21" i="1152"/>
  <c r="P21" i="1152"/>
  <c r="AD8" i="1152"/>
  <c r="AD21" i="1152" s="1"/>
  <c r="Q21" i="1151"/>
  <c r="AD16" i="1151"/>
  <c r="O8" i="1151"/>
  <c r="K8" i="1151"/>
  <c r="P21" i="1151"/>
  <c r="AD13" i="1151"/>
  <c r="AD12" i="1151"/>
  <c r="AD9" i="1151"/>
  <c r="AD15" i="1151"/>
  <c r="AD11" i="1151"/>
  <c r="AD14" i="1151"/>
  <c r="AD17" i="1151"/>
  <c r="M19" i="1151"/>
  <c r="AB19" i="1151"/>
  <c r="K21" i="1151"/>
  <c r="M18" i="1151"/>
  <c r="AB18" i="1151"/>
  <c r="AD18" i="1151" s="1"/>
  <c r="O19" i="1151"/>
  <c r="AC6" i="1151"/>
  <c r="M8" i="1151"/>
  <c r="AB8" i="1151"/>
  <c r="M11" i="1151"/>
  <c r="M14" i="1151"/>
  <c r="M17" i="115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9" i="1150"/>
  <c r="L18" i="1150"/>
  <c r="L17" i="1150"/>
  <c r="K17" i="1150"/>
  <c r="L16" i="1150"/>
  <c r="L14" i="1150"/>
  <c r="L13" i="1150"/>
  <c r="K13" i="1150"/>
  <c r="L11" i="1150"/>
  <c r="L10" i="1150"/>
  <c r="K10" i="1150" s="1"/>
  <c r="AE17" i="1153" l="1"/>
  <c r="AE10" i="1153"/>
  <c r="AE13" i="1153"/>
  <c r="AE20" i="1153"/>
  <c r="AE9" i="1153"/>
  <c r="AE16" i="1153"/>
  <c r="AE15" i="1153"/>
  <c r="AE11" i="1153"/>
  <c r="AE19" i="1153"/>
  <c r="AE12" i="1153"/>
  <c r="AE14" i="1153"/>
  <c r="AE7" i="1153"/>
  <c r="AE6" i="1153"/>
  <c r="AE18" i="1153"/>
  <c r="AE14" i="1152"/>
  <c r="AE6" i="1152"/>
  <c r="AE16" i="1152"/>
  <c r="AE8" i="1152"/>
  <c r="AE20" i="1152"/>
  <c r="AE17" i="1152"/>
  <c r="AE12" i="1152"/>
  <c r="AE9" i="1152"/>
  <c r="AE18" i="1152"/>
  <c r="AE15" i="1152"/>
  <c r="AE13" i="1152"/>
  <c r="AE10" i="1152"/>
  <c r="AE7" i="1152"/>
  <c r="AE19" i="1152"/>
  <c r="AE11" i="1152"/>
  <c r="M21" i="1151"/>
  <c r="AD19" i="1151"/>
  <c r="AB21" i="1151"/>
  <c r="AD8" i="1151"/>
  <c r="AC21" i="1151"/>
  <c r="AD6" i="1151"/>
  <c r="L8" i="1150"/>
  <c r="K19" i="1150"/>
  <c r="K18" i="1150"/>
  <c r="K16" i="1150"/>
  <c r="K15" i="1150"/>
  <c r="K14" i="1150"/>
  <c r="K12" i="1150"/>
  <c r="K11" i="1150"/>
  <c r="K8" i="1150"/>
  <c r="A74" i="1150"/>
  <c r="A75" i="1150" s="1"/>
  <c r="A76" i="1150" s="1"/>
  <c r="A77" i="1150" s="1"/>
  <c r="A78" i="1150" s="1"/>
  <c r="A79" i="1150" s="1"/>
  <c r="A80" i="1150" s="1"/>
  <c r="A81" i="1150" s="1"/>
  <c r="AF62" i="1150"/>
  <c r="AF60" i="1150"/>
  <c r="AF59" i="1150"/>
  <c r="AA21" i="1150"/>
  <c r="Z21" i="1150"/>
  <c r="Y21" i="1150"/>
  <c r="X21" i="1150"/>
  <c r="W21" i="1150"/>
  <c r="V21" i="1150"/>
  <c r="U21" i="1150"/>
  <c r="T21" i="1150"/>
  <c r="S21" i="1150"/>
  <c r="R21" i="1150"/>
  <c r="N21" i="1150"/>
  <c r="J21" i="1150"/>
  <c r="I21" i="1150"/>
  <c r="AF20" i="1150"/>
  <c r="AB20" i="1150"/>
  <c r="Q20" i="1150"/>
  <c r="P20" i="1150"/>
  <c r="AC20" i="1150" s="1"/>
  <c r="O20" i="1150"/>
  <c r="M20" i="1150"/>
  <c r="K20" i="1150"/>
  <c r="AF19" i="1150"/>
  <c r="AB19" i="1150"/>
  <c r="Q19" i="1150"/>
  <c r="P19" i="1150" s="1"/>
  <c r="AC19" i="1150" s="1"/>
  <c r="O19" i="1150"/>
  <c r="M19" i="1150"/>
  <c r="AF18" i="1150"/>
  <c r="AB18" i="1150"/>
  <c r="Q18" i="1150"/>
  <c r="P18" i="1150"/>
  <c r="AC18" i="1150" s="1"/>
  <c r="O18" i="1150"/>
  <c r="M18" i="1150"/>
  <c r="AF17" i="1150"/>
  <c r="AB17" i="1150"/>
  <c r="Q17" i="1150"/>
  <c r="P17" i="1150" s="1"/>
  <c r="AC17" i="1150" s="1"/>
  <c r="O17" i="1150"/>
  <c r="M17" i="1150"/>
  <c r="AF16" i="1150"/>
  <c r="Q16" i="1150"/>
  <c r="P16" i="1150"/>
  <c r="AC16" i="1150" s="1"/>
  <c r="AF15" i="1150"/>
  <c r="AB15" i="1150"/>
  <c r="Q15" i="1150"/>
  <c r="P15" i="1150"/>
  <c r="AC15" i="1150" s="1"/>
  <c r="O15" i="1150"/>
  <c r="M15" i="1150"/>
  <c r="AF14" i="1150"/>
  <c r="AB14" i="1150"/>
  <c r="Q14" i="1150"/>
  <c r="P14" i="1150" s="1"/>
  <c r="AC14" i="1150" s="1"/>
  <c r="O14" i="1150"/>
  <c r="M14" i="1150"/>
  <c r="AF13" i="1150"/>
  <c r="AB13" i="1150"/>
  <c r="Q13" i="1150"/>
  <c r="P13" i="1150" s="1"/>
  <c r="AC13" i="1150" s="1"/>
  <c r="O13" i="1150"/>
  <c r="M13" i="1150"/>
  <c r="AF12" i="1150"/>
  <c r="AB12" i="1150"/>
  <c r="Q12" i="1150"/>
  <c r="P12" i="1150" s="1"/>
  <c r="AC12" i="1150" s="1"/>
  <c r="O12" i="1150"/>
  <c r="M12" i="1150"/>
  <c r="AF11" i="1150"/>
  <c r="Q11" i="1150"/>
  <c r="P11" i="1150" s="1"/>
  <c r="AC11" i="1150" s="1"/>
  <c r="O11" i="1150"/>
  <c r="AB11" i="1150"/>
  <c r="AF10" i="1150"/>
  <c r="AB10" i="1150"/>
  <c r="Q10" i="1150"/>
  <c r="P10" i="1150" s="1"/>
  <c r="AC10" i="1150" s="1"/>
  <c r="O10" i="1150"/>
  <c r="M10" i="1150"/>
  <c r="AF9" i="1150"/>
  <c r="AB9" i="1150"/>
  <c r="Q9" i="1150"/>
  <c r="P9" i="1150"/>
  <c r="AC9" i="1150" s="1"/>
  <c r="O9" i="1150"/>
  <c r="M9" i="1150"/>
  <c r="K9" i="1150"/>
  <c r="AF8" i="1150"/>
  <c r="AB8" i="1150"/>
  <c r="Q8" i="1150"/>
  <c r="O8" i="1150"/>
  <c r="M8" i="1150"/>
  <c r="L21" i="1150"/>
  <c r="O21" i="1150" s="1"/>
  <c r="AF7" i="1150"/>
  <c r="AB7" i="1150"/>
  <c r="Q7" i="1150"/>
  <c r="P7" i="1150"/>
  <c r="AC7" i="1150" s="1"/>
  <c r="AD7" i="1150" s="1"/>
  <c r="O7" i="1150"/>
  <c r="M7" i="1150"/>
  <c r="K7" i="1150"/>
  <c r="AF6" i="1150"/>
  <c r="AB6" i="1150"/>
  <c r="Q6" i="1150"/>
  <c r="P6" i="1150"/>
  <c r="AC6" i="1150" s="1"/>
  <c r="O6" i="1150"/>
  <c r="M6" i="1150"/>
  <c r="K6" i="1150"/>
  <c r="AD21" i="1151" l="1"/>
  <c r="AE16" i="1151" s="1"/>
  <c r="AD19" i="1150"/>
  <c r="AD14" i="1150"/>
  <c r="AD12" i="1150"/>
  <c r="AD10" i="1150"/>
  <c r="Q21" i="1150"/>
  <c r="AD9" i="1150"/>
  <c r="AD15" i="1150"/>
  <c r="AD13" i="1150"/>
  <c r="AD17" i="1150"/>
  <c r="AD18" i="1150"/>
  <c r="AD20" i="1150"/>
  <c r="AD6" i="1150"/>
  <c r="AD11" i="1150"/>
  <c r="K21" i="1150"/>
  <c r="P8" i="1150"/>
  <c r="AC8" i="1150" s="1"/>
  <c r="AD8" i="1150" s="1"/>
  <c r="M16" i="1150"/>
  <c r="AB16" i="1150"/>
  <c r="AB21" i="1150" s="1"/>
  <c r="M11" i="1150"/>
  <c r="O16" i="1150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8" i="1149"/>
  <c r="L16" i="1149"/>
  <c r="K16" i="1149" s="1"/>
  <c r="K15" i="1149"/>
  <c r="L11" i="1149"/>
  <c r="AF10" i="1149"/>
  <c r="AB10" i="1149"/>
  <c r="Q10" i="1149"/>
  <c r="P10" i="1149"/>
  <c r="AC10" i="1149" s="1"/>
  <c r="O10" i="1149"/>
  <c r="M10" i="1149"/>
  <c r="K10" i="1149"/>
  <c r="L8" i="1149"/>
  <c r="K8" i="1149" s="1"/>
  <c r="K18" i="1149"/>
  <c r="K13" i="1149"/>
  <c r="K12" i="1149"/>
  <c r="K11" i="1149"/>
  <c r="K9" i="1149"/>
  <c r="K6" i="1149"/>
  <c r="A75" i="1149"/>
  <c r="A76" i="1149" s="1"/>
  <c r="A77" i="1149" s="1"/>
  <c r="A78" i="1149" s="1"/>
  <c r="A79" i="1149" s="1"/>
  <c r="A80" i="1149" s="1"/>
  <c r="A81" i="1149" s="1"/>
  <c r="A74" i="1149"/>
  <c r="AF60" i="1149"/>
  <c r="AF59" i="1149"/>
  <c r="AF62" i="1149" s="1"/>
  <c r="AA21" i="1149"/>
  <c r="Z21" i="1149"/>
  <c r="Y21" i="1149"/>
  <c r="X21" i="1149"/>
  <c r="W21" i="1149"/>
  <c r="V21" i="1149"/>
  <c r="U21" i="1149"/>
  <c r="T21" i="1149"/>
  <c r="S21" i="1149"/>
  <c r="R21" i="1149"/>
  <c r="N21" i="1149"/>
  <c r="J21" i="1149"/>
  <c r="I21" i="1149"/>
  <c r="AF20" i="1149"/>
  <c r="AB20" i="1149"/>
  <c r="Q20" i="1149"/>
  <c r="P20" i="1149"/>
  <c r="AC20" i="1149" s="1"/>
  <c r="AD20" i="1149" s="1"/>
  <c r="O20" i="1149"/>
  <c r="M20" i="1149"/>
  <c r="K20" i="1149"/>
  <c r="AF19" i="1149"/>
  <c r="AB19" i="1149"/>
  <c r="Q19" i="1149"/>
  <c r="P19" i="1149"/>
  <c r="AC19" i="1149" s="1"/>
  <c r="O19" i="1149"/>
  <c r="M19" i="1149"/>
  <c r="K19" i="1149"/>
  <c r="AF18" i="1149"/>
  <c r="Q18" i="1149"/>
  <c r="M18" i="1149"/>
  <c r="O18" i="1149"/>
  <c r="AF17" i="1149"/>
  <c r="AB17" i="1149"/>
  <c r="Q17" i="1149"/>
  <c r="P17" i="1149"/>
  <c r="AC17" i="1149" s="1"/>
  <c r="O17" i="1149"/>
  <c r="M17" i="1149"/>
  <c r="K17" i="1149"/>
  <c r="AF16" i="1149"/>
  <c r="Q16" i="1149"/>
  <c r="O16" i="1149"/>
  <c r="AF15" i="1149"/>
  <c r="AB15" i="1149"/>
  <c r="Q15" i="1149"/>
  <c r="P15" i="1149"/>
  <c r="AC15" i="1149" s="1"/>
  <c r="O15" i="1149"/>
  <c r="M15" i="1149"/>
  <c r="AF14" i="1149"/>
  <c r="AB14" i="1149"/>
  <c r="Q14" i="1149"/>
  <c r="P14" i="1149"/>
  <c r="AC14" i="1149" s="1"/>
  <c r="O14" i="1149"/>
  <c r="M14" i="1149"/>
  <c r="K14" i="1149"/>
  <c r="AF13" i="1149"/>
  <c r="Q13" i="1149"/>
  <c r="P13" i="1149"/>
  <c r="AC13" i="1149" s="1"/>
  <c r="AB13" i="1149"/>
  <c r="AF12" i="1149"/>
  <c r="Q12" i="1149"/>
  <c r="P12" i="1149" s="1"/>
  <c r="AC12" i="1149" s="1"/>
  <c r="O12" i="1149"/>
  <c r="AB12" i="1149"/>
  <c r="AF11" i="1149"/>
  <c r="AB11" i="1149"/>
  <c r="Q11" i="1149"/>
  <c r="P11" i="1149" s="1"/>
  <c r="AC11" i="1149" s="1"/>
  <c r="O11" i="1149"/>
  <c r="M11" i="1149"/>
  <c r="AF9" i="1149"/>
  <c r="AB9" i="1149"/>
  <c r="Q9" i="1149"/>
  <c r="P9" i="1149"/>
  <c r="AC9" i="1149" s="1"/>
  <c r="O9" i="1149"/>
  <c r="M9" i="1149"/>
  <c r="AF8" i="1149"/>
  <c r="Q8" i="1149"/>
  <c r="O8" i="1149"/>
  <c r="AF7" i="1149"/>
  <c r="AB7" i="1149"/>
  <c r="Q7" i="1149"/>
  <c r="P7" i="1149"/>
  <c r="AC7" i="1149" s="1"/>
  <c r="O7" i="1149"/>
  <c r="M7" i="1149"/>
  <c r="K7" i="1149"/>
  <c r="AF6" i="1149"/>
  <c r="AB6" i="1149"/>
  <c r="Q6" i="1149"/>
  <c r="O6" i="1149"/>
  <c r="M6" i="1149"/>
  <c r="AE19" i="1151" l="1"/>
  <c r="AE8" i="1151"/>
  <c r="AE20" i="1151"/>
  <c r="AE10" i="1151"/>
  <c r="AE17" i="1151"/>
  <c r="AE6" i="1151"/>
  <c r="AE11" i="1151"/>
  <c r="AE12" i="1151"/>
  <c r="AE13" i="1151"/>
  <c r="AE9" i="1151"/>
  <c r="AE7" i="1151"/>
  <c r="AE18" i="1151"/>
  <c r="AE14" i="1151"/>
  <c r="AE15" i="1151"/>
  <c r="P21" i="1150"/>
  <c r="AC21" i="1150"/>
  <c r="M21" i="1150"/>
  <c r="AD16" i="1150"/>
  <c r="AD21" i="1150" s="1"/>
  <c r="AD7" i="1149"/>
  <c r="AD10" i="1149"/>
  <c r="AD19" i="1149"/>
  <c r="Q21" i="1149"/>
  <c r="AD11" i="1149"/>
  <c r="AD15" i="1149"/>
  <c r="AD9" i="1149"/>
  <c r="AD14" i="1149"/>
  <c r="AD17" i="1149"/>
  <c r="AD12" i="1149"/>
  <c r="AB8" i="1149"/>
  <c r="K21" i="1149"/>
  <c r="P8" i="1149"/>
  <c r="AC8" i="1149" s="1"/>
  <c r="M12" i="1149"/>
  <c r="O13" i="1149"/>
  <c r="AD13" i="1149" s="1"/>
  <c r="P16" i="1149"/>
  <c r="AC16" i="1149" s="1"/>
  <c r="P18" i="1149"/>
  <c r="AC18" i="1149" s="1"/>
  <c r="M8" i="1149"/>
  <c r="AB16" i="1149"/>
  <c r="AB18" i="1149"/>
  <c r="L21" i="1149"/>
  <c r="O21" i="1149" s="1"/>
  <c r="M16" i="1149"/>
  <c r="P6" i="1149"/>
  <c r="M13" i="1149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19" i="1148"/>
  <c r="L16" i="1148"/>
  <c r="K16" i="1148" s="1"/>
  <c r="L17" i="1148"/>
  <c r="K15" i="1148"/>
  <c r="L13" i="1148"/>
  <c r="O13" i="1148" s="1"/>
  <c r="L12" i="1148"/>
  <c r="L11" i="1148"/>
  <c r="K10" i="1148"/>
  <c r="L8" i="1148"/>
  <c r="K6" i="1148"/>
  <c r="K19" i="1148"/>
  <c r="K18" i="1148"/>
  <c r="K17" i="1148"/>
  <c r="K14" i="1148"/>
  <c r="K13" i="1148"/>
  <c r="K12" i="1148"/>
  <c r="K11" i="1148"/>
  <c r="K9" i="1148"/>
  <c r="K8" i="1148"/>
  <c r="A76" i="1148"/>
  <c r="A77" i="1148" s="1"/>
  <c r="A78" i="1148" s="1"/>
  <c r="A79" i="1148" s="1"/>
  <c r="A80" i="1148" s="1"/>
  <c r="A81" i="1148" s="1"/>
  <c r="A82" i="1148" s="1"/>
  <c r="A75" i="1148"/>
  <c r="AF61" i="1148"/>
  <c r="AF60" i="1148"/>
  <c r="AF63" i="1148" s="1"/>
  <c r="AA22" i="1148"/>
  <c r="Z22" i="1148"/>
  <c r="Y22" i="1148"/>
  <c r="X22" i="1148"/>
  <c r="W22" i="1148"/>
  <c r="V22" i="1148"/>
  <c r="U22" i="1148"/>
  <c r="T22" i="1148"/>
  <c r="S22" i="1148"/>
  <c r="R22" i="1148"/>
  <c r="N22" i="1148"/>
  <c r="J22" i="1148"/>
  <c r="I22" i="1148"/>
  <c r="AF21" i="1148"/>
  <c r="AB21" i="1148"/>
  <c r="Q21" i="1148"/>
  <c r="P21" i="1148"/>
  <c r="AC21" i="1148" s="1"/>
  <c r="AD21" i="1148" s="1"/>
  <c r="O21" i="1148"/>
  <c r="M21" i="1148"/>
  <c r="K21" i="1148"/>
  <c r="AF20" i="1148"/>
  <c r="AC20" i="1148"/>
  <c r="AB20" i="1148"/>
  <c r="Q20" i="1148"/>
  <c r="P20" i="1148"/>
  <c r="O20" i="1148"/>
  <c r="M20" i="1148"/>
  <c r="K20" i="1148"/>
  <c r="AF19" i="1148"/>
  <c r="Q19" i="1148"/>
  <c r="O19" i="1148"/>
  <c r="AF18" i="1148"/>
  <c r="AB18" i="1148"/>
  <c r="Q18" i="1148"/>
  <c r="P18" i="1148"/>
  <c r="AC18" i="1148" s="1"/>
  <c r="AD18" i="1148" s="1"/>
  <c r="O18" i="1148"/>
  <c r="M18" i="1148"/>
  <c r="AF17" i="1148"/>
  <c r="AB17" i="1148"/>
  <c r="Q17" i="1148"/>
  <c r="P17" i="1148"/>
  <c r="AC17" i="1148" s="1"/>
  <c r="O17" i="1148"/>
  <c r="M17" i="1148"/>
  <c r="AF16" i="1148"/>
  <c r="Q16" i="1148"/>
  <c r="O16" i="1148"/>
  <c r="AF15" i="1148"/>
  <c r="AB15" i="1148"/>
  <c r="Q15" i="1148"/>
  <c r="P15" i="1148" s="1"/>
  <c r="AC15" i="1148" s="1"/>
  <c r="O15" i="1148"/>
  <c r="M15" i="1148"/>
  <c r="AF14" i="1148"/>
  <c r="AB14" i="1148"/>
  <c r="Q14" i="1148"/>
  <c r="P14" i="1148"/>
  <c r="AC14" i="1148" s="1"/>
  <c r="AD14" i="1148" s="1"/>
  <c r="O14" i="1148"/>
  <c r="M14" i="1148"/>
  <c r="AF13" i="1148"/>
  <c r="Q13" i="1148"/>
  <c r="AF12" i="1148"/>
  <c r="AB12" i="1148"/>
  <c r="Q12" i="1148"/>
  <c r="P12" i="1148" s="1"/>
  <c r="AC12" i="1148" s="1"/>
  <c r="O12" i="1148"/>
  <c r="M12" i="1148"/>
  <c r="AF11" i="1148"/>
  <c r="AB11" i="1148"/>
  <c r="Q11" i="1148"/>
  <c r="P11" i="1148" s="1"/>
  <c r="AC11" i="1148" s="1"/>
  <c r="O11" i="1148"/>
  <c r="M11" i="1148"/>
  <c r="AF10" i="1148"/>
  <c r="AB10" i="1148"/>
  <c r="Q10" i="1148"/>
  <c r="P10" i="1148" s="1"/>
  <c r="AC10" i="1148" s="1"/>
  <c r="O10" i="1148"/>
  <c r="M10" i="1148"/>
  <c r="AF9" i="1148"/>
  <c r="Q9" i="1148"/>
  <c r="P9" i="1148" s="1"/>
  <c r="AC9" i="1148" s="1"/>
  <c r="O9" i="1148"/>
  <c r="AF8" i="1148"/>
  <c r="AB8" i="1148"/>
  <c r="Q8" i="1148"/>
  <c r="M8" i="1148"/>
  <c r="P8" i="1148"/>
  <c r="AC8" i="1148" s="1"/>
  <c r="AF7" i="1148"/>
  <c r="AB7" i="1148"/>
  <c r="Q7" i="1148"/>
  <c r="P7" i="1148"/>
  <c r="AC7" i="1148" s="1"/>
  <c r="AD7" i="1148" s="1"/>
  <c r="O7" i="1148"/>
  <c r="M7" i="1148"/>
  <c r="K7" i="1148"/>
  <c r="AF6" i="1148"/>
  <c r="Q6" i="1148"/>
  <c r="O6" i="1148"/>
  <c r="L22" i="1148"/>
  <c r="O22" i="1148" s="1"/>
  <c r="AE19" i="1150" l="1"/>
  <c r="AE14" i="1150"/>
  <c r="AE12" i="1150"/>
  <c r="AE7" i="1150"/>
  <c r="AE17" i="1150"/>
  <c r="AE10" i="1150"/>
  <c r="AE8" i="1150"/>
  <c r="AE16" i="1150"/>
  <c r="AE9" i="1150"/>
  <c r="AE20" i="1150"/>
  <c r="AE18" i="1150"/>
  <c r="AE15" i="1150"/>
  <c r="AE13" i="1150"/>
  <c r="AE11" i="1150"/>
  <c r="AE6" i="1150"/>
  <c r="M21" i="1149"/>
  <c r="AB21" i="1149"/>
  <c r="AD8" i="1149"/>
  <c r="P21" i="1149"/>
  <c r="AC6" i="1149"/>
  <c r="AD16" i="1149"/>
  <c r="AD18" i="1149"/>
  <c r="AD15" i="1148"/>
  <c r="AD12" i="1148"/>
  <c r="AD11" i="1148"/>
  <c r="AD10" i="1148"/>
  <c r="Q22" i="1148"/>
  <c r="AD20" i="1148"/>
  <c r="AD17" i="1148"/>
  <c r="M6" i="1148"/>
  <c r="M22" i="1148" s="1"/>
  <c r="AB6" i="1148"/>
  <c r="M9" i="1148"/>
  <c r="AB9" i="1148"/>
  <c r="AD9" i="1148" s="1"/>
  <c r="P13" i="1148"/>
  <c r="AC13" i="1148" s="1"/>
  <c r="AD13" i="1148" s="1"/>
  <c r="P16" i="1148"/>
  <c r="AC16" i="1148" s="1"/>
  <c r="P19" i="1148"/>
  <c r="AC19" i="1148" s="1"/>
  <c r="P6" i="1148"/>
  <c r="O8" i="1148"/>
  <c r="AD8" i="1148" s="1"/>
  <c r="M13" i="1148"/>
  <c r="AB13" i="1148"/>
  <c r="M16" i="1148"/>
  <c r="AB16" i="1148"/>
  <c r="M19" i="1148"/>
  <c r="AB19" i="1148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147"/>
  <c r="K18" i="1147"/>
  <c r="L17" i="1147"/>
  <c r="L16" i="1147"/>
  <c r="M16" i="1147" s="1"/>
  <c r="AF16" i="1147"/>
  <c r="Q16" i="1147"/>
  <c r="O16" i="1147"/>
  <c r="K16" i="1147"/>
  <c r="K15" i="1147"/>
  <c r="L14" i="1147"/>
  <c r="L13" i="1147"/>
  <c r="K13" i="1147" s="1"/>
  <c r="K12" i="1147"/>
  <c r="L11" i="1147"/>
  <c r="L9" i="1147"/>
  <c r="K9" i="1147" s="1"/>
  <c r="L8" i="1147"/>
  <c r="K8" i="1147" s="1"/>
  <c r="L6" i="1147"/>
  <c r="K20" i="1147"/>
  <c r="K19" i="1147"/>
  <c r="K17" i="1147"/>
  <c r="K14" i="1147"/>
  <c r="K11" i="1147"/>
  <c r="K10" i="1147"/>
  <c r="K7" i="1147"/>
  <c r="K6" i="1147"/>
  <c r="A76" i="1147"/>
  <c r="A77" i="1147" s="1"/>
  <c r="A78" i="1147" s="1"/>
  <c r="A79" i="1147" s="1"/>
  <c r="A80" i="1147" s="1"/>
  <c r="A81" i="1147" s="1"/>
  <c r="A82" i="1147" s="1"/>
  <c r="A75" i="1147"/>
  <c r="AF61" i="1147"/>
  <c r="AF60" i="1147"/>
  <c r="AF63" i="1147" s="1"/>
  <c r="AA22" i="1147"/>
  <c r="Z22" i="1147"/>
  <c r="Y22" i="1147"/>
  <c r="X22" i="1147"/>
  <c r="W22" i="1147"/>
  <c r="V22" i="1147"/>
  <c r="U22" i="1147"/>
  <c r="T22" i="1147"/>
  <c r="S22" i="1147"/>
  <c r="R22" i="1147"/>
  <c r="N22" i="1147"/>
  <c r="J22" i="1147"/>
  <c r="I22" i="1147"/>
  <c r="AF21" i="1147"/>
  <c r="AB21" i="1147"/>
  <c r="Q21" i="1147"/>
  <c r="P21" i="1147"/>
  <c r="AC21" i="1147" s="1"/>
  <c r="O21" i="1147"/>
  <c r="M21" i="1147"/>
  <c r="K21" i="1147"/>
  <c r="AF20" i="1147"/>
  <c r="Q20" i="1147"/>
  <c r="P20" i="1147"/>
  <c r="AC20" i="1147" s="1"/>
  <c r="AF19" i="1147"/>
  <c r="AB19" i="1147"/>
  <c r="Q19" i="1147"/>
  <c r="P19" i="1147" s="1"/>
  <c r="AC19" i="1147" s="1"/>
  <c r="O19" i="1147"/>
  <c r="M19" i="1147"/>
  <c r="AF18" i="1147"/>
  <c r="AB18" i="1147"/>
  <c r="Q18" i="1147"/>
  <c r="P18" i="1147" s="1"/>
  <c r="AC18" i="1147" s="1"/>
  <c r="O18" i="1147"/>
  <c r="M18" i="1147"/>
  <c r="AF17" i="1147"/>
  <c r="Q17" i="1147"/>
  <c r="P17" i="1147"/>
  <c r="AC17" i="1147" s="1"/>
  <c r="AF15" i="1147"/>
  <c r="AB15" i="1147"/>
  <c r="Q15" i="1147"/>
  <c r="P15" i="1147" s="1"/>
  <c r="AC15" i="1147" s="1"/>
  <c r="O15" i="1147"/>
  <c r="M15" i="1147"/>
  <c r="AF14" i="1147"/>
  <c r="AB14" i="1147"/>
  <c r="Q14" i="1147"/>
  <c r="P14" i="1147" s="1"/>
  <c r="AC14" i="1147" s="1"/>
  <c r="O14" i="1147"/>
  <c r="M14" i="1147"/>
  <c r="AF13" i="1147"/>
  <c r="AB13" i="1147"/>
  <c r="Q13" i="1147"/>
  <c r="P13" i="1147" s="1"/>
  <c r="AC13" i="1147" s="1"/>
  <c r="O13" i="1147"/>
  <c r="M13" i="1147"/>
  <c r="AF12" i="1147"/>
  <c r="AB12" i="1147"/>
  <c r="Q12" i="1147"/>
  <c r="P12" i="1147" s="1"/>
  <c r="AC12" i="1147" s="1"/>
  <c r="O12" i="1147"/>
  <c r="M12" i="1147"/>
  <c r="AF11" i="1147"/>
  <c r="Q11" i="1147"/>
  <c r="P11" i="1147" s="1"/>
  <c r="AC11" i="1147" s="1"/>
  <c r="AF10" i="1147"/>
  <c r="AB10" i="1147"/>
  <c r="Q10" i="1147"/>
  <c r="P10" i="1147"/>
  <c r="AC10" i="1147" s="1"/>
  <c r="O10" i="1147"/>
  <c r="M10" i="1147"/>
  <c r="AF9" i="1147"/>
  <c r="AB9" i="1147"/>
  <c r="Q9" i="1147"/>
  <c r="P9" i="1147" s="1"/>
  <c r="AC9" i="1147" s="1"/>
  <c r="O9" i="1147"/>
  <c r="M9" i="1147"/>
  <c r="AF8" i="1147"/>
  <c r="Q8" i="1147"/>
  <c r="P8" i="1147" s="1"/>
  <c r="AC8" i="1147" s="1"/>
  <c r="AF7" i="1147"/>
  <c r="AB7" i="1147"/>
  <c r="Q7" i="1147"/>
  <c r="P7" i="1147"/>
  <c r="AC7" i="1147" s="1"/>
  <c r="O7" i="1147"/>
  <c r="M7" i="1147"/>
  <c r="AF6" i="1147"/>
  <c r="Q6" i="1147"/>
  <c r="O6" i="1147"/>
  <c r="L22" i="1147"/>
  <c r="O22" i="1147" s="1"/>
  <c r="AC21" i="1149" l="1"/>
  <c r="AD6" i="1149"/>
  <c r="AD21" i="1149" s="1"/>
  <c r="AE10" i="1149" s="1"/>
  <c r="AD19" i="1148"/>
  <c r="AB22" i="1148"/>
  <c r="P22" i="1148"/>
  <c r="AC6" i="1148"/>
  <c r="AD16" i="1148"/>
  <c r="K22" i="1148"/>
  <c r="P16" i="1147"/>
  <c r="AC16" i="1147" s="1"/>
  <c r="AB16" i="1147"/>
  <c r="AD18" i="1147"/>
  <c r="AD15" i="1147"/>
  <c r="AD12" i="1147"/>
  <c r="Q22" i="1147"/>
  <c r="AD9" i="1147"/>
  <c r="AD10" i="1147"/>
  <c r="AD13" i="1147"/>
  <c r="AD7" i="1147"/>
  <c r="AD14" i="1147"/>
  <c r="AD19" i="1147"/>
  <c r="AD21" i="1147"/>
  <c r="P6" i="1147"/>
  <c r="M8" i="1147"/>
  <c r="AB8" i="1147"/>
  <c r="M11" i="1147"/>
  <c r="AB11" i="1147"/>
  <c r="M17" i="1147"/>
  <c r="AB17" i="1147"/>
  <c r="M20" i="1147"/>
  <c r="AB20" i="1147"/>
  <c r="O8" i="1147"/>
  <c r="O11" i="1147"/>
  <c r="O17" i="1147"/>
  <c r="O20" i="1147"/>
  <c r="M6" i="1147"/>
  <c r="AB6" i="1147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9" i="1146"/>
  <c r="K19" i="1146" s="1"/>
  <c r="L18" i="1146"/>
  <c r="K18" i="1146" s="1"/>
  <c r="L16" i="1146"/>
  <c r="K16" i="1146" s="1"/>
  <c r="L13" i="1146"/>
  <c r="K13" i="1146" s="1"/>
  <c r="L11" i="1146"/>
  <c r="L10" i="1146"/>
  <c r="L8" i="1146"/>
  <c r="K8" i="1146" s="1"/>
  <c r="L7" i="1146"/>
  <c r="K7" i="1146" s="1"/>
  <c r="L6" i="1146"/>
  <c r="K15" i="1146"/>
  <c r="K14" i="1146"/>
  <c r="K11" i="1146"/>
  <c r="K10" i="1146"/>
  <c r="K9" i="1146"/>
  <c r="K6" i="1146"/>
  <c r="A75" i="1146"/>
  <c r="A76" i="1146" s="1"/>
  <c r="A77" i="1146" s="1"/>
  <c r="A78" i="1146" s="1"/>
  <c r="A79" i="1146" s="1"/>
  <c r="A80" i="1146" s="1"/>
  <c r="A81" i="1146" s="1"/>
  <c r="A74" i="1146"/>
  <c r="AF60" i="1146"/>
  <c r="AF59" i="1146"/>
  <c r="AF62" i="1146" s="1"/>
  <c r="AA21" i="1146"/>
  <c r="Z21" i="1146"/>
  <c r="Y21" i="1146"/>
  <c r="X21" i="1146"/>
  <c r="W21" i="1146"/>
  <c r="V21" i="1146"/>
  <c r="U21" i="1146"/>
  <c r="T21" i="1146"/>
  <c r="S21" i="1146"/>
  <c r="R21" i="1146"/>
  <c r="N21" i="1146"/>
  <c r="J21" i="1146"/>
  <c r="I21" i="1146"/>
  <c r="AF20" i="1146"/>
  <c r="AB20" i="1146"/>
  <c r="Q20" i="1146"/>
  <c r="P20" i="1146"/>
  <c r="AC20" i="1146" s="1"/>
  <c r="AD20" i="1146" s="1"/>
  <c r="O20" i="1146"/>
  <c r="M20" i="1146"/>
  <c r="K20" i="1146"/>
  <c r="AF19" i="1146"/>
  <c r="Q19" i="1146"/>
  <c r="P19" i="1146" s="1"/>
  <c r="AC19" i="1146" s="1"/>
  <c r="O19" i="1146"/>
  <c r="M19" i="1146"/>
  <c r="AB19" i="1146"/>
  <c r="AF18" i="1146"/>
  <c r="AB18" i="1146"/>
  <c r="Q18" i="1146"/>
  <c r="P18" i="1146" s="1"/>
  <c r="AC18" i="1146" s="1"/>
  <c r="O18" i="1146"/>
  <c r="M18" i="1146"/>
  <c r="AF17" i="1146"/>
  <c r="AB17" i="1146"/>
  <c r="Q17" i="1146"/>
  <c r="P17" i="1146"/>
  <c r="AC17" i="1146" s="1"/>
  <c r="O17" i="1146"/>
  <c r="M17" i="1146"/>
  <c r="K17" i="1146"/>
  <c r="AF16" i="1146"/>
  <c r="Q16" i="1146"/>
  <c r="AF15" i="1146"/>
  <c r="AB15" i="1146"/>
  <c r="Q15" i="1146"/>
  <c r="O15" i="1146"/>
  <c r="M15" i="1146"/>
  <c r="P15" i="1146"/>
  <c r="AC15" i="1146" s="1"/>
  <c r="AF14" i="1146"/>
  <c r="AB14" i="1146"/>
  <c r="Q14" i="1146"/>
  <c r="P14" i="1146" s="1"/>
  <c r="AC14" i="1146" s="1"/>
  <c r="O14" i="1146"/>
  <c r="M14" i="1146"/>
  <c r="AF13" i="1146"/>
  <c r="AB13" i="1146"/>
  <c r="Q13" i="1146"/>
  <c r="P13" i="1146" s="1"/>
  <c r="AC13" i="1146" s="1"/>
  <c r="O13" i="1146"/>
  <c r="M13" i="1146"/>
  <c r="AF12" i="1146"/>
  <c r="AC12" i="1146"/>
  <c r="AD12" i="1146" s="1"/>
  <c r="AB12" i="1146"/>
  <c r="Q12" i="1146"/>
  <c r="P12" i="1146"/>
  <c r="O12" i="1146"/>
  <c r="M12" i="1146"/>
  <c r="K12" i="1146"/>
  <c r="AF11" i="1146"/>
  <c r="Q11" i="1146"/>
  <c r="P11" i="1146" s="1"/>
  <c r="AC11" i="1146" s="1"/>
  <c r="AB11" i="1146"/>
  <c r="AF10" i="1146"/>
  <c r="Q10" i="1146"/>
  <c r="P10" i="1146"/>
  <c r="AC10" i="1146" s="1"/>
  <c r="O10" i="1146"/>
  <c r="M10" i="1146"/>
  <c r="AB10" i="1146"/>
  <c r="AF9" i="1146"/>
  <c r="AB9" i="1146"/>
  <c r="Q9" i="1146"/>
  <c r="O9" i="1146"/>
  <c r="M9" i="1146"/>
  <c r="P9" i="1146"/>
  <c r="AC9" i="1146" s="1"/>
  <c r="AD9" i="1146" s="1"/>
  <c r="AF8" i="1146"/>
  <c r="Q8" i="1146"/>
  <c r="O8" i="1146"/>
  <c r="AF7" i="1146"/>
  <c r="Q7" i="1146"/>
  <c r="P7" i="1146" s="1"/>
  <c r="AC7" i="1146" s="1"/>
  <c r="AB7" i="1146"/>
  <c r="AF6" i="1146"/>
  <c r="Q6" i="1146"/>
  <c r="P6" i="1146"/>
  <c r="AC6" i="1146" s="1"/>
  <c r="O6" i="1146"/>
  <c r="M6" i="1146"/>
  <c r="AE19" i="1149" l="1"/>
  <c r="AE12" i="1149"/>
  <c r="AE9" i="1149"/>
  <c r="AE15" i="1149"/>
  <c r="AE17" i="1149"/>
  <c r="AE8" i="1149"/>
  <c r="AE20" i="1149"/>
  <c r="AE18" i="1149"/>
  <c r="AE16" i="1149"/>
  <c r="AE14" i="1149"/>
  <c r="AE11" i="1149"/>
  <c r="AE6" i="1149"/>
  <c r="AE13" i="1149"/>
  <c r="AE7" i="1149"/>
  <c r="AC22" i="1148"/>
  <c r="AD6" i="1148"/>
  <c r="AD22" i="1148" s="1"/>
  <c r="AD16" i="1147"/>
  <c r="AD20" i="1147"/>
  <c r="AD11" i="1147"/>
  <c r="AD8" i="1147"/>
  <c r="AB22" i="1147"/>
  <c r="AD17" i="1147"/>
  <c r="M22" i="1147"/>
  <c r="P22" i="1147"/>
  <c r="AC6" i="1147"/>
  <c r="K22" i="1147"/>
  <c r="P16" i="1146"/>
  <c r="AC16" i="1146" s="1"/>
  <c r="M16" i="1146"/>
  <c r="AB16" i="1146"/>
  <c r="L21" i="1146"/>
  <c r="O21" i="1146" s="1"/>
  <c r="O16" i="1146"/>
  <c r="AD13" i="1146"/>
  <c r="Q21" i="1146"/>
  <c r="AD14" i="1146"/>
  <c r="AD15" i="1146"/>
  <c r="AD17" i="1146"/>
  <c r="AD18" i="1146"/>
  <c r="AD10" i="1146"/>
  <c r="AD19" i="1146"/>
  <c r="M8" i="1146"/>
  <c r="AB6" i="1146"/>
  <c r="O7" i="1146"/>
  <c r="AD7" i="1146" s="1"/>
  <c r="P8" i="1146"/>
  <c r="AC8" i="1146" s="1"/>
  <c r="O11" i="1146"/>
  <c r="AD11" i="1146" s="1"/>
  <c r="AB8" i="1146"/>
  <c r="M7" i="1146"/>
  <c r="M21" i="1146" s="1"/>
  <c r="K21" i="1146"/>
  <c r="M11" i="114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19" i="1145"/>
  <c r="L18" i="1145"/>
  <c r="K18" i="1145" s="1"/>
  <c r="L16" i="1145"/>
  <c r="K16" i="1145" s="1"/>
  <c r="L15" i="1145"/>
  <c r="K15" i="1145" s="1"/>
  <c r="K14" i="1145"/>
  <c r="L13" i="1145"/>
  <c r="K13" i="1145" s="1"/>
  <c r="L11" i="1145"/>
  <c r="L10" i="1145"/>
  <c r="K10" i="1145" s="1"/>
  <c r="L9" i="1145"/>
  <c r="L8" i="1145"/>
  <c r="K8" i="1145" s="1"/>
  <c r="L7" i="1145"/>
  <c r="K7" i="1145" s="1"/>
  <c r="L6" i="1145"/>
  <c r="K6" i="1145" s="1"/>
  <c r="K19" i="1145"/>
  <c r="K11" i="1145"/>
  <c r="K9" i="1145"/>
  <c r="A75" i="1145"/>
  <c r="A76" i="1145" s="1"/>
  <c r="A77" i="1145" s="1"/>
  <c r="A78" i="1145" s="1"/>
  <c r="A79" i="1145" s="1"/>
  <c r="A80" i="1145" s="1"/>
  <c r="A81" i="1145" s="1"/>
  <c r="A74" i="1145"/>
  <c r="AF60" i="1145"/>
  <c r="AF59" i="1145"/>
  <c r="AF62" i="1145" s="1"/>
  <c r="AA21" i="1145"/>
  <c r="Z21" i="1145"/>
  <c r="Y21" i="1145"/>
  <c r="X21" i="1145"/>
  <c r="W21" i="1145"/>
  <c r="V21" i="1145"/>
  <c r="U21" i="1145"/>
  <c r="T21" i="1145"/>
  <c r="S21" i="1145"/>
  <c r="R21" i="1145"/>
  <c r="N21" i="1145"/>
  <c r="J21" i="1145"/>
  <c r="I21" i="1145"/>
  <c r="AF20" i="1145"/>
  <c r="AB20" i="1145"/>
  <c r="Q20" i="1145"/>
  <c r="P20" i="1145"/>
  <c r="AC20" i="1145" s="1"/>
  <c r="O20" i="1145"/>
  <c r="M20" i="1145"/>
  <c r="K20" i="1145"/>
  <c r="AF19" i="1145"/>
  <c r="Q19" i="1145"/>
  <c r="O19" i="1145"/>
  <c r="P19" i="1145"/>
  <c r="AC19" i="1145" s="1"/>
  <c r="AF18" i="1145"/>
  <c r="AB18" i="1145"/>
  <c r="Q18" i="1145"/>
  <c r="P18" i="1145"/>
  <c r="AC18" i="1145" s="1"/>
  <c r="AD18" i="1145" s="1"/>
  <c r="M18" i="1145"/>
  <c r="O18" i="1145"/>
  <c r="AF17" i="1145"/>
  <c r="AC17" i="1145"/>
  <c r="AD17" i="1145" s="1"/>
  <c r="AB17" i="1145"/>
  <c r="Q17" i="1145"/>
  <c r="P17" i="1145"/>
  <c r="O17" i="1145"/>
  <c r="M17" i="1145"/>
  <c r="K17" i="1145"/>
  <c r="AF16" i="1145"/>
  <c r="AB16" i="1145"/>
  <c r="Q16" i="1145"/>
  <c r="P16" i="1145" s="1"/>
  <c r="AC16" i="1145" s="1"/>
  <c r="O16" i="1145"/>
  <c r="M16" i="1145"/>
  <c r="AF15" i="1145"/>
  <c r="Q15" i="1145"/>
  <c r="O15" i="1145"/>
  <c r="AB15" i="1145"/>
  <c r="AF14" i="1145"/>
  <c r="AB14" i="1145"/>
  <c r="Q14" i="1145"/>
  <c r="P14" i="1145" s="1"/>
  <c r="AC14" i="1145" s="1"/>
  <c r="O14" i="1145"/>
  <c r="M14" i="1145"/>
  <c r="AF13" i="1145"/>
  <c r="AB13" i="1145"/>
  <c r="Q13" i="1145"/>
  <c r="P13" i="1145" s="1"/>
  <c r="AC13" i="1145" s="1"/>
  <c r="M13" i="1145"/>
  <c r="O13" i="1145"/>
  <c r="AF12" i="1145"/>
  <c r="AC12" i="1145"/>
  <c r="AB12" i="1145"/>
  <c r="Q12" i="1145"/>
  <c r="P12" i="1145"/>
  <c r="O12" i="1145"/>
  <c r="M12" i="1145"/>
  <c r="K12" i="1145"/>
  <c r="AF11" i="1145"/>
  <c r="Q11" i="1145"/>
  <c r="P11" i="1145" s="1"/>
  <c r="AC11" i="1145" s="1"/>
  <c r="AF10" i="1145"/>
  <c r="AB10" i="1145"/>
  <c r="Q10" i="1145"/>
  <c r="P10" i="1145"/>
  <c r="AC10" i="1145" s="1"/>
  <c r="M10" i="1145"/>
  <c r="O10" i="1145"/>
  <c r="AF9" i="1145"/>
  <c r="Q9" i="1145"/>
  <c r="O9" i="1145"/>
  <c r="AB9" i="1145"/>
  <c r="AF8" i="1145"/>
  <c r="AB8" i="1145"/>
  <c r="Q8" i="1145"/>
  <c r="P8" i="1145"/>
  <c r="AC8" i="1145" s="1"/>
  <c r="O8" i="1145"/>
  <c r="M8" i="1145"/>
  <c r="AF7" i="1145"/>
  <c r="Q7" i="1145"/>
  <c r="P7" i="1145"/>
  <c r="AC7" i="1145" s="1"/>
  <c r="AF6" i="1145"/>
  <c r="AB6" i="1145"/>
  <c r="Q6" i="1145"/>
  <c r="M6" i="1145"/>
  <c r="L21" i="1145"/>
  <c r="O21" i="1145" s="1"/>
  <c r="AE20" i="1148" l="1"/>
  <c r="AE9" i="1148"/>
  <c r="AE6" i="1148"/>
  <c r="AE19" i="1148"/>
  <c r="AE16" i="1148"/>
  <c r="AE13" i="1148"/>
  <c r="AE10" i="1148"/>
  <c r="AE18" i="1148"/>
  <c r="AE15" i="1148"/>
  <c r="AE12" i="1148"/>
  <c r="AE21" i="1148"/>
  <c r="AE17" i="1148"/>
  <c r="AE14" i="1148"/>
  <c r="AE11" i="1148"/>
  <c r="AE8" i="1148"/>
  <c r="AE7" i="1148"/>
  <c r="AC22" i="1147"/>
  <c r="AD6" i="1147"/>
  <c r="AD22" i="1147" s="1"/>
  <c r="AE16" i="1147" s="1"/>
  <c r="AD16" i="1146"/>
  <c r="AB21" i="1146"/>
  <c r="P21" i="1146"/>
  <c r="AD8" i="1146"/>
  <c r="AC21" i="1146"/>
  <c r="AD6" i="1146"/>
  <c r="AD14" i="1145"/>
  <c r="Q21" i="1145"/>
  <c r="P6" i="1145"/>
  <c r="AD12" i="1145"/>
  <c r="AD8" i="1145"/>
  <c r="AD16" i="1145"/>
  <c r="AD20" i="1145"/>
  <c r="AD13" i="1145"/>
  <c r="AD10" i="1145"/>
  <c r="M7" i="1145"/>
  <c r="AB7" i="1145"/>
  <c r="P9" i="1145"/>
  <c r="AC9" i="1145" s="1"/>
  <c r="AD9" i="1145" s="1"/>
  <c r="M11" i="1145"/>
  <c r="AB11" i="1145"/>
  <c r="P15" i="1145"/>
  <c r="AC15" i="1145" s="1"/>
  <c r="AD15" i="1145" s="1"/>
  <c r="M19" i="1145"/>
  <c r="AB19" i="1145"/>
  <c r="AD19" i="1145" s="1"/>
  <c r="O7" i="1145"/>
  <c r="O11" i="1145"/>
  <c r="O6" i="1145"/>
  <c r="AC6" i="1145"/>
  <c r="K21" i="1145"/>
  <c r="M9" i="1145"/>
  <c r="M15" i="1145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1144"/>
  <c r="L18" i="1144"/>
  <c r="K16" i="1144"/>
  <c r="L15" i="1144"/>
  <c r="K15" i="1144" s="1"/>
  <c r="AE14" i="1147" l="1"/>
  <c r="AE17" i="1147"/>
  <c r="AE8" i="1147"/>
  <c r="AE21" i="1147"/>
  <c r="AE18" i="1147"/>
  <c r="AE12" i="1147"/>
  <c r="AE9" i="1147"/>
  <c r="AE6" i="1147"/>
  <c r="AE11" i="1147"/>
  <c r="AE19" i="1147"/>
  <c r="AE15" i="1147"/>
  <c r="AE13" i="1147"/>
  <c r="AE10" i="1147"/>
  <c r="AE7" i="1147"/>
  <c r="AE20" i="1147"/>
  <c r="AD21" i="1146"/>
  <c r="AE19" i="1146" s="1"/>
  <c r="AD7" i="1145"/>
  <c r="P21" i="1145"/>
  <c r="AD11" i="1145"/>
  <c r="M21" i="1145"/>
  <c r="AC21" i="1145"/>
  <c r="AD6" i="1145"/>
  <c r="AB21" i="1145"/>
  <c r="L13" i="1144"/>
  <c r="K13" i="1144" s="1"/>
  <c r="L11" i="1144"/>
  <c r="K11" i="1144" s="1"/>
  <c r="L10" i="1144"/>
  <c r="K10" i="1144" s="1"/>
  <c r="L9" i="1144"/>
  <c r="K9" i="1144" s="1"/>
  <c r="L8" i="1144"/>
  <c r="L7" i="1144"/>
  <c r="K7" i="1144" s="1"/>
  <c r="L6" i="1144"/>
  <c r="K6" i="1144" s="1"/>
  <c r="K19" i="1144"/>
  <c r="K18" i="1144"/>
  <c r="K14" i="1144"/>
  <c r="K8" i="1144"/>
  <c r="A74" i="1144"/>
  <c r="A75" i="1144" s="1"/>
  <c r="A76" i="1144" s="1"/>
  <c r="A77" i="1144" s="1"/>
  <c r="A78" i="1144" s="1"/>
  <c r="A79" i="1144" s="1"/>
  <c r="A80" i="1144" s="1"/>
  <c r="A81" i="1144" s="1"/>
  <c r="AF62" i="1144"/>
  <c r="AF60" i="1144"/>
  <c r="AF59" i="1144"/>
  <c r="AA21" i="1144"/>
  <c r="Z21" i="1144"/>
  <c r="Y21" i="1144"/>
  <c r="X21" i="1144"/>
  <c r="W21" i="1144"/>
  <c r="V21" i="1144"/>
  <c r="U21" i="1144"/>
  <c r="T21" i="1144"/>
  <c r="S21" i="1144"/>
  <c r="R21" i="1144"/>
  <c r="N21" i="1144"/>
  <c r="J21" i="1144"/>
  <c r="I21" i="1144"/>
  <c r="AF20" i="1144"/>
  <c r="AB20" i="1144"/>
  <c r="Q20" i="1144"/>
  <c r="P20" i="1144"/>
  <c r="AC20" i="1144" s="1"/>
  <c r="AD20" i="1144" s="1"/>
  <c r="O20" i="1144"/>
  <c r="M20" i="1144"/>
  <c r="K20" i="1144"/>
  <c r="AF19" i="1144"/>
  <c r="AB19" i="1144"/>
  <c r="Q19" i="1144"/>
  <c r="P19" i="1144" s="1"/>
  <c r="AC19" i="1144" s="1"/>
  <c r="O19" i="1144"/>
  <c r="M19" i="1144"/>
  <c r="AF18" i="1144"/>
  <c r="Q18" i="1144"/>
  <c r="P18" i="1144"/>
  <c r="AC18" i="1144" s="1"/>
  <c r="O18" i="1144"/>
  <c r="AB18" i="1144"/>
  <c r="AF17" i="1144"/>
  <c r="AB17" i="1144"/>
  <c r="Q17" i="1144"/>
  <c r="P17" i="1144"/>
  <c r="AC17" i="1144" s="1"/>
  <c r="AD17" i="1144" s="1"/>
  <c r="O17" i="1144"/>
  <c r="M17" i="1144"/>
  <c r="K17" i="1144"/>
  <c r="AF16" i="1144"/>
  <c r="Q16" i="1144"/>
  <c r="P16" i="1144"/>
  <c r="AC16" i="1144" s="1"/>
  <c r="O16" i="1144"/>
  <c r="AF15" i="1144"/>
  <c r="AB15" i="1144"/>
  <c r="Q15" i="1144"/>
  <c r="P15" i="1144"/>
  <c r="AC15" i="1144" s="1"/>
  <c r="O15" i="1144"/>
  <c r="M15" i="1144"/>
  <c r="AF14" i="1144"/>
  <c r="AB14" i="1144"/>
  <c r="Q14" i="1144"/>
  <c r="P14" i="1144" s="1"/>
  <c r="AC14" i="1144" s="1"/>
  <c r="O14" i="1144"/>
  <c r="M14" i="1144"/>
  <c r="AF13" i="1144"/>
  <c r="AB13" i="1144"/>
  <c r="Q13" i="1144"/>
  <c r="P13" i="1144" s="1"/>
  <c r="AC13" i="1144" s="1"/>
  <c r="O13" i="1144"/>
  <c r="M13" i="1144"/>
  <c r="AF12" i="1144"/>
  <c r="AB12" i="1144"/>
  <c r="Q12" i="1144"/>
  <c r="P12" i="1144"/>
  <c r="AC12" i="1144" s="1"/>
  <c r="AD12" i="1144" s="1"/>
  <c r="O12" i="1144"/>
  <c r="M12" i="1144"/>
  <c r="K12" i="1144"/>
  <c r="AF11" i="1144"/>
  <c r="AB11" i="1144"/>
  <c r="Q11" i="1144"/>
  <c r="P11" i="1144" s="1"/>
  <c r="AC11" i="1144" s="1"/>
  <c r="O11" i="1144"/>
  <c r="M11" i="1144"/>
  <c r="AF10" i="1144"/>
  <c r="Q10" i="1144"/>
  <c r="P10" i="1144"/>
  <c r="AC10" i="1144" s="1"/>
  <c r="AF9" i="1144"/>
  <c r="AB9" i="1144"/>
  <c r="Q9" i="1144"/>
  <c r="P9" i="1144" s="1"/>
  <c r="AC9" i="1144" s="1"/>
  <c r="O9" i="1144"/>
  <c r="M9" i="1144"/>
  <c r="AF8" i="1144"/>
  <c r="AB8" i="1144"/>
  <c r="Q8" i="1144"/>
  <c r="O8" i="1144"/>
  <c r="M8" i="1144"/>
  <c r="L21" i="1144"/>
  <c r="O21" i="1144" s="1"/>
  <c r="AF7" i="1144"/>
  <c r="AB7" i="1144"/>
  <c r="Q7" i="1144"/>
  <c r="P7" i="1144" s="1"/>
  <c r="AC7" i="1144" s="1"/>
  <c r="O7" i="1144"/>
  <c r="M7" i="1144"/>
  <c r="AF6" i="1144"/>
  <c r="AB6" i="1144"/>
  <c r="Q6" i="1144"/>
  <c r="O6" i="1144"/>
  <c r="M6" i="1144"/>
  <c r="AE9" i="1146" l="1"/>
  <c r="AE6" i="1146"/>
  <c r="AE12" i="1146"/>
  <c r="AE8" i="1146"/>
  <c r="AE10" i="1146"/>
  <c r="AE14" i="1146"/>
  <c r="AE15" i="1146"/>
  <c r="AE17" i="1146"/>
  <c r="AE13" i="1146"/>
  <c r="AE20" i="1146"/>
  <c r="AE11" i="1146"/>
  <c r="AE18" i="1146"/>
  <c r="AE7" i="1146"/>
  <c r="AE16" i="1146"/>
  <c r="AD21" i="1145"/>
  <c r="AE14" i="1145" s="1"/>
  <c r="AD15" i="1144"/>
  <c r="AD11" i="1144"/>
  <c r="Q21" i="1144"/>
  <c r="P6" i="1144"/>
  <c r="AC6" i="1144" s="1"/>
  <c r="AD13" i="1144"/>
  <c r="AD7" i="1144"/>
  <c r="AD19" i="1144"/>
  <c r="AD9" i="1144"/>
  <c r="AD14" i="1144"/>
  <c r="AD18" i="1144"/>
  <c r="AD6" i="1144"/>
  <c r="M10" i="1144"/>
  <c r="K21" i="1144"/>
  <c r="P8" i="1144"/>
  <c r="AC8" i="1144" s="1"/>
  <c r="AD8" i="1144" s="1"/>
  <c r="O10" i="1144"/>
  <c r="M16" i="1144"/>
  <c r="AB16" i="1144"/>
  <c r="AD16" i="1144" s="1"/>
  <c r="AB10" i="1144"/>
  <c r="M18" i="1144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18" i="1143"/>
  <c r="L16" i="1143"/>
  <c r="K16" i="1143"/>
  <c r="K14" i="1143"/>
  <c r="L10" i="1143"/>
  <c r="L8" i="1143"/>
  <c r="K8" i="1143" s="1"/>
  <c r="K19" i="1143"/>
  <c r="K18" i="1143"/>
  <c r="K11" i="1143"/>
  <c r="A74" i="1143"/>
  <c r="A75" i="1143" s="1"/>
  <c r="A76" i="1143" s="1"/>
  <c r="A77" i="1143" s="1"/>
  <c r="A78" i="1143" s="1"/>
  <c r="A79" i="1143" s="1"/>
  <c r="A80" i="1143" s="1"/>
  <c r="A81" i="1143" s="1"/>
  <c r="AF60" i="1143"/>
  <c r="AF59" i="1143"/>
  <c r="AF62" i="1143" s="1"/>
  <c r="AA21" i="1143"/>
  <c r="Z21" i="1143"/>
  <c r="Y21" i="1143"/>
  <c r="X21" i="1143"/>
  <c r="W21" i="1143"/>
  <c r="V21" i="1143"/>
  <c r="U21" i="1143"/>
  <c r="T21" i="1143"/>
  <c r="S21" i="1143"/>
  <c r="R21" i="1143"/>
  <c r="N21" i="1143"/>
  <c r="J21" i="1143"/>
  <c r="I21" i="1143"/>
  <c r="AF20" i="1143"/>
  <c r="AB20" i="1143"/>
  <c r="Q20" i="1143"/>
  <c r="P20" i="1143"/>
  <c r="AC20" i="1143" s="1"/>
  <c r="AD20" i="1143" s="1"/>
  <c r="O20" i="1143"/>
  <c r="M20" i="1143"/>
  <c r="K20" i="1143"/>
  <c r="AF19" i="1143"/>
  <c r="AB19" i="1143"/>
  <c r="Q19" i="1143"/>
  <c r="P19" i="1143" s="1"/>
  <c r="AC19" i="1143" s="1"/>
  <c r="O19" i="1143"/>
  <c r="M19" i="1143"/>
  <c r="AF18" i="1143"/>
  <c r="Q18" i="1143"/>
  <c r="P18" i="1143" s="1"/>
  <c r="AC18" i="1143" s="1"/>
  <c r="O18" i="1143"/>
  <c r="L21" i="1143"/>
  <c r="O21" i="1143" s="1"/>
  <c r="AF17" i="1143"/>
  <c r="AC17" i="1143"/>
  <c r="AB17" i="1143"/>
  <c r="Q17" i="1143"/>
  <c r="P17" i="1143"/>
  <c r="O17" i="1143"/>
  <c r="M17" i="1143"/>
  <c r="K17" i="1143"/>
  <c r="AF16" i="1143"/>
  <c r="AB16" i="1143"/>
  <c r="Q16" i="1143"/>
  <c r="P16" i="1143" s="1"/>
  <c r="AC16" i="1143" s="1"/>
  <c r="O16" i="1143"/>
  <c r="M16" i="1143"/>
  <c r="AF15" i="1143"/>
  <c r="AC15" i="1143"/>
  <c r="AB15" i="1143"/>
  <c r="Q15" i="1143"/>
  <c r="P15" i="1143"/>
  <c r="O15" i="1143"/>
  <c r="M15" i="1143"/>
  <c r="K15" i="1143"/>
  <c r="AF14" i="1143"/>
  <c r="AB14" i="1143"/>
  <c r="Q14" i="1143"/>
  <c r="P14" i="1143" s="1"/>
  <c r="AC14" i="1143" s="1"/>
  <c r="O14" i="1143"/>
  <c r="M14" i="1143"/>
  <c r="AF13" i="1143"/>
  <c r="AB13" i="1143"/>
  <c r="Q13" i="1143"/>
  <c r="P13" i="1143"/>
  <c r="AC13" i="1143" s="1"/>
  <c r="AD13" i="1143" s="1"/>
  <c r="O13" i="1143"/>
  <c r="M13" i="1143"/>
  <c r="K13" i="1143"/>
  <c r="AF12" i="1143"/>
  <c r="AB12" i="1143"/>
  <c r="Q12" i="1143"/>
  <c r="P12" i="1143"/>
  <c r="AC12" i="1143" s="1"/>
  <c r="O12" i="1143"/>
  <c r="M12" i="1143"/>
  <c r="K12" i="1143"/>
  <c r="AF11" i="1143"/>
  <c r="AB11" i="1143"/>
  <c r="Q11" i="1143"/>
  <c r="P11" i="1143"/>
  <c r="AC11" i="1143" s="1"/>
  <c r="O11" i="1143"/>
  <c r="M11" i="1143"/>
  <c r="AF10" i="1143"/>
  <c r="AB10" i="1143"/>
  <c r="Q10" i="1143"/>
  <c r="P10" i="1143"/>
  <c r="AC10" i="1143" s="1"/>
  <c r="O10" i="1143"/>
  <c r="M10" i="1143"/>
  <c r="K10" i="1143"/>
  <c r="AF9" i="1143"/>
  <c r="AC9" i="1143"/>
  <c r="AD9" i="1143" s="1"/>
  <c r="AB9" i="1143"/>
  <c r="Q9" i="1143"/>
  <c r="P9" i="1143"/>
  <c r="O9" i="1143"/>
  <c r="M9" i="1143"/>
  <c r="K9" i="1143"/>
  <c r="AF8" i="1143"/>
  <c r="AB8" i="1143"/>
  <c r="Q8" i="1143"/>
  <c r="P8" i="1143"/>
  <c r="AC8" i="1143" s="1"/>
  <c r="O8" i="1143"/>
  <c r="M8" i="1143"/>
  <c r="AF7" i="1143"/>
  <c r="AC7" i="1143"/>
  <c r="AD7" i="1143" s="1"/>
  <c r="AB7" i="1143"/>
  <c r="Q7" i="1143"/>
  <c r="P7" i="1143"/>
  <c r="O7" i="1143"/>
  <c r="M7" i="1143"/>
  <c r="K7" i="1143"/>
  <c r="AF6" i="1143"/>
  <c r="AB6" i="1143"/>
  <c r="Q6" i="1143"/>
  <c r="P6" i="1143"/>
  <c r="O6" i="1143"/>
  <c r="M6" i="1143"/>
  <c r="K6" i="1143"/>
  <c r="AE18" i="1145" l="1"/>
  <c r="AE17" i="1145"/>
  <c r="AE16" i="1145"/>
  <c r="AE9" i="1145"/>
  <c r="AE8" i="1145"/>
  <c r="AE6" i="1145"/>
  <c r="AE15" i="1145"/>
  <c r="AE11" i="1145"/>
  <c r="AE10" i="1145"/>
  <c r="AE12" i="1145"/>
  <c r="AE19" i="1145"/>
  <c r="AE7" i="1145"/>
  <c r="AE13" i="1145"/>
  <c r="AE20" i="1145"/>
  <c r="AD10" i="1144"/>
  <c r="M21" i="1144"/>
  <c r="AB21" i="1144"/>
  <c r="AC21" i="1144"/>
  <c r="AD21" i="1144"/>
  <c r="P21" i="1144"/>
  <c r="AD14" i="1143"/>
  <c r="Q21" i="1143"/>
  <c r="AD8" i="1143"/>
  <c r="AD11" i="1143"/>
  <c r="P21" i="1143"/>
  <c r="AD10" i="1143"/>
  <c r="AD16" i="1143"/>
  <c r="AD17" i="1143"/>
  <c r="AD12" i="1143"/>
  <c r="K21" i="1143"/>
  <c r="AD15" i="1143"/>
  <c r="AD19" i="1143"/>
  <c r="AC6" i="1143"/>
  <c r="M18" i="1143"/>
  <c r="M21" i="1143" s="1"/>
  <c r="AB18" i="1143"/>
  <c r="AD18" i="1143" s="1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G3" i="16" s="1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L18" i="1142"/>
  <c r="K18" i="1142" s="1"/>
  <c r="K11" i="1142"/>
  <c r="K19" i="1142"/>
  <c r="K16" i="1142"/>
  <c r="K13" i="1142"/>
  <c r="K12" i="1142"/>
  <c r="K10" i="1142"/>
  <c r="K9" i="1142"/>
  <c r="K7" i="1142"/>
  <c r="AE19" i="1144" l="1"/>
  <c r="AE14" i="1144"/>
  <c r="AE17" i="1144"/>
  <c r="AE8" i="1144"/>
  <c r="AE16" i="1144"/>
  <c r="AE9" i="1144"/>
  <c r="AE20" i="1144"/>
  <c r="AE18" i="1144"/>
  <c r="AE15" i="1144"/>
  <c r="AE13" i="1144"/>
  <c r="AE11" i="1144"/>
  <c r="AE6" i="1144"/>
  <c r="AE12" i="1144"/>
  <c r="AE7" i="1144"/>
  <c r="AE10" i="1144"/>
  <c r="AB21" i="1143"/>
  <c r="AC21" i="1143"/>
  <c r="AD6" i="1143"/>
  <c r="AD21" i="1143" s="1"/>
  <c r="K17" i="1142"/>
  <c r="K6" i="1142"/>
  <c r="A74" i="1142"/>
  <c r="A75" i="1142" s="1"/>
  <c r="A76" i="1142" s="1"/>
  <c r="A77" i="1142" s="1"/>
  <c r="A78" i="1142" s="1"/>
  <c r="A79" i="1142" s="1"/>
  <c r="A80" i="1142" s="1"/>
  <c r="A81" i="1142" s="1"/>
  <c r="AF60" i="1142"/>
  <c r="AF59" i="1142"/>
  <c r="AA21" i="1142"/>
  <c r="Z21" i="1142"/>
  <c r="Y21" i="1142"/>
  <c r="X21" i="1142"/>
  <c r="W21" i="1142"/>
  <c r="V21" i="1142"/>
  <c r="U21" i="1142"/>
  <c r="T21" i="1142"/>
  <c r="S21" i="1142"/>
  <c r="R21" i="1142"/>
  <c r="N21" i="1142"/>
  <c r="J21" i="1142"/>
  <c r="I21" i="1142"/>
  <c r="AF20" i="1142"/>
  <c r="AB20" i="1142"/>
  <c r="Q20" i="1142"/>
  <c r="P20" i="1142"/>
  <c r="AC20" i="1142" s="1"/>
  <c r="O20" i="1142"/>
  <c r="M20" i="1142"/>
  <c r="K20" i="1142"/>
  <c r="AF19" i="1142"/>
  <c r="Q19" i="1142"/>
  <c r="P19" i="1142" s="1"/>
  <c r="AC19" i="1142" s="1"/>
  <c r="O19" i="1142"/>
  <c r="M19" i="1142"/>
  <c r="AB19" i="1142"/>
  <c r="AF18" i="1142"/>
  <c r="AB18" i="1142"/>
  <c r="Q18" i="1142"/>
  <c r="P18" i="1142" s="1"/>
  <c r="AC18" i="1142" s="1"/>
  <c r="O18" i="1142"/>
  <c r="M18" i="1142"/>
  <c r="AF17" i="1142"/>
  <c r="Q17" i="1142"/>
  <c r="P17" i="1142"/>
  <c r="AC17" i="1142" s="1"/>
  <c r="AB17" i="1142"/>
  <c r="AF16" i="1142"/>
  <c r="AB16" i="1142"/>
  <c r="Q16" i="1142"/>
  <c r="P16" i="1142" s="1"/>
  <c r="AC16" i="1142" s="1"/>
  <c r="M16" i="1142"/>
  <c r="AF15" i="1142"/>
  <c r="AC15" i="1142"/>
  <c r="AB15" i="1142"/>
  <c r="Q15" i="1142"/>
  <c r="P15" i="1142"/>
  <c r="O15" i="1142"/>
  <c r="M15" i="1142"/>
  <c r="K15" i="1142"/>
  <c r="AF14" i="1142"/>
  <c r="AB14" i="1142"/>
  <c r="Q14" i="1142"/>
  <c r="P14" i="1142"/>
  <c r="AC14" i="1142" s="1"/>
  <c r="O14" i="1142"/>
  <c r="M14" i="1142"/>
  <c r="K14" i="1142"/>
  <c r="AF13" i="1142"/>
  <c r="AB13" i="1142"/>
  <c r="Q13" i="1142"/>
  <c r="P13" i="1142" s="1"/>
  <c r="AC13" i="1142" s="1"/>
  <c r="O13" i="1142"/>
  <c r="M13" i="1142"/>
  <c r="AF12" i="1142"/>
  <c r="AB12" i="1142"/>
  <c r="Q12" i="1142"/>
  <c r="M12" i="1142"/>
  <c r="O12" i="1142"/>
  <c r="AF11" i="1142"/>
  <c r="Q11" i="1142"/>
  <c r="AB11" i="1142"/>
  <c r="AF10" i="1142"/>
  <c r="AB10" i="1142"/>
  <c r="Q10" i="1142"/>
  <c r="P10" i="1142" s="1"/>
  <c r="AC10" i="1142" s="1"/>
  <c r="O10" i="1142"/>
  <c r="M10" i="1142"/>
  <c r="AF9" i="1142"/>
  <c r="AB9" i="1142"/>
  <c r="Q9" i="1142"/>
  <c r="P9" i="1142" s="1"/>
  <c r="AC9" i="1142" s="1"/>
  <c r="O9" i="1142"/>
  <c r="M9" i="1142"/>
  <c r="AF8" i="1142"/>
  <c r="AB8" i="1142"/>
  <c r="Q8" i="1142"/>
  <c r="P8" i="1142"/>
  <c r="AC8" i="1142" s="1"/>
  <c r="O8" i="1142"/>
  <c r="M8" i="1142"/>
  <c r="K8" i="1142"/>
  <c r="AF7" i="1142"/>
  <c r="Q7" i="1142"/>
  <c r="P7" i="1142" s="1"/>
  <c r="AC7" i="1142" s="1"/>
  <c r="O7" i="1142"/>
  <c r="AB7" i="1142"/>
  <c r="AF6" i="1142"/>
  <c r="AB6" i="1142"/>
  <c r="Q6" i="1142"/>
  <c r="O6" i="1142"/>
  <c r="M6" i="1142"/>
  <c r="P6" i="1142"/>
  <c r="AE19" i="1143" l="1"/>
  <c r="AE6" i="1143"/>
  <c r="AE17" i="1143"/>
  <c r="AE15" i="1143"/>
  <c r="AE13" i="1143"/>
  <c r="AE11" i="1143"/>
  <c r="AE9" i="1143"/>
  <c r="AE7" i="1143"/>
  <c r="AE16" i="1143"/>
  <c r="AE20" i="1143"/>
  <c r="AE18" i="1143"/>
  <c r="AE14" i="1143"/>
  <c r="AE12" i="1143"/>
  <c r="AE10" i="1143"/>
  <c r="AE8" i="1143"/>
  <c r="O16" i="1142"/>
  <c r="AF62" i="1142"/>
  <c r="AD18" i="1142"/>
  <c r="Q21" i="1142"/>
  <c r="AD8" i="1142"/>
  <c r="AD9" i="1142"/>
  <c r="AD10" i="1142"/>
  <c r="AD13" i="1142"/>
  <c r="AD14" i="1142"/>
  <c r="AD16" i="1142"/>
  <c r="AD15" i="1142"/>
  <c r="AD20" i="1142"/>
  <c r="AD7" i="1142"/>
  <c r="AD19" i="1142"/>
  <c r="AC6" i="1142"/>
  <c r="M7" i="1142"/>
  <c r="O11" i="1142"/>
  <c r="P12" i="1142"/>
  <c r="AC12" i="1142" s="1"/>
  <c r="AD12" i="1142" s="1"/>
  <c r="O17" i="1142"/>
  <c r="AD17" i="1142" s="1"/>
  <c r="P11" i="1142"/>
  <c r="AC11" i="1142" s="1"/>
  <c r="AB21" i="1142"/>
  <c r="L21" i="1142"/>
  <c r="O21" i="1142" s="1"/>
  <c r="M11" i="1142"/>
  <c r="M17" i="1142"/>
  <c r="AD11" i="1142" l="1"/>
  <c r="M21" i="1142"/>
  <c r="K21" i="1142"/>
  <c r="AC21" i="1142"/>
  <c r="AD6" i="1142"/>
  <c r="P21" i="1142"/>
  <c r="AD21" i="1142" l="1"/>
  <c r="AE19" i="1142" l="1"/>
  <c r="AE16" i="1142"/>
  <c r="AE10" i="1142"/>
  <c r="AE7" i="1142"/>
  <c r="AE17" i="1142"/>
  <c r="AE14" i="1142"/>
  <c r="AE11" i="1142"/>
  <c r="AE20" i="1142"/>
  <c r="AE12" i="1142"/>
  <c r="AE8" i="1142"/>
  <c r="AE18" i="1142"/>
  <c r="AE15" i="1142"/>
  <c r="AE13" i="1142"/>
  <c r="AE9" i="1142"/>
  <c r="AE6" i="1142"/>
</calcChain>
</file>

<file path=xl/sharedStrings.xml><?xml version="1.0" encoding="utf-8"?>
<sst xmlns="http://schemas.openxmlformats.org/spreadsheetml/2006/main" count="4991" uniqueCount="1127">
  <si>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</si>
  <si>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</si>
  <si>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</si>
  <si>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</si>
  <si>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</si>
  <si>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</si>
  <si>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</si>
  <si>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</si>
  <si>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</si>
  <si>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</si>
  <si>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</si>
  <si>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</si>
  <si>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</si>
  <si>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</si>
  <si>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</si>
  <si>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</si>
  <si>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</si>
  <si>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</si>
  <si>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</si>
  <si>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</si>
  <si>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</si>
  <si>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</si>
  <si>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</si>
  <si>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</si>
  <si>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</si>
  <si>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</si>
  <si>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</si>
  <si>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</si>
  <si>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</si>
  <si>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</si>
  <si>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</si>
  <si>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</si>
  <si>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</si>
  <si>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</si>
  <si>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</si>
  <si>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</si>
  <si>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</si>
  <si>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</si>
  <si>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</si>
  <si>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</si>
  <si>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</si>
  <si>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</si>
  <si>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</si>
  <si>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</si>
  <si>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</si>
  <si>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</si>
  <si>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</si>
  <si>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</si>
  <si>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</si>
  <si>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</si>
  <si>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</si>
  <si>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</si>
  <si>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</si>
  <si>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</si>
  <si>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</si>
  <si>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</si>
  <si>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</si>
  <si>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</si>
  <si>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</si>
  <si>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</si>
  <si>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</si>
  <si>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</si>
  <si>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</si>
  <si>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</si>
  <si>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</si>
  <si>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</si>
  <si>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</si>
  <si>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</si>
  <si>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</si>
  <si>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</si>
  <si>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</si>
  <si>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</si>
  <si>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</si>
  <si>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</si>
  <si>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</si>
  <si>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</si>
  <si>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</si>
  <si>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</si>
  <si>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</si>
  <si>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</si>
  <si>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</si>
  <si>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</si>
  <si>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</si>
  <si>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</si>
  <si>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</si>
  <si>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</si>
  <si>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</si>
  <si>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</si>
  <si>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</si>
  <si>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</si>
  <si>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</si>
  <si>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</si>
  <si>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</si>
  <si>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</si>
  <si>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</si>
  <si>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</si>
  <si>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</si>
  <si>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</si>
  <si>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</si>
  <si>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</si>
  <si>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</si>
  <si>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</si>
  <si>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</si>
  <si>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</si>
  <si>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</si>
  <si>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</si>
  <si>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</si>
  <si>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</si>
  <si>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</si>
  <si>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</si>
  <si>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</si>
  <si>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</si>
  <si>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</si>
  <si>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</si>
  <si>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</si>
  <si>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</si>
  <si>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</si>
  <si>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</si>
  <si>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</si>
  <si>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</si>
  <si>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</si>
  <si>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SST</t>
    <phoneticPr fontId="2" type="noConversion"/>
  </si>
  <si>
    <t>ODT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</si>
  <si>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</si>
  <si>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</si>
  <si>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</si>
  <si>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SF2255</t>
    <phoneticPr fontId="2" type="noConversion"/>
  </si>
  <si>
    <t>SGF2033</t>
    <phoneticPr fontId="2" type="noConversion"/>
  </si>
  <si>
    <t>2</t>
    <phoneticPr fontId="2" type="noConversion"/>
  </si>
  <si>
    <t>AYE</t>
    <phoneticPr fontId="2" type="noConversion"/>
  </si>
  <si>
    <t>LEN2211</t>
    <phoneticPr fontId="2" type="noConversion"/>
  </si>
  <si>
    <t>ADAPTER</t>
    <phoneticPr fontId="2" type="noConversion"/>
  </si>
  <si>
    <t>NP504-432-073#SP-A,B,C</t>
    <phoneticPr fontId="2" type="noConversion"/>
  </si>
  <si>
    <t>SPACER A,B,C</t>
    <phoneticPr fontId="2" type="noConversion"/>
  </si>
  <si>
    <t>3*1</t>
    <phoneticPr fontId="2" type="noConversion"/>
  </si>
  <si>
    <t>6</t>
    <phoneticPr fontId="2" type="noConversion"/>
  </si>
  <si>
    <t>AMB07P2A-KAA-R1</t>
    <phoneticPr fontId="2" type="noConversion"/>
  </si>
  <si>
    <t>발주분양산</t>
    <phoneticPr fontId="2" type="noConversion"/>
  </si>
  <si>
    <t>72P</t>
    <phoneticPr fontId="2" type="noConversion"/>
  </si>
  <si>
    <t>PA9T</t>
    <phoneticPr fontId="2" type="noConversion"/>
  </si>
  <si>
    <t>SGF2030</t>
    <phoneticPr fontId="2" type="noConversion"/>
  </si>
  <si>
    <t>2*1</t>
    <phoneticPr fontId="2" type="noConversion"/>
  </si>
  <si>
    <t>SEPARATOR</t>
    <phoneticPr fontId="2" type="noConversion"/>
  </si>
  <si>
    <t>NP504-504-018#SP-1</t>
    <phoneticPr fontId="2" type="noConversion"/>
  </si>
  <si>
    <t>5</t>
    <phoneticPr fontId="2" type="noConversion"/>
  </si>
  <si>
    <t>ACTUATOR</t>
    <phoneticPr fontId="2" type="noConversion"/>
  </si>
  <si>
    <t>HICON</t>
    <phoneticPr fontId="2" type="noConversion"/>
  </si>
  <si>
    <t>PBT</t>
    <phoneticPr fontId="2" type="noConversion"/>
  </si>
  <si>
    <t>AMM0853A-KAA-R1</t>
    <phoneticPr fontId="2" type="noConversion"/>
  </si>
  <si>
    <t>K-JR01920-B414AZB</t>
    <phoneticPr fontId="2" type="noConversion"/>
  </si>
  <si>
    <t>HOLDER</t>
    <phoneticPr fontId="2" type="noConversion"/>
  </si>
  <si>
    <t>SGP2020R</t>
    <phoneticPr fontId="2" type="noConversion"/>
  </si>
  <si>
    <t>FLOAT</t>
    <phoneticPr fontId="2" type="noConversion"/>
  </si>
  <si>
    <t>K-JR01920-A414AWA</t>
    <phoneticPr fontId="2" type="noConversion"/>
  </si>
  <si>
    <t>SW-003394</t>
    <phoneticPr fontId="2" type="noConversion"/>
  </si>
  <si>
    <t>CASE</t>
    <phoneticPr fontId="2" type="noConversion"/>
  </si>
  <si>
    <t>SW-003215</t>
    <phoneticPr fontId="2" type="noConversion"/>
  </si>
  <si>
    <t>SW-003092/003152</t>
    <phoneticPr fontId="2" type="noConversion"/>
  </si>
  <si>
    <t>CASE(7-SEGMENT)</t>
    <phoneticPr fontId="2" type="noConversion"/>
  </si>
  <si>
    <t>LATCH</t>
    <phoneticPr fontId="2" type="noConversion"/>
  </si>
  <si>
    <t>HSA08-M06A1</t>
    <phoneticPr fontId="2" type="noConversion"/>
  </si>
  <si>
    <t>JD4901</t>
    <phoneticPr fontId="2" type="noConversion"/>
  </si>
  <si>
    <t>KR6156BB841CA</t>
    <phoneticPr fontId="2" type="noConversion"/>
  </si>
  <si>
    <t>SGF2033</t>
    <phoneticPr fontId="2" type="noConversion"/>
  </si>
  <si>
    <t>수리후양산</t>
    <phoneticPr fontId="2" type="noConversion"/>
  </si>
  <si>
    <t>BASE</t>
    <phoneticPr fontId="2" type="noConversion"/>
  </si>
  <si>
    <t>발주분양산</t>
    <phoneticPr fontId="2" type="noConversion"/>
  </si>
  <si>
    <t>SST</t>
    <phoneticPr fontId="2" type="noConversion"/>
  </si>
  <si>
    <t>LATCH</t>
    <phoneticPr fontId="2" type="noConversion"/>
  </si>
  <si>
    <t>JD4901</t>
    <phoneticPr fontId="2" type="noConversion"/>
  </si>
  <si>
    <t>수정</t>
    <phoneticPr fontId="2" type="noConversion"/>
  </si>
  <si>
    <t>AMB0156A-KAA-R2</t>
    <phoneticPr fontId="2" type="noConversion"/>
  </si>
  <si>
    <t>STOPPER</t>
    <phoneticPr fontId="2" type="noConversion"/>
  </si>
  <si>
    <t>AMB0227A-KAA-R1</t>
    <phoneticPr fontId="2" type="noConversion"/>
  </si>
  <si>
    <t>SF2255</t>
    <phoneticPr fontId="2" type="noConversion"/>
  </si>
  <si>
    <t>MCS</t>
    <phoneticPr fontId="2" type="noConversion"/>
  </si>
  <si>
    <t>발주분양산</t>
    <phoneticPr fontId="2" type="noConversion"/>
  </si>
  <si>
    <t>AYE</t>
    <phoneticPr fontId="2" type="noConversion"/>
  </si>
  <si>
    <t>SEPARATOR</t>
    <phoneticPr fontId="2" type="noConversion"/>
  </si>
  <si>
    <t>NP504-504-018#SP-1</t>
    <phoneticPr fontId="2" type="noConversion"/>
  </si>
  <si>
    <t>KR6190-E02TA</t>
    <phoneticPr fontId="2" type="noConversion"/>
  </si>
  <si>
    <r>
      <t>2018년 03월 01일(주간) 일일생산현황</t>
    </r>
    <r>
      <rPr>
        <b/>
        <sz val="14"/>
        <color indexed="8"/>
        <rFont val="굴림체"/>
        <family val="3"/>
        <charset val="129"/>
      </rPr>
      <t>(05일(월) 09시 현재)</t>
    </r>
    <phoneticPr fontId="2" type="noConversion"/>
  </si>
  <si>
    <t>MCS</t>
    <phoneticPr fontId="2" type="noConversion"/>
  </si>
  <si>
    <t>ACTUATOR</t>
    <phoneticPr fontId="2" type="noConversion"/>
  </si>
  <si>
    <t>AMB1919B-KAA-R2</t>
    <phoneticPr fontId="2" type="noConversion"/>
  </si>
  <si>
    <t>JD4901 N/P</t>
    <phoneticPr fontId="2" type="noConversion"/>
  </si>
  <si>
    <t>03월 호기별 가동현황</t>
    <phoneticPr fontId="2" type="noConversion"/>
  </si>
  <si>
    <t>전일 ISSUE 사항(01일)</t>
    <phoneticPr fontId="2" type="noConversion"/>
  </si>
  <si>
    <t>AMB1919B-KAA-R1</t>
    <phoneticPr fontId="2" type="noConversion"/>
  </si>
  <si>
    <t>당일 진행 사항(05일)</t>
    <phoneticPr fontId="2" type="noConversion"/>
  </si>
  <si>
    <t>ODT</t>
    <phoneticPr fontId="2" type="noConversion"/>
  </si>
  <si>
    <t>SW-003066</t>
    <phoneticPr fontId="2" type="noConversion"/>
  </si>
  <si>
    <t>201T</t>
    <phoneticPr fontId="2" type="noConversion"/>
  </si>
  <si>
    <t>AMM0822A-KAB-R1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</si>
  <si>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</si>
  <si>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</si>
  <si>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</si>
  <si>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25SSD-127-T6-BB/UA</t>
    <phoneticPr fontId="2" type="noConversion"/>
  </si>
  <si>
    <t>OKINS</t>
    <phoneticPr fontId="2" type="noConversion"/>
  </si>
  <si>
    <t>11</t>
    <phoneticPr fontId="2" type="noConversion"/>
  </si>
  <si>
    <t>SAMPLE 진행 사항(01일)</t>
    <phoneticPr fontId="2" type="noConversion"/>
  </si>
  <si>
    <t>ACTUATOR</t>
    <phoneticPr fontId="2" type="noConversion"/>
  </si>
  <si>
    <t>AMB1901M-JAA-R1</t>
    <phoneticPr fontId="2" type="noConversion"/>
  </si>
  <si>
    <t>SGF2050</t>
    <phoneticPr fontId="2" type="noConversion"/>
  </si>
  <si>
    <t>신작</t>
    <phoneticPr fontId="2" type="noConversion"/>
  </si>
  <si>
    <t>AYE</t>
    <phoneticPr fontId="2" type="noConversion"/>
  </si>
  <si>
    <t>NP628-1056-001#IN-B</t>
    <phoneticPr fontId="2" type="noConversion"/>
  </si>
  <si>
    <t>SGF2033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</si>
  <si>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</si>
  <si>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</si>
  <si>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2018년 03월 05일 일일생산현황</t>
    </r>
    <r>
      <rPr>
        <b/>
        <sz val="14"/>
        <color indexed="8"/>
        <rFont val="굴림체"/>
        <family val="3"/>
        <charset val="129"/>
      </rPr>
      <t>(06일(화) 09시 현재)</t>
    </r>
    <phoneticPr fontId="2" type="noConversion"/>
  </si>
  <si>
    <t>201T</t>
    <phoneticPr fontId="2" type="noConversion"/>
  </si>
  <si>
    <t>SW-003066</t>
    <phoneticPr fontId="2" type="noConversion"/>
  </si>
  <si>
    <t>PC B/K</t>
    <phoneticPr fontId="2" type="noConversion"/>
  </si>
  <si>
    <t>AMM0822A-KAB-R1</t>
    <phoneticPr fontId="2" type="noConversion"/>
  </si>
  <si>
    <t>SF2255</t>
    <phoneticPr fontId="2" type="noConversion"/>
  </si>
  <si>
    <t>OKINS</t>
    <phoneticPr fontId="2" type="noConversion"/>
  </si>
  <si>
    <t>BASE/UNDER</t>
    <phoneticPr fontId="2" type="noConversion"/>
  </si>
  <si>
    <t>25SSD-127-T6-BB/UA</t>
    <phoneticPr fontId="2" type="noConversion"/>
  </si>
  <si>
    <t>2*1</t>
    <phoneticPr fontId="2" type="noConversion"/>
  </si>
  <si>
    <t>전일 ISSUE 사항(05일)</t>
    <phoneticPr fontId="2" type="noConversion"/>
  </si>
  <si>
    <t>AMM0822A-KAB-R1</t>
    <phoneticPr fontId="2" type="noConversion"/>
  </si>
  <si>
    <t>9</t>
    <phoneticPr fontId="2" type="noConversion"/>
  </si>
  <si>
    <t>BASE</t>
    <phoneticPr fontId="2" type="noConversion"/>
  </si>
  <si>
    <t>SW-003066</t>
    <phoneticPr fontId="2" type="noConversion"/>
  </si>
  <si>
    <t>ODT</t>
    <phoneticPr fontId="2" type="noConversion"/>
  </si>
  <si>
    <t>3</t>
    <phoneticPr fontId="2" type="noConversion"/>
  </si>
  <si>
    <t>NP504-504-018#SP-1</t>
    <phoneticPr fontId="2" type="noConversion"/>
  </si>
  <si>
    <t>수리후양산</t>
    <phoneticPr fontId="2" type="noConversion"/>
  </si>
  <si>
    <t>AYE</t>
    <phoneticPr fontId="2" type="noConversion"/>
  </si>
  <si>
    <t>5</t>
    <phoneticPr fontId="2" type="noConversion"/>
  </si>
  <si>
    <t>25SSD-127-T6-BB/UA</t>
    <phoneticPr fontId="2" type="noConversion"/>
  </si>
  <si>
    <t>OKINS</t>
    <phoneticPr fontId="2" type="noConversion"/>
  </si>
  <si>
    <t>11</t>
    <phoneticPr fontId="2" type="noConversion"/>
  </si>
  <si>
    <t>당일 진행 사항(06일)</t>
    <phoneticPr fontId="2" type="noConversion"/>
  </si>
  <si>
    <t>KR6156BB841CA</t>
    <phoneticPr fontId="2" type="noConversion"/>
  </si>
  <si>
    <t>상측뜯김정지</t>
    <phoneticPr fontId="2" type="noConversion"/>
  </si>
  <si>
    <t>SST</t>
    <phoneticPr fontId="2" type="noConversion"/>
  </si>
  <si>
    <t>13</t>
    <phoneticPr fontId="2" type="noConversion"/>
  </si>
  <si>
    <t>KR6156BB841CA</t>
    <phoneticPr fontId="2" type="noConversion"/>
  </si>
  <si>
    <t>KR6197-C841TA</t>
    <phoneticPr fontId="2" type="noConversion"/>
  </si>
  <si>
    <t>HRCS-00C11A/12A</t>
    <phoneticPr fontId="2" type="noConversion"/>
  </si>
  <si>
    <t>KR6197CA432YA</t>
    <phoneticPr fontId="2" type="noConversion"/>
  </si>
  <si>
    <t>HSA65-M002B1-13A</t>
    <phoneticPr fontId="2" type="noConversion"/>
  </si>
  <si>
    <t>LV006</t>
    <phoneticPr fontId="2" type="noConversion"/>
  </si>
  <si>
    <t>1</t>
    <phoneticPr fontId="2" type="noConversion"/>
  </si>
  <si>
    <t>COVER</t>
    <phoneticPr fontId="2" type="noConversion"/>
  </si>
  <si>
    <t>HICON</t>
    <phoneticPr fontId="2" type="noConversion"/>
  </si>
  <si>
    <t>2</t>
    <phoneticPr fontId="2" type="noConversion"/>
  </si>
  <si>
    <t>TOP/BOTTOM</t>
    <phoneticPr fontId="2" type="noConversion"/>
  </si>
  <si>
    <t>4</t>
    <phoneticPr fontId="2" type="noConversion"/>
  </si>
  <si>
    <t>SLIDER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</si>
  <si>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</si>
  <si>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</si>
  <si>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</si>
  <si>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테라</t>
    <phoneticPr fontId="2" type="noConversion"/>
  </si>
  <si>
    <t>10</t>
    <phoneticPr fontId="2" type="noConversion"/>
  </si>
  <si>
    <t>LEVER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</si>
  <si>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</si>
  <si>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</si>
  <si>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</si>
  <si>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2018년 03월 06일 일일생산현황</t>
    </r>
    <r>
      <rPr>
        <b/>
        <sz val="14"/>
        <color indexed="8"/>
        <rFont val="굴림체"/>
        <family val="3"/>
        <charset val="129"/>
      </rPr>
      <t>(07일(수) 09시 현재)</t>
    </r>
    <phoneticPr fontId="2" type="noConversion"/>
  </si>
  <si>
    <t>SST</t>
    <phoneticPr fontId="2" type="noConversion"/>
  </si>
  <si>
    <t>COVER</t>
    <phoneticPr fontId="2" type="noConversion"/>
  </si>
  <si>
    <t>KR6197-C841TA</t>
    <phoneticPr fontId="2" type="noConversion"/>
  </si>
  <si>
    <t>HICON</t>
    <phoneticPr fontId="2" type="noConversion"/>
  </si>
  <si>
    <t>TOP/BOTTOM</t>
    <phoneticPr fontId="2" type="noConversion"/>
  </si>
  <si>
    <t>HRCS-00C11A/12A</t>
    <phoneticPr fontId="2" type="noConversion"/>
  </si>
  <si>
    <t>7301</t>
    <phoneticPr fontId="2" type="noConversion"/>
  </si>
  <si>
    <t>SLIDER</t>
    <phoneticPr fontId="2" type="noConversion"/>
  </si>
  <si>
    <t>KR6197CA432YA</t>
    <phoneticPr fontId="2" type="noConversion"/>
  </si>
  <si>
    <t>SGF2050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</si>
  <si>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</si>
  <si>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</si>
  <si>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</si>
  <si>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SGF2030 N/P</t>
    <phoneticPr fontId="2" type="noConversion"/>
  </si>
  <si>
    <t>KR6197AB841CB</t>
    <phoneticPr fontId="2" type="noConversion"/>
  </si>
  <si>
    <t>SGF2033</t>
    <phoneticPr fontId="2" type="noConversion"/>
  </si>
  <si>
    <t>테라</t>
    <phoneticPr fontId="2" type="noConversion"/>
  </si>
  <si>
    <t>LEVER</t>
    <phoneticPr fontId="2" type="noConversion"/>
  </si>
  <si>
    <t>LV006</t>
    <phoneticPr fontId="2" type="noConversion"/>
  </si>
  <si>
    <t>BRACK</t>
    <phoneticPr fontId="2" type="noConversion"/>
  </si>
  <si>
    <t>CB001</t>
    <phoneticPr fontId="2" type="noConversion"/>
  </si>
  <si>
    <t>전일 ISSUE 사항(06일)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</si>
  <si>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</si>
  <si>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</si>
  <si>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</si>
  <si>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HICON</t>
    <phoneticPr fontId="2" type="noConversion"/>
  </si>
  <si>
    <t>2</t>
    <phoneticPr fontId="2" type="noConversion"/>
  </si>
  <si>
    <t>TOP/BOTTOM</t>
    <phoneticPr fontId="2" type="noConversion"/>
  </si>
  <si>
    <t>4</t>
    <phoneticPr fontId="2" type="noConversion"/>
  </si>
  <si>
    <t>SLIDER</t>
    <phoneticPr fontId="2" type="noConversion"/>
  </si>
  <si>
    <t>KR6197CA432YA</t>
    <phoneticPr fontId="2" type="noConversion"/>
  </si>
  <si>
    <t>발주분양산-&gt;미성형정지</t>
    <phoneticPr fontId="2" type="noConversion"/>
  </si>
  <si>
    <t>AYE</t>
    <phoneticPr fontId="2" type="noConversion"/>
  </si>
  <si>
    <t>5</t>
    <phoneticPr fontId="2" type="noConversion"/>
  </si>
  <si>
    <t>BURR수리후양산</t>
    <phoneticPr fontId="2" type="noConversion"/>
  </si>
  <si>
    <t>6</t>
    <phoneticPr fontId="2" type="noConversion"/>
  </si>
  <si>
    <t>HAS65-M002B1-13A</t>
    <phoneticPr fontId="2" type="noConversion"/>
  </si>
  <si>
    <t>KR6197AB841CB</t>
    <phoneticPr fontId="2" type="noConversion"/>
  </si>
  <si>
    <t>8</t>
    <phoneticPr fontId="2" type="noConversion"/>
  </si>
  <si>
    <t>BASE</t>
    <phoneticPr fontId="2" type="noConversion"/>
  </si>
  <si>
    <t>LV006</t>
    <phoneticPr fontId="2" type="noConversion"/>
  </si>
  <si>
    <t>테라</t>
    <phoneticPr fontId="2" type="noConversion"/>
  </si>
  <si>
    <t>10</t>
    <phoneticPr fontId="2" type="noConversion"/>
  </si>
  <si>
    <t>LEVER</t>
    <phoneticPr fontId="2" type="noConversion"/>
  </si>
  <si>
    <t>11</t>
    <phoneticPr fontId="2" type="noConversion"/>
  </si>
  <si>
    <t>BRACKET</t>
    <phoneticPr fontId="2" type="noConversion"/>
  </si>
  <si>
    <t>CB001</t>
    <phoneticPr fontId="2" type="noConversion"/>
  </si>
  <si>
    <t>AYE</t>
    <phoneticPr fontId="2" type="noConversion"/>
  </si>
  <si>
    <t>14</t>
    <phoneticPr fontId="2" type="noConversion"/>
  </si>
  <si>
    <t>NP504-432-073#SP-A,B,C</t>
    <phoneticPr fontId="2" type="noConversion"/>
  </si>
  <si>
    <t>BURR3회수리</t>
    <phoneticPr fontId="2" type="noConversion"/>
  </si>
  <si>
    <t>당일 진행 사항(07일)</t>
    <phoneticPr fontId="2" type="noConversion"/>
  </si>
  <si>
    <t>HRCS-00C14</t>
    <phoneticPr fontId="2" type="noConversion"/>
  </si>
  <si>
    <t>2</t>
    <phoneticPr fontId="2" type="noConversion"/>
  </si>
  <si>
    <t>발주분양산</t>
    <phoneticPr fontId="2" type="noConversion"/>
  </si>
  <si>
    <t>KR6197CA432YA</t>
    <phoneticPr fontId="2" type="noConversion"/>
  </si>
  <si>
    <t>SST</t>
    <phoneticPr fontId="2" type="noConversion"/>
  </si>
  <si>
    <t>세척후양산</t>
    <phoneticPr fontId="2" type="noConversion"/>
  </si>
  <si>
    <t>AAM0818C-KAB-R3</t>
    <phoneticPr fontId="2" type="noConversion"/>
  </si>
  <si>
    <t>MCS</t>
    <phoneticPr fontId="2" type="noConversion"/>
  </si>
  <si>
    <t>9</t>
    <phoneticPr fontId="2" type="noConversion"/>
  </si>
  <si>
    <t>발주분양산</t>
    <phoneticPr fontId="2" type="noConversion"/>
  </si>
  <si>
    <t>LID-0089</t>
    <phoneticPr fontId="2" type="noConversion"/>
  </si>
  <si>
    <t>INPHI</t>
    <phoneticPr fontId="2" type="noConversion"/>
  </si>
  <si>
    <t>HSA65-M004B1(CD)</t>
    <phoneticPr fontId="2" type="noConversion"/>
  </si>
  <si>
    <t>STOPPER</t>
    <phoneticPr fontId="2" type="noConversion"/>
  </si>
  <si>
    <t>AMB1901D-JAA-R2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</si>
  <si>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</si>
  <si>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</si>
  <si>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</si>
  <si>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SAMPLE 진행 사항(06일)</t>
    <phoneticPr fontId="2" type="noConversion"/>
  </si>
  <si>
    <t>NP628-1056-001#IN-A</t>
    <phoneticPr fontId="2" type="noConversion"/>
  </si>
  <si>
    <t>SGF2033</t>
    <phoneticPr fontId="2" type="noConversion"/>
  </si>
  <si>
    <t>신작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</si>
  <si>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</si>
  <si>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</si>
  <si>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03월 07일 일일생산현황</t>
    </r>
    <r>
      <rPr>
        <b/>
        <sz val="14"/>
        <color indexed="8"/>
        <rFont val="굴림체"/>
        <family val="3"/>
        <charset val="129"/>
      </rPr>
      <t>(08일(목) 09시 현재)</t>
    </r>
    <phoneticPr fontId="2" type="noConversion"/>
  </si>
  <si>
    <t>HRCS-00C14</t>
    <phoneticPr fontId="2" type="noConversion"/>
  </si>
  <si>
    <t>AAM0818C-KAB-R3</t>
    <phoneticPr fontId="2" type="noConversion"/>
  </si>
  <si>
    <t>PA9T</t>
    <phoneticPr fontId="2" type="noConversion"/>
  </si>
  <si>
    <t>INPHI</t>
    <phoneticPr fontId="2" type="noConversion"/>
  </si>
  <si>
    <t>S475 N/P</t>
    <phoneticPr fontId="2" type="noConversion"/>
  </si>
  <si>
    <t>STOPPER</t>
    <phoneticPr fontId="2" type="noConversion"/>
  </si>
  <si>
    <t>HSA65-M004B1</t>
    <phoneticPr fontId="2" type="noConversion"/>
  </si>
  <si>
    <t>SGF2033</t>
    <phoneticPr fontId="2" type="noConversion"/>
  </si>
  <si>
    <t>AMB1901D-JAA-R2</t>
    <phoneticPr fontId="2" type="noConversion"/>
  </si>
  <si>
    <t>SGF2030</t>
    <phoneticPr fontId="2" type="noConversion"/>
  </si>
  <si>
    <t>HICON</t>
    <phoneticPr fontId="2" type="noConversion"/>
  </si>
  <si>
    <t>BASE</t>
    <phoneticPr fontId="2" type="noConversion"/>
  </si>
  <si>
    <t>수리후양산</t>
    <phoneticPr fontId="2" type="noConversion"/>
  </si>
  <si>
    <t>INPHI</t>
    <phoneticPr fontId="2" type="noConversion"/>
  </si>
  <si>
    <t>11</t>
    <phoneticPr fontId="2" type="noConversion"/>
  </si>
  <si>
    <t>STOPPER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</si>
  <si>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</si>
  <si>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</si>
  <si>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</si>
  <si>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</si>
  <si>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전일 ISSUE 사항(07일)</t>
    <phoneticPr fontId="2" type="noConversion"/>
  </si>
  <si>
    <t>당일 진행 사항(08일)</t>
    <phoneticPr fontId="2" type="noConversion"/>
  </si>
  <si>
    <t>ARM</t>
    <phoneticPr fontId="2" type="noConversion"/>
  </si>
  <si>
    <t>BF1-FA077A</t>
    <phoneticPr fontId="2" type="noConversion"/>
  </si>
  <si>
    <t>LEAD GUIDE</t>
    <phoneticPr fontId="2" type="noConversion"/>
  </si>
  <si>
    <t>HSA65-M005B1(CD)</t>
    <phoneticPr fontId="2" type="noConversion"/>
  </si>
  <si>
    <t>HSA65-M001B1(CD)</t>
    <phoneticPr fontId="2" type="noConversion"/>
  </si>
  <si>
    <t>SAMPLE 진행 사항(07일)</t>
    <phoneticPr fontId="2" type="noConversion"/>
  </si>
  <si>
    <t>HICON</t>
    <phoneticPr fontId="2" type="noConversion"/>
  </si>
  <si>
    <t>FLOATING</t>
    <phoneticPr fontId="2" type="noConversion"/>
  </si>
  <si>
    <t>HRCS-00C13</t>
    <phoneticPr fontId="2" type="noConversion"/>
  </si>
  <si>
    <t>수정</t>
    <phoneticPr fontId="2" type="noConversion"/>
  </si>
  <si>
    <t>치수NG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</si>
  <si>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</si>
  <si>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</si>
  <si>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2018년 03월 08일 일일생산현황</t>
    </r>
    <r>
      <rPr>
        <b/>
        <sz val="14"/>
        <color indexed="8"/>
        <rFont val="굴림체"/>
        <family val="3"/>
        <charset val="129"/>
      </rPr>
      <t>(09일(금) 09시 현재)</t>
    </r>
    <phoneticPr fontId="2" type="noConversion"/>
  </si>
  <si>
    <t>OKINS</t>
    <phoneticPr fontId="2" type="noConversion"/>
  </si>
  <si>
    <t>ARM</t>
    <phoneticPr fontId="2" type="noConversion"/>
  </si>
  <si>
    <t>BF1-FA077A</t>
    <phoneticPr fontId="2" type="noConversion"/>
  </si>
  <si>
    <t>EX08302</t>
    <phoneticPr fontId="2" type="noConversion"/>
  </si>
  <si>
    <t>HICON</t>
    <phoneticPr fontId="2" type="noConversion"/>
  </si>
  <si>
    <t>LEAD GUIDE</t>
    <phoneticPr fontId="2" type="noConversion"/>
  </si>
  <si>
    <t>HSA65-M005B1(CD)</t>
    <phoneticPr fontId="2" type="noConversion"/>
  </si>
  <si>
    <t>SGF2033</t>
    <phoneticPr fontId="2" type="noConversion"/>
  </si>
  <si>
    <t>HSA65-M001B1(CD)</t>
    <phoneticPr fontId="2" type="noConversion"/>
  </si>
  <si>
    <t>HSA65-M004B1(CD)</t>
    <phoneticPr fontId="2" type="noConversion"/>
  </si>
  <si>
    <t>전일 ISSUE 사항(08일)</t>
    <phoneticPr fontId="2" type="noConversion"/>
  </si>
  <si>
    <t>3</t>
    <phoneticPr fontId="2" type="noConversion"/>
  </si>
  <si>
    <t>HSA65-M001B1</t>
    <phoneticPr fontId="2" type="noConversion"/>
  </si>
  <si>
    <t>HSA65-M005B1</t>
    <phoneticPr fontId="2" type="noConversion"/>
  </si>
  <si>
    <t>8</t>
    <phoneticPr fontId="2" type="noConversion"/>
  </si>
  <si>
    <t>BASE</t>
    <phoneticPr fontId="2" type="noConversion"/>
  </si>
  <si>
    <t>OKINS</t>
    <phoneticPr fontId="2" type="noConversion"/>
  </si>
  <si>
    <t>가스수리,BURR정지</t>
    <phoneticPr fontId="2" type="noConversion"/>
  </si>
  <si>
    <t>당일 진행 사항(09일)</t>
    <phoneticPr fontId="2" type="noConversion"/>
  </si>
  <si>
    <t>BURR정지</t>
    <phoneticPr fontId="2" type="noConversion"/>
  </si>
  <si>
    <t>NP504-432-073#SP-A,B,C</t>
    <phoneticPr fontId="2" type="noConversion"/>
  </si>
  <si>
    <t>AYE</t>
    <phoneticPr fontId="2" type="noConversion"/>
  </si>
  <si>
    <t>14</t>
    <phoneticPr fontId="2" type="noConversion"/>
  </si>
  <si>
    <t>HSA65-M002B1-13A</t>
    <phoneticPr fontId="2" type="noConversion"/>
  </si>
  <si>
    <t>6</t>
    <phoneticPr fontId="2" type="noConversion"/>
  </si>
  <si>
    <t>SLIDER</t>
    <phoneticPr fontId="2" type="noConversion"/>
  </si>
  <si>
    <t>미성형정지</t>
    <phoneticPr fontId="2" type="noConversion"/>
  </si>
  <si>
    <t>수리후양산</t>
    <phoneticPr fontId="2" type="noConversion"/>
  </si>
  <si>
    <t>HICON</t>
    <phoneticPr fontId="2" type="noConversion"/>
  </si>
  <si>
    <t>HRCS-00C13</t>
    <phoneticPr fontId="2" type="noConversion"/>
  </si>
  <si>
    <t>12</t>
    <phoneticPr fontId="2" type="noConversion"/>
  </si>
  <si>
    <t>FLOATING</t>
    <phoneticPr fontId="2" type="noConversion"/>
  </si>
  <si>
    <t>수정후양산</t>
    <phoneticPr fontId="2" type="noConversion"/>
  </si>
  <si>
    <t>SHORT BASE/UNDER(2P)</t>
    <phoneticPr fontId="2" type="noConversion"/>
  </si>
  <si>
    <t>MECA</t>
    <phoneticPr fontId="2" type="noConversion"/>
  </si>
  <si>
    <t>발주분양산</t>
    <phoneticPr fontId="2" type="noConversion"/>
  </si>
  <si>
    <t>I/F BASE/UNDER(34P)</t>
    <phoneticPr fontId="2" type="noConversion"/>
  </si>
  <si>
    <t>10</t>
    <phoneticPr fontId="2" type="noConversion"/>
  </si>
  <si>
    <t>SAMPLE 진행 사항(08일)</t>
    <phoneticPr fontId="2" type="noConversion"/>
  </si>
  <si>
    <t>SST</t>
    <phoneticPr fontId="2" type="noConversion"/>
  </si>
  <si>
    <t>ADAPTER</t>
    <phoneticPr fontId="2" type="noConversion"/>
  </si>
  <si>
    <t>KR6422-GA556QA</t>
    <phoneticPr fontId="2" type="noConversion"/>
  </si>
  <si>
    <t>SF2255 I/V</t>
    <phoneticPr fontId="2" type="noConversion"/>
  </si>
  <si>
    <t>SST</t>
    <phoneticPr fontId="2" type="noConversion"/>
  </si>
  <si>
    <t>BASE</t>
    <phoneticPr fontId="2" type="noConversion"/>
  </si>
  <si>
    <t>KR6197BB468XX</t>
    <phoneticPr fontId="2" type="noConversion"/>
  </si>
  <si>
    <t>SGF2033</t>
    <phoneticPr fontId="2" type="noConversion"/>
  </si>
  <si>
    <t>수정</t>
    <phoneticPr fontId="2" type="noConversion"/>
  </si>
  <si>
    <t>뜯김,코아파손 3회진행</t>
    <phoneticPr fontId="2" type="noConversion"/>
  </si>
  <si>
    <t>ADAPTER</t>
    <phoneticPr fontId="2" type="noConversion"/>
  </si>
  <si>
    <t>KR6156-GBD115AA</t>
    <phoneticPr fontId="2" type="noConversion"/>
  </si>
  <si>
    <t>옵션</t>
    <phoneticPr fontId="2" type="noConversion"/>
  </si>
  <si>
    <t>형상이상</t>
    <phoneticPr fontId="2" type="noConversion"/>
  </si>
  <si>
    <t>HSA08-M07A1</t>
    <phoneticPr fontId="2" type="noConversion"/>
  </si>
  <si>
    <t>수정</t>
    <phoneticPr fontId="2" type="noConversion"/>
  </si>
  <si>
    <r>
      <t>2018년 03월 09일 일일생산현황</t>
    </r>
    <r>
      <rPr>
        <b/>
        <sz val="14"/>
        <color indexed="8"/>
        <rFont val="굴림체"/>
        <family val="3"/>
        <charset val="129"/>
      </rPr>
      <t>(10일(토) 09시 현재)</t>
    </r>
    <phoneticPr fontId="2" type="noConversion"/>
  </si>
  <si>
    <t>메카텍</t>
    <phoneticPr fontId="2" type="noConversion"/>
  </si>
  <si>
    <t>BASE HINGE</t>
    <phoneticPr fontId="2" type="noConversion"/>
  </si>
  <si>
    <t>7301</t>
    <phoneticPr fontId="2" type="noConversion"/>
  </si>
  <si>
    <t>BODY</t>
    <phoneticPr fontId="2" type="noConversion"/>
  </si>
  <si>
    <t>AMB0114E-JAA-R3</t>
    <phoneticPr fontId="2" type="noConversion"/>
  </si>
  <si>
    <t>SF2255</t>
    <phoneticPr fontId="2" type="noConversion"/>
  </si>
  <si>
    <t>2P</t>
    <phoneticPr fontId="2" type="noConversion"/>
  </si>
  <si>
    <t>BASE/UNDER</t>
    <phoneticPr fontId="2" type="noConversion"/>
  </si>
  <si>
    <t>2*1</t>
    <phoneticPr fontId="2" type="noConversion"/>
  </si>
  <si>
    <t>34P</t>
    <phoneticPr fontId="2" type="noConversion"/>
  </si>
  <si>
    <t>HICON</t>
    <phoneticPr fontId="2" type="noConversion"/>
  </si>
  <si>
    <t>FLOATING</t>
    <phoneticPr fontId="2" type="noConversion"/>
  </si>
  <si>
    <t>HRCS-00C13</t>
    <phoneticPr fontId="2" type="noConversion"/>
  </si>
  <si>
    <t>전일 ISSUE 사항(09일)</t>
    <phoneticPr fontId="2" type="noConversion"/>
  </si>
  <si>
    <t>메카텍</t>
    <phoneticPr fontId="2" type="noConversion"/>
  </si>
  <si>
    <t>4</t>
    <phoneticPr fontId="2" type="noConversion"/>
  </si>
  <si>
    <t>10</t>
    <phoneticPr fontId="2" type="noConversion"/>
  </si>
  <si>
    <t>BASE/UNDER</t>
    <phoneticPr fontId="2" type="noConversion"/>
  </si>
  <si>
    <t>34P</t>
    <phoneticPr fontId="2" type="noConversion"/>
  </si>
  <si>
    <t>수리후양산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</si>
  <si>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</si>
  <si>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</si>
  <si>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</si>
  <si>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AMB0114E-JAA-R3</t>
    <phoneticPr fontId="2" type="noConversion"/>
  </si>
  <si>
    <t>BURR수리-&gt;가스정지</t>
    <phoneticPr fontId="2" type="noConversion"/>
  </si>
  <si>
    <t>세척후양산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</si>
  <si>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</si>
  <si>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</si>
  <si>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</si>
  <si>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당일 진행 사항(10일)</t>
    <phoneticPr fontId="2" type="noConversion"/>
  </si>
  <si>
    <t>44P</t>
    <phoneticPr fontId="2" type="noConversion"/>
  </si>
  <si>
    <t>MCS</t>
    <phoneticPr fontId="2" type="noConversion"/>
  </si>
  <si>
    <t>5</t>
    <phoneticPr fontId="2" type="noConversion"/>
  </si>
  <si>
    <t>M2 BASE</t>
    <phoneticPr fontId="2" type="noConversion"/>
  </si>
  <si>
    <t>AMS08155A-KAA-R1</t>
    <phoneticPr fontId="2" type="noConversion"/>
  </si>
  <si>
    <t>KR6182-C624TA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</si>
  <si>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</si>
  <si>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</si>
  <si>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</si>
  <si>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AMB0114E-JAA-R3</t>
    <phoneticPr fontId="2" type="noConversion"/>
  </si>
  <si>
    <t>HSF05-M04B1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</si>
  <si>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</si>
  <si>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</si>
  <si>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</si>
  <si>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SAMPLE 진행 사항(09일)</t>
    <phoneticPr fontId="2" type="noConversion"/>
  </si>
  <si>
    <t>FLOATING</t>
    <phoneticPr fontId="2" type="noConversion"/>
  </si>
  <si>
    <t>HRCS-00C13</t>
    <phoneticPr fontId="2" type="noConversion"/>
  </si>
  <si>
    <t>AD&amp;T</t>
    <phoneticPr fontId="2" type="noConversion"/>
  </si>
  <si>
    <t>PUSHER</t>
    <phoneticPr fontId="2" type="noConversion"/>
  </si>
  <si>
    <t>옵션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</si>
  <si>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</si>
  <si>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</si>
  <si>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</si>
  <si>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</si>
  <si>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2018년 03월 10일 일일생산현황</t>
    </r>
    <r>
      <rPr>
        <b/>
        <sz val="14"/>
        <color indexed="8"/>
        <rFont val="굴림체"/>
        <family val="3"/>
        <charset val="129"/>
      </rPr>
      <t>(11일(일) 09시 현재)</t>
    </r>
    <phoneticPr fontId="2" type="noConversion"/>
  </si>
  <si>
    <t>KR6182-C624TA</t>
    <phoneticPr fontId="2" type="noConversion"/>
  </si>
  <si>
    <t>M2 CONN</t>
    <phoneticPr fontId="2" type="noConversion"/>
  </si>
  <si>
    <t>AMS08155A-KAA-R1</t>
    <phoneticPr fontId="2" type="noConversion"/>
  </si>
  <si>
    <t>SF2255</t>
    <phoneticPr fontId="2" type="noConversion"/>
  </si>
  <si>
    <t>44P</t>
    <phoneticPr fontId="2" type="noConversion"/>
  </si>
  <si>
    <t>STOPPER</t>
    <phoneticPr fontId="2" type="noConversion"/>
  </si>
  <si>
    <t>HSF05-M04B1</t>
    <phoneticPr fontId="2" type="noConversion"/>
  </si>
  <si>
    <t>SGF2041</t>
    <phoneticPr fontId="2" type="noConversion"/>
  </si>
  <si>
    <t>전일 ISSUE 사항(10일)</t>
    <phoneticPr fontId="2" type="noConversion"/>
  </si>
  <si>
    <t>SST</t>
    <phoneticPr fontId="2" type="noConversion"/>
  </si>
  <si>
    <t>COVER</t>
    <phoneticPr fontId="2" type="noConversion"/>
  </si>
  <si>
    <t>44P</t>
    <phoneticPr fontId="2" type="noConversion"/>
  </si>
  <si>
    <t>발주분양산-&gt;에젝타수리</t>
    <phoneticPr fontId="2" type="noConversion"/>
  </si>
  <si>
    <t>MCS</t>
    <phoneticPr fontId="2" type="noConversion"/>
  </si>
  <si>
    <t>5</t>
    <phoneticPr fontId="2" type="noConversion"/>
  </si>
  <si>
    <t>M2 CONN</t>
    <phoneticPr fontId="2" type="noConversion"/>
  </si>
  <si>
    <t>발주분양산-&gt;코아파손수리</t>
    <phoneticPr fontId="2" type="noConversion"/>
  </si>
  <si>
    <t>수리후양산</t>
    <phoneticPr fontId="2" type="noConversion"/>
  </si>
  <si>
    <t>HICON</t>
    <phoneticPr fontId="2" type="noConversion"/>
  </si>
  <si>
    <t>STOPPER</t>
    <phoneticPr fontId="2" type="noConversion"/>
  </si>
  <si>
    <t>당일 진행 사항(12일)</t>
    <phoneticPr fontId="2" type="noConversion"/>
  </si>
  <si>
    <t>AD&amp;T</t>
    <phoneticPr fontId="2" type="noConversion"/>
  </si>
  <si>
    <t>3</t>
    <phoneticPr fontId="2" type="noConversion"/>
  </si>
  <si>
    <t>BASE/COVER</t>
    <phoneticPr fontId="2" type="noConversion"/>
  </si>
  <si>
    <t>AAM0818C-KAB-R3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</si>
  <si>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</si>
  <si>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</si>
  <si>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</si>
  <si>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NP504-432-073#SP-A,B,C</t>
    <phoneticPr fontId="2" type="noConversion"/>
  </si>
  <si>
    <t>AYE</t>
    <phoneticPr fontId="2" type="noConversion"/>
  </si>
  <si>
    <t>14</t>
    <phoneticPr fontId="2" type="noConversion"/>
  </si>
  <si>
    <t>SAMPLE 진행 사항(10일)</t>
    <phoneticPr fontId="2" type="noConversion"/>
  </si>
  <si>
    <t>SLIDER</t>
    <phoneticPr fontId="2" type="noConversion"/>
  </si>
  <si>
    <t>HDB08N-S2</t>
    <phoneticPr fontId="2" type="noConversion"/>
  </si>
  <si>
    <t>SGF2030 N/P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</si>
  <si>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</si>
  <si>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</si>
  <si>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03월 12일 일일생산현황</t>
    </r>
    <r>
      <rPr>
        <b/>
        <sz val="14"/>
        <color indexed="8"/>
        <rFont val="굴림체"/>
        <family val="3"/>
        <charset val="129"/>
      </rPr>
      <t>(13일(화) 09시 현재)</t>
    </r>
    <phoneticPr fontId="2" type="noConversion"/>
  </si>
  <si>
    <t>AD&amp;T</t>
    <phoneticPr fontId="2" type="noConversion"/>
  </si>
  <si>
    <t>MIDDLE,BOTTOM,PUSHER</t>
    <phoneticPr fontId="2" type="noConversion"/>
  </si>
  <si>
    <t>7301</t>
    <phoneticPr fontId="2" type="noConversion"/>
  </si>
  <si>
    <t>3*1</t>
    <phoneticPr fontId="2" type="noConversion"/>
  </si>
  <si>
    <t>HICON</t>
    <phoneticPr fontId="2" type="noConversion"/>
  </si>
  <si>
    <t>ADAPTER</t>
    <phoneticPr fontId="2" type="noConversion"/>
  </si>
  <si>
    <t>HSA08-M07A1</t>
    <phoneticPr fontId="2" type="noConversion"/>
  </si>
  <si>
    <t>전일 ISSUE 사항(12일)</t>
    <phoneticPr fontId="2" type="noConversion"/>
  </si>
  <si>
    <t>AD&amp;T</t>
    <phoneticPr fontId="2" type="noConversion"/>
  </si>
  <si>
    <t>3</t>
    <phoneticPr fontId="2" type="noConversion"/>
  </si>
  <si>
    <t>BOTTOM.PUSHER,MIDDLE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</si>
  <si>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</si>
  <si>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</si>
  <si>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</si>
  <si>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</si>
  <si>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</si>
  <si>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가스수리후양산</t>
    <phoneticPr fontId="2" type="noConversion"/>
  </si>
  <si>
    <t>10</t>
    <phoneticPr fontId="2" type="noConversion"/>
  </si>
  <si>
    <t>AYE</t>
    <phoneticPr fontId="2" type="noConversion"/>
  </si>
  <si>
    <t>14</t>
    <phoneticPr fontId="2" type="noConversion"/>
  </si>
  <si>
    <t>SPACER A,B,C</t>
    <phoneticPr fontId="2" type="noConversion"/>
  </si>
  <si>
    <t>NP504-432-073#SP-A,B,C</t>
    <phoneticPr fontId="2" type="noConversion"/>
  </si>
  <si>
    <t>수리후양산</t>
    <phoneticPr fontId="2" type="noConversion"/>
  </si>
  <si>
    <t>당일 진행 사항(13일)</t>
    <phoneticPr fontId="2" type="noConversion"/>
  </si>
  <si>
    <t>MCS</t>
    <phoneticPr fontId="2" type="noConversion"/>
  </si>
  <si>
    <t>7</t>
    <phoneticPr fontId="2" type="noConversion"/>
  </si>
  <si>
    <t>BODY</t>
    <phoneticPr fontId="2" type="noConversion"/>
  </si>
  <si>
    <t>AMB0114E-JAA-R3</t>
    <phoneticPr fontId="2" type="noConversion"/>
  </si>
  <si>
    <t>수리후양산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</si>
  <si>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</si>
  <si>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</si>
  <si>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</si>
  <si>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</si>
  <si>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</si>
  <si>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SAMPLE 진행 사항(12일)</t>
    <phoneticPr fontId="2" type="noConversion"/>
  </si>
  <si>
    <t>HICON</t>
    <phoneticPr fontId="2" type="noConversion"/>
  </si>
  <si>
    <t>BASE</t>
    <phoneticPr fontId="2" type="noConversion"/>
  </si>
  <si>
    <t>HDB08N-B1</t>
    <phoneticPr fontId="2" type="noConversion"/>
  </si>
  <si>
    <t>SGF2041</t>
    <phoneticPr fontId="2" type="noConversion"/>
  </si>
  <si>
    <t>수정</t>
    <phoneticPr fontId="2" type="noConversion"/>
  </si>
  <si>
    <t>SST</t>
    <phoneticPr fontId="2" type="noConversion"/>
  </si>
  <si>
    <t>KR6156-GDB115AA</t>
    <phoneticPr fontId="2" type="noConversion"/>
  </si>
  <si>
    <t>SST</t>
    <phoneticPr fontId="2" type="noConversion"/>
  </si>
  <si>
    <t>ADAPTER</t>
    <phoneticPr fontId="2" type="noConversion"/>
  </si>
  <si>
    <t>KR6422-GA556XX</t>
    <phoneticPr fontId="2" type="noConversion"/>
  </si>
  <si>
    <t>SF2255 I/V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</si>
  <si>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</si>
  <si>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</si>
  <si>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03월 13일 일일생산현황</t>
    </r>
    <r>
      <rPr>
        <b/>
        <sz val="14"/>
        <color indexed="8"/>
        <rFont val="굴림체"/>
        <family val="3"/>
        <charset val="129"/>
      </rPr>
      <t>(14일(수) 09시 현재)</t>
    </r>
    <phoneticPr fontId="2" type="noConversion"/>
  </si>
  <si>
    <t>BOTTOM</t>
    <phoneticPr fontId="2" type="noConversion"/>
  </si>
  <si>
    <t>HRCS-00C12A</t>
    <phoneticPr fontId="2" type="noConversion"/>
  </si>
  <si>
    <t>MCS</t>
    <phoneticPr fontId="2" type="noConversion"/>
  </si>
  <si>
    <t>F/ADAPTER</t>
    <phoneticPr fontId="2" type="noConversion"/>
  </si>
  <si>
    <t>AMB2048A-KAA-R4</t>
    <phoneticPr fontId="2" type="noConversion"/>
  </si>
  <si>
    <t>SF2255 I/V</t>
    <phoneticPr fontId="2" type="noConversion"/>
  </si>
  <si>
    <t>MCS</t>
    <phoneticPr fontId="2" type="noConversion"/>
  </si>
  <si>
    <t>12</t>
    <phoneticPr fontId="2" type="noConversion"/>
  </si>
  <si>
    <t>F/ADAPTER</t>
    <phoneticPr fontId="2" type="noConversion"/>
  </si>
  <si>
    <t>AMB2048A-KAA-R4</t>
    <phoneticPr fontId="2" type="noConversion"/>
  </si>
  <si>
    <t>ACTUATOR</t>
    <phoneticPr fontId="2" type="noConversion"/>
  </si>
  <si>
    <t>AMB1901D-JAA-R2</t>
    <phoneticPr fontId="2" type="noConversion"/>
  </si>
  <si>
    <t>세척후양산-&gt;HOOK파손정지</t>
    <phoneticPr fontId="2" type="noConversion"/>
  </si>
  <si>
    <t>BURR정지</t>
    <phoneticPr fontId="2" type="noConversion"/>
  </si>
  <si>
    <t>8</t>
    <phoneticPr fontId="2" type="noConversion"/>
  </si>
  <si>
    <t>BOTTOM</t>
    <phoneticPr fontId="2" type="noConversion"/>
  </si>
  <si>
    <t>HRCS-00C12A</t>
    <phoneticPr fontId="2" type="noConversion"/>
  </si>
  <si>
    <t>불량대치분양산</t>
    <phoneticPr fontId="2" type="noConversion"/>
  </si>
  <si>
    <t>SEPARATOR</t>
    <phoneticPr fontId="2" type="noConversion"/>
  </si>
  <si>
    <t>NP504-504-018#SP-1</t>
    <phoneticPr fontId="2" type="noConversion"/>
  </si>
  <si>
    <t>수리후양산-&gt;3회진행</t>
    <phoneticPr fontId="2" type="noConversion"/>
  </si>
  <si>
    <t>전일 ISSUE 사항(13일)</t>
    <phoneticPr fontId="2" type="noConversion"/>
  </si>
  <si>
    <t>당일 진행 사항(14일)</t>
    <phoneticPr fontId="2" type="noConversion"/>
  </si>
  <si>
    <t>AM0164A-A</t>
    <phoneticPr fontId="2" type="noConversion"/>
  </si>
  <si>
    <t>38P</t>
    <phoneticPr fontId="2" type="noConversion"/>
  </si>
  <si>
    <t>발주분양산</t>
    <phoneticPr fontId="2" type="noConversion"/>
  </si>
  <si>
    <t>AMB2063A-KAA-R1</t>
    <phoneticPr fontId="2" type="noConversion"/>
  </si>
  <si>
    <t>12</t>
    <phoneticPr fontId="2" type="noConversion"/>
  </si>
  <si>
    <t>SAMPLE 진행 사항(13일)</t>
    <phoneticPr fontId="2" type="noConversion"/>
  </si>
  <si>
    <t>HDB08N-T4</t>
    <phoneticPr fontId="2" type="noConversion"/>
  </si>
  <si>
    <t>BASE</t>
    <phoneticPr fontId="2" type="noConversion"/>
  </si>
  <si>
    <t>KR6422-B589XX</t>
    <phoneticPr fontId="2" type="noConversion"/>
  </si>
  <si>
    <t>SGF2033</t>
    <phoneticPr fontId="2" type="noConversion"/>
  </si>
  <si>
    <t>코아파손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</si>
  <si>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</si>
  <si>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</si>
  <si>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03월 14일 일일생산현황</t>
    </r>
    <r>
      <rPr>
        <b/>
        <sz val="14"/>
        <color indexed="8"/>
        <rFont val="굴림체"/>
        <family val="3"/>
        <charset val="129"/>
      </rPr>
      <t>(15일(목) 09시 현재)</t>
    </r>
    <phoneticPr fontId="2" type="noConversion"/>
  </si>
  <si>
    <t>MCS</t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</si>
  <si>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</si>
  <si>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</si>
  <si>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</si>
  <si>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전일 ISSUE 사항(14일)</t>
    <phoneticPr fontId="2" type="noConversion"/>
  </si>
  <si>
    <t>수리후양산-&gt;HOOK파손정지</t>
    <phoneticPr fontId="2" type="noConversion"/>
  </si>
  <si>
    <t>수리후양산-&gt;하측2회박힘정지</t>
    <phoneticPr fontId="2" type="noConversion"/>
  </si>
  <si>
    <t>38P</t>
    <phoneticPr fontId="2" type="noConversion"/>
  </si>
  <si>
    <t>AM0164A-A</t>
    <phoneticPr fontId="2" type="noConversion"/>
  </si>
  <si>
    <t>발주분양산</t>
    <phoneticPr fontId="2" type="noConversion"/>
  </si>
  <si>
    <t>당일 진행 사항(15일)</t>
    <phoneticPr fontId="2" type="noConversion"/>
  </si>
  <si>
    <t>HICON</t>
    <phoneticPr fontId="2" type="noConversion"/>
  </si>
  <si>
    <t>BODY/LID</t>
    <phoneticPr fontId="2" type="noConversion"/>
  </si>
  <si>
    <t>HL072-10M3/4</t>
    <phoneticPr fontId="2" type="noConversion"/>
  </si>
  <si>
    <t>SAMPLE 진행 사항(14일)</t>
    <phoneticPr fontId="2" type="noConversion"/>
  </si>
  <si>
    <t>S475</t>
    <phoneticPr fontId="2" type="noConversion"/>
  </si>
  <si>
    <t>NP599-290-002#SP-1/2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</si>
  <si>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</si>
  <si>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</si>
  <si>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t>치수NG 작업안됨=&gt;설비변경후진행</t>
    <phoneticPr fontId="2" type="noConversion"/>
  </si>
  <si>
    <r>
      <t>2018년 03월 15일 일일생산현황</t>
    </r>
    <r>
      <rPr>
        <b/>
        <sz val="14"/>
        <color indexed="8"/>
        <rFont val="굴림체"/>
        <family val="3"/>
        <charset val="129"/>
      </rPr>
      <t>(16일(금) 09시 현재)</t>
    </r>
    <phoneticPr fontId="2" type="noConversion"/>
  </si>
  <si>
    <t>SST</t>
    <phoneticPr fontId="2" type="noConversion"/>
  </si>
  <si>
    <t>COVER</t>
    <phoneticPr fontId="2" type="noConversion"/>
  </si>
  <si>
    <t>K-JR01920-C01AWA</t>
    <phoneticPr fontId="2" type="noConversion"/>
  </si>
  <si>
    <t>SGF2030</t>
    <phoneticPr fontId="2" type="noConversion"/>
  </si>
  <si>
    <t>F/ADAPTER</t>
    <phoneticPr fontId="2" type="noConversion"/>
  </si>
  <si>
    <t>AMB2063A-KAA-R1</t>
    <phoneticPr fontId="2" type="noConversion"/>
  </si>
  <si>
    <t>SF2255 I/V</t>
    <phoneticPr fontId="2" type="noConversion"/>
  </si>
  <si>
    <t>HICON</t>
    <phoneticPr fontId="2" type="noConversion"/>
  </si>
  <si>
    <t>BODY,LID</t>
    <phoneticPr fontId="2" type="noConversion"/>
  </si>
  <si>
    <t>HL072-10M3/4</t>
    <phoneticPr fontId="2" type="noConversion"/>
  </si>
  <si>
    <t>SGF2041</t>
    <phoneticPr fontId="2" type="noConversion"/>
  </si>
  <si>
    <t>전일 ISSUE 사항(15일)</t>
    <phoneticPr fontId="2" type="noConversion"/>
  </si>
  <si>
    <t>수리후양산</t>
    <phoneticPr fontId="2" type="noConversion"/>
  </si>
  <si>
    <t>수리후양산-&gt;단차수리후양산</t>
    <phoneticPr fontId="2" type="noConversion"/>
  </si>
  <si>
    <t>HICON</t>
    <phoneticPr fontId="2" type="noConversion"/>
  </si>
  <si>
    <t>BODY,LID</t>
    <phoneticPr fontId="2" type="noConversion"/>
  </si>
  <si>
    <t>SST</t>
    <phoneticPr fontId="2" type="noConversion"/>
  </si>
  <si>
    <t>COVER</t>
    <phoneticPr fontId="2" type="noConversion"/>
  </si>
  <si>
    <t>F/ADAPTER</t>
    <phoneticPr fontId="2" type="noConversion"/>
  </si>
  <si>
    <t>당일 진행 사항(16일)</t>
    <phoneticPr fontId="2" type="noConversion"/>
  </si>
  <si>
    <t>8</t>
    <phoneticPr fontId="2" type="noConversion"/>
  </si>
  <si>
    <t>FLOAT</t>
    <phoneticPr fontId="2" type="noConversion"/>
  </si>
  <si>
    <t>K-JR01920-A414AWA</t>
    <phoneticPr fontId="2" type="noConversion"/>
  </si>
  <si>
    <t>발주분양산</t>
    <phoneticPr fontId="2" type="noConversion"/>
  </si>
  <si>
    <t>4</t>
    <phoneticPr fontId="2" type="noConversion"/>
  </si>
  <si>
    <t>STOPPER</t>
    <phoneticPr fontId="2" type="noConversion"/>
  </si>
  <si>
    <t>K-JR01920-H432AZA</t>
    <phoneticPr fontId="2" type="noConversion"/>
  </si>
  <si>
    <t>세척후양산</t>
    <phoneticPr fontId="2" type="noConversion"/>
  </si>
  <si>
    <t>AYE</t>
    <phoneticPr fontId="2" type="noConversion"/>
  </si>
  <si>
    <t>14</t>
    <phoneticPr fontId="2" type="noConversion"/>
  </si>
  <si>
    <t>SAMPLE 진행 사항(15일)</t>
    <phoneticPr fontId="2" type="noConversion"/>
  </si>
  <si>
    <t>BASE</t>
    <phoneticPr fontId="2" type="noConversion"/>
  </si>
  <si>
    <t>AM0810A-J</t>
    <phoneticPr fontId="2" type="noConversion"/>
  </si>
  <si>
    <t>요청</t>
    <phoneticPr fontId="2" type="noConversion"/>
  </si>
  <si>
    <t>KR6422-B589CA</t>
    <phoneticPr fontId="2" type="noConversion"/>
  </si>
  <si>
    <t>SGF2033</t>
    <phoneticPr fontId="2" type="noConversion"/>
  </si>
  <si>
    <t>수정</t>
    <phoneticPr fontId="2" type="noConversion"/>
  </si>
  <si>
    <t>뜯김,코아파손정지</t>
    <phoneticPr fontId="2" type="noConversion"/>
  </si>
  <si>
    <t>HICON</t>
    <phoneticPr fontId="2" type="noConversion"/>
  </si>
  <si>
    <t>TOP</t>
    <phoneticPr fontId="2" type="noConversion"/>
  </si>
  <si>
    <t>HRGS-DS-01A</t>
    <phoneticPr fontId="2" type="noConversion"/>
  </si>
  <si>
    <t>SGF2030 N/P</t>
    <phoneticPr fontId="2" type="noConversion"/>
  </si>
  <si>
    <t>신작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</si>
  <si>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</si>
  <si>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</si>
  <si>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2018년 03월 16일 일일생산현황</t>
    </r>
    <r>
      <rPr>
        <b/>
        <sz val="14"/>
        <color indexed="8"/>
        <rFont val="굴림체"/>
        <family val="3"/>
        <charset val="129"/>
      </rPr>
      <t>(17일(토) 09시 현재)</t>
    </r>
    <phoneticPr fontId="2" type="noConversion"/>
  </si>
  <si>
    <t>2*1</t>
    <phoneticPr fontId="2" type="noConversion"/>
  </si>
  <si>
    <t>NP504-432-073#SP-A,C</t>
    <phoneticPr fontId="2" type="noConversion"/>
  </si>
  <si>
    <t>SPACER A,C</t>
    <phoneticPr fontId="2" type="noConversion"/>
  </si>
  <si>
    <t>BURR수리-&gt;단차정지</t>
    <phoneticPr fontId="2" type="noConversion"/>
  </si>
  <si>
    <t>전일 ISSUE 사항(16일)</t>
    <phoneticPr fontId="2" type="noConversion"/>
  </si>
  <si>
    <t>AYE</t>
    <phoneticPr fontId="2" type="noConversion"/>
  </si>
  <si>
    <t>14</t>
    <phoneticPr fontId="2" type="noConversion"/>
  </si>
  <si>
    <t>NP504-432-073#SP-A,C</t>
    <phoneticPr fontId="2" type="noConversion"/>
  </si>
  <si>
    <t>세척후양산(B막음)</t>
    <phoneticPr fontId="2" type="noConversion"/>
  </si>
  <si>
    <t>당일 진행 사항(17일)</t>
    <phoneticPr fontId="2" type="noConversion"/>
  </si>
  <si>
    <t>SST</t>
    <phoneticPr fontId="2" type="noConversion"/>
  </si>
  <si>
    <t>BASE</t>
    <phoneticPr fontId="2" type="noConversion"/>
  </si>
  <si>
    <t>KR6156BB841CA</t>
    <phoneticPr fontId="2" type="noConversion"/>
  </si>
  <si>
    <t>FLOAT</t>
    <phoneticPr fontId="2" type="noConversion"/>
  </si>
  <si>
    <t>K-JR01920-A414AWA</t>
    <phoneticPr fontId="2" type="noConversion"/>
  </si>
  <si>
    <t>MCS</t>
    <phoneticPr fontId="2" type="noConversion"/>
  </si>
  <si>
    <t>BODY</t>
    <phoneticPr fontId="2" type="noConversion"/>
  </si>
  <si>
    <t>AMB0114E-JAA-R3</t>
    <phoneticPr fontId="2" type="noConversion"/>
  </si>
  <si>
    <t>수리후양산</t>
    <phoneticPr fontId="2" type="noConversion"/>
  </si>
  <si>
    <t>SAMPLE 진행 사항(16일)</t>
    <phoneticPr fontId="2" type="noConversion"/>
  </si>
  <si>
    <t>코아파손,뜯김정지</t>
    <phoneticPr fontId="2" type="noConversion"/>
  </si>
  <si>
    <t>ADAPTER</t>
    <phoneticPr fontId="2" type="noConversion"/>
  </si>
  <si>
    <t>KR6152-GVA134QA</t>
    <phoneticPr fontId="2" type="noConversion"/>
  </si>
  <si>
    <t>SF2255 I/V</t>
    <phoneticPr fontId="2" type="noConversion"/>
  </si>
  <si>
    <t>PUSHER 1,2/BOTTOM</t>
    <phoneticPr fontId="2" type="noConversion"/>
  </si>
  <si>
    <t>HRGS-DS-05/06/02A</t>
    <phoneticPr fontId="2" type="noConversion"/>
  </si>
  <si>
    <t>SGF2041</t>
    <phoneticPr fontId="2" type="noConversion"/>
  </si>
  <si>
    <t>각 70EA</t>
    <phoneticPr fontId="2" type="noConversion"/>
  </si>
  <si>
    <t>BASE/LID</t>
    <phoneticPr fontId="2" type="noConversion"/>
  </si>
  <si>
    <t>HRGS-DS-03/04A</t>
    <phoneticPr fontId="2" type="noConversion"/>
  </si>
  <si>
    <t>형상이상2회진행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</si>
  <si>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</si>
  <si>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</si>
  <si>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2018년 03월 17일 일일생산현황</t>
    </r>
    <r>
      <rPr>
        <b/>
        <sz val="14"/>
        <color indexed="8"/>
        <rFont val="굴림체"/>
        <family val="3"/>
        <charset val="129"/>
      </rPr>
      <t>(18일(일) 09시 현재)</t>
    </r>
    <phoneticPr fontId="2" type="noConversion"/>
  </si>
  <si>
    <t>FLOAT</t>
    <phoneticPr fontId="2" type="noConversion"/>
  </si>
  <si>
    <t>K-JR01920-A414AWA</t>
    <phoneticPr fontId="2" type="noConversion"/>
  </si>
  <si>
    <t>SGF2030</t>
    <phoneticPr fontId="2" type="noConversion"/>
  </si>
  <si>
    <t>BASE</t>
    <phoneticPr fontId="2" type="noConversion"/>
  </si>
  <si>
    <t>KR6156BB841CA</t>
    <phoneticPr fontId="2" type="noConversion"/>
  </si>
  <si>
    <t>SGF2033</t>
    <phoneticPr fontId="2" type="noConversion"/>
  </si>
  <si>
    <t>수리후양산-&gt;하측뜯김정지</t>
    <phoneticPr fontId="2" type="noConversion"/>
  </si>
  <si>
    <t>전일 ISSUE 사항(17일)</t>
    <phoneticPr fontId="2" type="noConversion"/>
  </si>
  <si>
    <t>당일 진행 사항(19일)</t>
    <phoneticPr fontId="2" type="noConversion"/>
  </si>
  <si>
    <t>SST</t>
    <phoneticPr fontId="2" type="noConversion"/>
  </si>
  <si>
    <t>8</t>
    <phoneticPr fontId="2" type="noConversion"/>
  </si>
  <si>
    <t>KR6156BB841CA</t>
    <phoneticPr fontId="2" type="noConversion"/>
  </si>
  <si>
    <t>발주분양산</t>
    <phoneticPr fontId="2" type="noConversion"/>
  </si>
  <si>
    <t>4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</si>
  <si>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</si>
  <si>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</si>
  <si>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</si>
  <si>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HSF05-M04B1</t>
    <phoneticPr fontId="2" type="noConversion"/>
  </si>
  <si>
    <t>세척후양산</t>
    <phoneticPr fontId="2" type="noConversion"/>
  </si>
  <si>
    <t>에이디엔티</t>
    <phoneticPr fontId="2" type="noConversion"/>
  </si>
  <si>
    <t>2</t>
    <phoneticPr fontId="2" type="noConversion"/>
  </si>
  <si>
    <t>LATCH</t>
    <phoneticPr fontId="2" type="noConversion"/>
  </si>
  <si>
    <t>에이디엔티</t>
    <phoneticPr fontId="2" type="noConversion"/>
  </si>
  <si>
    <t>3</t>
    <phoneticPr fontId="2" type="noConversion"/>
  </si>
  <si>
    <t>BASE/COVER</t>
    <phoneticPr fontId="2" type="noConversion"/>
  </si>
  <si>
    <t>10</t>
    <phoneticPr fontId="2" type="noConversion"/>
  </si>
  <si>
    <t>AMS08155A-KAA-R1</t>
    <phoneticPr fontId="2" type="noConversion"/>
  </si>
  <si>
    <t>MCS</t>
    <phoneticPr fontId="2" type="noConversion"/>
  </si>
  <si>
    <t>13</t>
    <phoneticPr fontId="2" type="noConversion"/>
  </si>
  <si>
    <t>M2 CONN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</si>
  <si>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</si>
  <si>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</si>
  <si>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</si>
  <si>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2018년 03월 19일 일일생산현황</t>
    </r>
    <r>
      <rPr>
        <b/>
        <sz val="14"/>
        <color indexed="8"/>
        <rFont val="굴림체"/>
        <family val="3"/>
        <charset val="129"/>
      </rPr>
      <t>(20일(화) 09시 현재)</t>
    </r>
    <phoneticPr fontId="2" type="noConversion"/>
  </si>
  <si>
    <t>AD&amp;T</t>
    <phoneticPr fontId="2" type="noConversion"/>
  </si>
  <si>
    <t>LATCH</t>
    <phoneticPr fontId="2" type="noConversion"/>
  </si>
  <si>
    <t>AD-06</t>
    <phoneticPr fontId="2" type="noConversion"/>
  </si>
  <si>
    <t>7301</t>
    <phoneticPr fontId="2" type="noConversion"/>
  </si>
  <si>
    <t>BASE/COVER</t>
    <phoneticPr fontId="2" type="noConversion"/>
  </si>
  <si>
    <t>AD-01/02</t>
    <phoneticPr fontId="2" type="noConversion"/>
  </si>
  <si>
    <t>2*1</t>
    <phoneticPr fontId="2" type="noConversion"/>
  </si>
  <si>
    <t>FLOATING</t>
    <phoneticPr fontId="2" type="noConversion"/>
  </si>
  <si>
    <t>AD-07</t>
    <phoneticPr fontId="2" type="noConversion"/>
  </si>
  <si>
    <t>M2 CONN</t>
    <phoneticPr fontId="2" type="noConversion"/>
  </si>
  <si>
    <t>AMS08155A-KAA-R1</t>
    <phoneticPr fontId="2" type="noConversion"/>
  </si>
  <si>
    <t>SF2255</t>
    <phoneticPr fontId="2" type="noConversion"/>
  </si>
  <si>
    <t>전일 ISSUE 사항(19일)</t>
    <phoneticPr fontId="2" type="noConversion"/>
  </si>
  <si>
    <t>에이디엔티</t>
    <phoneticPr fontId="2" type="noConversion"/>
  </si>
  <si>
    <t>2</t>
    <phoneticPr fontId="2" type="noConversion"/>
  </si>
  <si>
    <t>LATCH</t>
    <phoneticPr fontId="2" type="noConversion"/>
  </si>
  <si>
    <t>3</t>
    <phoneticPr fontId="2" type="noConversion"/>
  </si>
  <si>
    <t>BASE/COVER</t>
    <phoneticPr fontId="2" type="noConversion"/>
  </si>
  <si>
    <t>NP504-504-018#SP-1</t>
    <phoneticPr fontId="2" type="noConversion"/>
  </si>
  <si>
    <t>AYE</t>
    <phoneticPr fontId="2" type="noConversion"/>
  </si>
  <si>
    <t>4</t>
    <phoneticPr fontId="2" type="noConversion"/>
  </si>
  <si>
    <t>세척후양산</t>
    <phoneticPr fontId="2" type="noConversion"/>
  </si>
  <si>
    <t>수리후양산</t>
    <phoneticPr fontId="2" type="noConversion"/>
  </si>
  <si>
    <t>10</t>
    <phoneticPr fontId="2" type="noConversion"/>
  </si>
  <si>
    <t>AMS08155A-KAA-R1</t>
    <phoneticPr fontId="2" type="noConversion"/>
  </si>
  <si>
    <t>발주분양산-&gt;미성형정지</t>
    <phoneticPr fontId="2" type="noConversion"/>
  </si>
  <si>
    <t>MCS</t>
    <phoneticPr fontId="2" type="noConversion"/>
  </si>
  <si>
    <t>13</t>
    <phoneticPr fontId="2" type="noConversion"/>
  </si>
  <si>
    <t>M2 CONN</t>
    <phoneticPr fontId="2" type="noConversion"/>
  </si>
  <si>
    <t>HSF05-M04B1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</si>
  <si>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</si>
  <si>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</si>
  <si>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</si>
  <si>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당일 진행 사항(20일)</t>
    <phoneticPr fontId="2" type="noConversion"/>
  </si>
  <si>
    <t>AMS08155A-KAA-R1</t>
    <phoneticPr fontId="2" type="noConversion"/>
  </si>
  <si>
    <t>수리후양산</t>
    <phoneticPr fontId="2" type="noConversion"/>
  </si>
  <si>
    <t>SAMPLE 진행 사항(19일)</t>
    <phoneticPr fontId="2" type="noConversion"/>
  </si>
  <si>
    <t>CLAMPER</t>
    <phoneticPr fontId="2" type="noConversion"/>
  </si>
  <si>
    <t>016-125-315</t>
    <phoneticPr fontId="2" type="noConversion"/>
  </si>
  <si>
    <t>SGF2030</t>
    <phoneticPr fontId="2" type="noConversion"/>
  </si>
  <si>
    <t>신작</t>
    <phoneticPr fontId="2" type="noConversion"/>
  </si>
  <si>
    <t>014-125-017</t>
    <phoneticPr fontId="2" type="noConversion"/>
  </si>
  <si>
    <t>LATCH</t>
    <phoneticPr fontId="2" type="noConversion"/>
  </si>
  <si>
    <t>SST</t>
    <phoneticPr fontId="2" type="noConversion"/>
  </si>
  <si>
    <t>LID</t>
    <phoneticPr fontId="2" type="noConversion"/>
  </si>
  <si>
    <t>013-125-019</t>
    <phoneticPr fontId="2" type="noConversion"/>
  </si>
  <si>
    <t>SST</t>
    <phoneticPr fontId="2" type="noConversion"/>
  </si>
  <si>
    <t>GUIDE</t>
    <phoneticPr fontId="2" type="noConversion"/>
  </si>
  <si>
    <t>016-125-221</t>
    <phoneticPr fontId="2" type="noConversion"/>
  </si>
  <si>
    <t>ADAPTER</t>
    <phoneticPr fontId="2" type="noConversion"/>
  </si>
  <si>
    <t>KR6156-GBD115AA</t>
    <phoneticPr fontId="2" type="noConversion"/>
  </si>
  <si>
    <t>수정</t>
    <phoneticPr fontId="2" type="noConversion"/>
  </si>
  <si>
    <t>치수NG</t>
    <phoneticPr fontId="2" type="noConversion"/>
  </si>
  <si>
    <t>NP599-290-002#SP-1,2</t>
    <phoneticPr fontId="2" type="noConversion"/>
  </si>
  <si>
    <t>S475</t>
    <phoneticPr fontId="2" type="noConversion"/>
  </si>
  <si>
    <t>BURR 2회진행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</si>
  <si>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</si>
  <si>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</si>
  <si>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2018년 03월 20일 일일생산현황</t>
    </r>
    <r>
      <rPr>
        <b/>
        <sz val="14"/>
        <color indexed="8"/>
        <rFont val="굴림체"/>
        <family val="3"/>
        <charset val="129"/>
      </rPr>
      <t>(21일(수) 09시 현재)</t>
    </r>
    <phoneticPr fontId="2" type="noConversion"/>
  </si>
  <si>
    <t>전일 ISSUE 사항(20일)</t>
    <phoneticPr fontId="2" type="noConversion"/>
  </si>
  <si>
    <t>가스수리후양산</t>
    <phoneticPr fontId="2" type="noConversion"/>
  </si>
  <si>
    <t>밀핀수리후양산</t>
    <phoneticPr fontId="2" type="noConversion"/>
  </si>
  <si>
    <t>당일 진행 사항(21일)</t>
    <phoneticPr fontId="2" type="noConversion"/>
  </si>
  <si>
    <t>테스트메카</t>
    <phoneticPr fontId="2" type="noConversion"/>
  </si>
  <si>
    <t>발주분양산</t>
    <phoneticPr fontId="2" type="noConversion"/>
  </si>
  <si>
    <t>테스트메카</t>
    <phoneticPr fontId="2" type="noConversion"/>
  </si>
  <si>
    <t>LOW/PUSH/BOTTOM</t>
    <phoneticPr fontId="2" type="noConversion"/>
  </si>
  <si>
    <t>UPP/COVER</t>
    <phoneticPr fontId="2" type="noConversion"/>
  </si>
  <si>
    <t>KR6197AC841TA</t>
    <phoneticPr fontId="2" type="noConversion"/>
  </si>
  <si>
    <t>SST</t>
    <phoneticPr fontId="2" type="noConversion"/>
  </si>
  <si>
    <t>COVER</t>
    <phoneticPr fontId="2" type="noConversion"/>
  </si>
  <si>
    <t>204F51M-B047E</t>
    <phoneticPr fontId="2" type="noConversion"/>
  </si>
  <si>
    <t>OKINS</t>
    <phoneticPr fontId="2" type="noConversion"/>
  </si>
  <si>
    <t>7</t>
    <phoneticPr fontId="2" type="noConversion"/>
  </si>
  <si>
    <t>BASE</t>
    <phoneticPr fontId="2" type="noConversion"/>
  </si>
  <si>
    <t>14</t>
    <phoneticPr fontId="2" type="noConversion"/>
  </si>
  <si>
    <t>ADAPTER</t>
    <phoneticPr fontId="2" type="noConversion"/>
  </si>
  <si>
    <t>204F51M-A047A-1</t>
    <phoneticPr fontId="2" type="noConversion"/>
  </si>
  <si>
    <t>K-JR01918-B484AWA</t>
    <phoneticPr fontId="2" type="noConversion"/>
  </si>
  <si>
    <t>13</t>
    <phoneticPr fontId="2" type="noConversion"/>
  </si>
  <si>
    <t>SAMPLE 진행 사항(20일)</t>
    <phoneticPr fontId="2" type="noConversion"/>
  </si>
  <si>
    <t>BLOCK</t>
    <phoneticPr fontId="2" type="noConversion"/>
  </si>
  <si>
    <t>016-125-314</t>
    <phoneticPr fontId="2" type="noConversion"/>
  </si>
  <si>
    <t>010-125-526</t>
    <phoneticPr fontId="2" type="noConversion"/>
  </si>
  <si>
    <t>SGP2020R</t>
    <phoneticPr fontId="2" type="noConversion"/>
  </si>
  <si>
    <t>각 100EA</t>
    <phoneticPr fontId="2" type="noConversion"/>
  </si>
  <si>
    <t>수정</t>
    <phoneticPr fontId="2" type="noConversion"/>
  </si>
  <si>
    <t>밀핀파손2회진행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</si>
  <si>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</si>
  <si>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</si>
  <si>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2018년 03월 21일 일일생산현황</t>
    </r>
    <r>
      <rPr>
        <b/>
        <sz val="14"/>
        <color indexed="8"/>
        <rFont val="굴림체"/>
        <family val="3"/>
        <charset val="129"/>
      </rPr>
      <t>(22일(목) 09시 현재)</t>
    </r>
    <phoneticPr fontId="2" type="noConversion"/>
  </si>
  <si>
    <t>KR6197AC841TA</t>
    <phoneticPr fontId="2" type="noConversion"/>
  </si>
  <si>
    <t>테스트메카</t>
    <phoneticPr fontId="2" type="noConversion"/>
  </si>
  <si>
    <t>UPP/COVER</t>
    <phoneticPr fontId="2" type="noConversion"/>
  </si>
  <si>
    <t>JD4901</t>
    <phoneticPr fontId="2" type="noConversion"/>
  </si>
  <si>
    <t>2*1</t>
    <phoneticPr fontId="2" type="noConversion"/>
  </si>
  <si>
    <t>테스트메카</t>
    <phoneticPr fontId="2" type="noConversion"/>
  </si>
  <si>
    <t>LOW/PUSHER/LATCH</t>
    <phoneticPr fontId="2" type="noConversion"/>
  </si>
  <si>
    <t>JD4901</t>
    <phoneticPr fontId="2" type="noConversion"/>
  </si>
  <si>
    <t>OKINS</t>
    <phoneticPr fontId="2" type="noConversion"/>
  </si>
  <si>
    <t>204F51M-B047E</t>
    <phoneticPr fontId="2" type="noConversion"/>
  </si>
  <si>
    <t>PA9T</t>
    <phoneticPr fontId="2" type="noConversion"/>
  </si>
  <si>
    <t>ADAPTER</t>
    <phoneticPr fontId="2" type="noConversion"/>
  </si>
  <si>
    <t>KR6156-GBD115AA</t>
    <phoneticPr fontId="2" type="noConversion"/>
  </si>
  <si>
    <t>BASE</t>
    <phoneticPr fontId="2" type="noConversion"/>
  </si>
  <si>
    <t>K-JR01918-B484AWA</t>
    <phoneticPr fontId="2" type="noConversion"/>
  </si>
  <si>
    <t>SGF2030</t>
    <phoneticPr fontId="2" type="noConversion"/>
  </si>
  <si>
    <t>ADAPTER</t>
    <phoneticPr fontId="2" type="noConversion"/>
  </si>
  <si>
    <t>204F51M-A047A-1</t>
    <phoneticPr fontId="2" type="noConversion"/>
  </si>
  <si>
    <t>PA9T</t>
    <phoneticPr fontId="2" type="noConversion"/>
  </si>
  <si>
    <t>전일 ISSUE 사항(21일)</t>
    <phoneticPr fontId="2" type="noConversion"/>
  </si>
  <si>
    <t>SST</t>
    <phoneticPr fontId="2" type="noConversion"/>
  </si>
  <si>
    <t>COVER</t>
    <phoneticPr fontId="2" type="noConversion"/>
  </si>
  <si>
    <t>KR6197AC841TA</t>
    <phoneticPr fontId="2" type="noConversion"/>
  </si>
  <si>
    <t>발주분양산</t>
    <phoneticPr fontId="2" type="noConversion"/>
  </si>
  <si>
    <t>테스트메카</t>
    <phoneticPr fontId="2" type="noConversion"/>
  </si>
  <si>
    <t>2</t>
    <phoneticPr fontId="2" type="noConversion"/>
  </si>
  <si>
    <t>7</t>
    <phoneticPr fontId="2" type="noConversion"/>
  </si>
  <si>
    <t>BASE</t>
    <phoneticPr fontId="2" type="noConversion"/>
  </si>
  <si>
    <t>발주분양산-&gt;코아파손정지</t>
    <phoneticPr fontId="2" type="noConversion"/>
  </si>
  <si>
    <t>14</t>
    <phoneticPr fontId="2" type="noConversion"/>
  </si>
  <si>
    <t>204F51M-A047A-1</t>
    <phoneticPr fontId="2" type="noConversion"/>
  </si>
  <si>
    <t>12</t>
    <phoneticPr fontId="2" type="noConversion"/>
  </si>
  <si>
    <t>KR6156-GBD115AA</t>
    <phoneticPr fontId="2" type="noConversion"/>
  </si>
  <si>
    <t>13</t>
    <phoneticPr fontId="2" type="noConversion"/>
  </si>
  <si>
    <t>당일 진행 사항(22일)</t>
    <phoneticPr fontId="2" type="noConversion"/>
  </si>
  <si>
    <t>수리후양산</t>
    <phoneticPr fontId="2" type="noConversion"/>
  </si>
  <si>
    <t>SST</t>
    <phoneticPr fontId="2" type="noConversion"/>
  </si>
  <si>
    <t>8</t>
    <phoneticPr fontId="2" type="noConversion"/>
  </si>
  <si>
    <t>LATCH</t>
    <phoneticPr fontId="2" type="noConversion"/>
  </si>
  <si>
    <t>K-JR01734-E092TA</t>
    <phoneticPr fontId="2" type="noConversion"/>
  </si>
  <si>
    <t>발주분양산</t>
    <phoneticPr fontId="2" type="noConversion"/>
  </si>
  <si>
    <t>넥스트</t>
    <phoneticPr fontId="2" type="noConversion"/>
  </si>
  <si>
    <t>BOTTOM</t>
    <phoneticPr fontId="2" type="noConversion"/>
  </si>
  <si>
    <t>SHORT BASE/UNDER(2P)</t>
    <phoneticPr fontId="2" type="noConversion"/>
  </si>
  <si>
    <t>메카텍</t>
    <phoneticPr fontId="2" type="noConversion"/>
  </si>
  <si>
    <t>SAMPLE 진행 사항(21일)</t>
    <phoneticPr fontId="2" type="noConversion"/>
  </si>
  <si>
    <t>각 100EA</t>
    <phoneticPr fontId="2" type="noConversion"/>
  </si>
  <si>
    <t>LEAD GUIDE</t>
    <phoneticPr fontId="2" type="noConversion"/>
  </si>
  <si>
    <t>KR6170BF1440XX</t>
    <phoneticPr fontId="2" type="noConversion"/>
  </si>
  <si>
    <t>SGF2033</t>
    <phoneticPr fontId="2" type="noConversion"/>
  </si>
  <si>
    <t>옵션</t>
    <phoneticPr fontId="2" type="noConversion"/>
  </si>
  <si>
    <t>금형이상</t>
    <phoneticPr fontId="2" type="noConversion"/>
  </si>
  <si>
    <t>KR6152-GVA134QA</t>
    <phoneticPr fontId="2" type="noConversion"/>
  </si>
  <si>
    <t>SF2255 I/V</t>
    <phoneticPr fontId="2" type="noConversion"/>
  </si>
  <si>
    <t>수정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</si>
  <si>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</si>
  <si>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</si>
  <si>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2018년 03월 22일 일일생산현황</t>
    </r>
    <r>
      <rPr>
        <b/>
        <sz val="14"/>
        <color indexed="8"/>
        <rFont val="굴림체"/>
        <family val="3"/>
        <charset val="129"/>
      </rPr>
      <t>(23일(금) 09시 현재)</t>
    </r>
    <phoneticPr fontId="2" type="noConversion"/>
  </si>
  <si>
    <t>LATCH</t>
    <phoneticPr fontId="2" type="noConversion"/>
  </si>
  <si>
    <t>K-JR01734-E092TA</t>
    <phoneticPr fontId="2" type="noConversion"/>
  </si>
  <si>
    <t>JD4901</t>
    <phoneticPr fontId="2" type="noConversion"/>
  </si>
  <si>
    <t>메카텍</t>
    <phoneticPr fontId="2" type="noConversion"/>
  </si>
  <si>
    <t>2P BASE/UNDER</t>
    <phoneticPr fontId="2" type="noConversion"/>
  </si>
  <si>
    <t>2*1</t>
    <phoneticPr fontId="2" type="noConversion"/>
  </si>
  <si>
    <t>AYE</t>
    <phoneticPr fontId="2" type="noConversion"/>
  </si>
  <si>
    <t>NP595-350-008#LB</t>
    <phoneticPr fontId="2" type="noConversion"/>
  </si>
  <si>
    <t>SGP2030R N/P</t>
    <phoneticPr fontId="2" type="noConversion"/>
  </si>
  <si>
    <t>넥스트</t>
    <phoneticPr fontId="2" type="noConversion"/>
  </si>
  <si>
    <t>BOTTOM</t>
    <phoneticPr fontId="2" type="noConversion"/>
  </si>
  <si>
    <t>N-MP-01</t>
    <phoneticPr fontId="2" type="noConversion"/>
  </si>
  <si>
    <t>전일 ISSUE 사항(22일)</t>
    <phoneticPr fontId="2" type="noConversion"/>
  </si>
  <si>
    <t>수리후양산</t>
    <phoneticPr fontId="2" type="noConversion"/>
  </si>
  <si>
    <t>NEXT</t>
    <phoneticPr fontId="2" type="noConversion"/>
  </si>
  <si>
    <t>14</t>
    <phoneticPr fontId="2" type="noConversion"/>
  </si>
  <si>
    <t>BOTTOM</t>
    <phoneticPr fontId="2" type="noConversion"/>
  </si>
  <si>
    <t>N-MP-01</t>
    <phoneticPr fontId="2" type="noConversion"/>
  </si>
  <si>
    <t>발주분양산</t>
    <phoneticPr fontId="2" type="noConversion"/>
  </si>
  <si>
    <t>12</t>
    <phoneticPr fontId="2" type="noConversion"/>
  </si>
  <si>
    <t>2P TOP/BOTTOM</t>
    <phoneticPr fontId="2" type="noConversion"/>
  </si>
  <si>
    <t>AYE</t>
    <phoneticPr fontId="2" type="noConversion"/>
  </si>
  <si>
    <t>12</t>
    <phoneticPr fontId="2" type="noConversion"/>
  </si>
  <si>
    <t>NP595-350-008#LB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</si>
  <si>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</si>
  <si>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</si>
  <si>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</si>
  <si>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HSF05-M04B1</t>
    <phoneticPr fontId="2" type="noConversion"/>
  </si>
  <si>
    <t>금형안닫힘수리</t>
    <phoneticPr fontId="2" type="noConversion"/>
  </si>
  <si>
    <t>SST</t>
    <phoneticPr fontId="2" type="noConversion"/>
  </si>
  <si>
    <t>8</t>
    <phoneticPr fontId="2" type="noConversion"/>
  </si>
  <si>
    <t>당일 진행 사항(23일)</t>
    <phoneticPr fontId="2" type="noConversion"/>
  </si>
  <si>
    <t>MCS</t>
    <phoneticPr fontId="2" type="noConversion"/>
  </si>
  <si>
    <t>AMB1901B-JAA-R1</t>
    <phoneticPr fontId="2" type="noConversion"/>
  </si>
  <si>
    <t>발주분양산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</si>
  <si>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</si>
  <si>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</si>
  <si>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</si>
  <si>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2018년 03월 23일(주간) 일일생산현황</t>
    </r>
    <r>
      <rPr>
        <b/>
        <sz val="14"/>
        <color indexed="8"/>
        <rFont val="굴림체"/>
        <family val="3"/>
        <charset val="129"/>
      </rPr>
      <t>(24일(토) 09시 현재)</t>
    </r>
    <phoneticPr fontId="2" type="noConversion"/>
  </si>
  <si>
    <t>MCS</t>
    <phoneticPr fontId="2" type="noConversion"/>
  </si>
  <si>
    <t>ACTUATOR</t>
    <phoneticPr fontId="2" type="noConversion"/>
  </si>
  <si>
    <t>AMB1901B-JAA-R1</t>
    <phoneticPr fontId="2" type="noConversion"/>
  </si>
  <si>
    <t>SGF2033</t>
    <phoneticPr fontId="2" type="noConversion"/>
  </si>
  <si>
    <t>전일 ISSUE 사항(23일)</t>
    <phoneticPr fontId="2" type="noConversion"/>
  </si>
  <si>
    <t>MCS</t>
    <phoneticPr fontId="2" type="noConversion"/>
  </si>
  <si>
    <t>14</t>
    <phoneticPr fontId="2" type="noConversion"/>
  </si>
  <si>
    <t>AMB1901B-JAA-R1</t>
    <phoneticPr fontId="2" type="noConversion"/>
  </si>
  <si>
    <t>발주분양산</t>
    <phoneticPr fontId="2" type="noConversion"/>
  </si>
  <si>
    <t>OKINS</t>
    <phoneticPr fontId="2" type="noConversion"/>
  </si>
  <si>
    <t>7</t>
    <phoneticPr fontId="2" type="noConversion"/>
  </si>
  <si>
    <t>BASE</t>
    <phoneticPr fontId="2" type="noConversion"/>
  </si>
  <si>
    <t>204F51M-B047E</t>
    <phoneticPr fontId="2" type="noConversion"/>
  </si>
  <si>
    <t>발주완료후 수정진행예정</t>
    <phoneticPr fontId="2" type="noConversion"/>
  </si>
  <si>
    <t>당일 진행 사항(26일)</t>
    <phoneticPr fontId="2" type="noConversion"/>
  </si>
  <si>
    <t>HICON</t>
    <phoneticPr fontId="2" type="noConversion"/>
  </si>
  <si>
    <t>13</t>
    <phoneticPr fontId="2" type="noConversion"/>
  </si>
  <si>
    <t>BOTTOM</t>
    <phoneticPr fontId="2" type="noConversion"/>
  </si>
  <si>
    <t>HRCS-00C12B</t>
    <phoneticPr fontId="2" type="noConversion"/>
  </si>
  <si>
    <t>NP504-295-091#SP</t>
    <phoneticPr fontId="2" type="noConversion"/>
  </si>
  <si>
    <t>AYE</t>
    <phoneticPr fontId="2" type="noConversion"/>
  </si>
  <si>
    <t>4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</si>
  <si>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</si>
  <si>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</si>
  <si>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</si>
  <si>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03월 26일 일일생산현황</t>
    </r>
    <r>
      <rPr>
        <b/>
        <sz val="14"/>
        <color indexed="8"/>
        <rFont val="굴림체"/>
        <family val="3"/>
        <charset val="129"/>
      </rPr>
      <t>(27일(화) 09시 현재)</t>
    </r>
    <phoneticPr fontId="2" type="noConversion"/>
  </si>
  <si>
    <t>NP504-295-091#SP</t>
    <phoneticPr fontId="2" type="noConversion"/>
  </si>
  <si>
    <t>SGF2033</t>
    <phoneticPr fontId="2" type="noConversion"/>
  </si>
  <si>
    <t>STOPPER</t>
    <phoneticPr fontId="2" type="noConversion"/>
  </si>
  <si>
    <t>K-JR01920-H432AZA</t>
    <phoneticPr fontId="2" type="noConversion"/>
  </si>
  <si>
    <t>SGP2020R</t>
    <phoneticPr fontId="2" type="noConversion"/>
  </si>
  <si>
    <t>HRCS-00C12B</t>
    <phoneticPr fontId="2" type="noConversion"/>
  </si>
  <si>
    <t>7301</t>
    <phoneticPr fontId="2" type="noConversion"/>
  </si>
  <si>
    <t>전일 ISSUE 사항(26일)</t>
    <phoneticPr fontId="2" type="noConversion"/>
  </si>
  <si>
    <t>NP504-295-091#SP</t>
    <phoneticPr fontId="2" type="noConversion"/>
  </si>
  <si>
    <t>AYE</t>
    <phoneticPr fontId="2" type="noConversion"/>
  </si>
  <si>
    <t>4</t>
    <phoneticPr fontId="2" type="noConversion"/>
  </si>
  <si>
    <t>발주분양산-&gt;미성형정지</t>
    <phoneticPr fontId="2" type="noConversion"/>
  </si>
  <si>
    <t>K-JR01920-H432AZA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</si>
  <si>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</si>
  <si>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</si>
  <si>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</si>
  <si>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발주분양산</t>
    <phoneticPr fontId="2" type="noConversion"/>
  </si>
  <si>
    <t>HRCS-00C12B</t>
    <phoneticPr fontId="2" type="noConversion"/>
  </si>
  <si>
    <t>HICON</t>
    <phoneticPr fontId="2" type="noConversion"/>
  </si>
  <si>
    <t>13</t>
    <phoneticPr fontId="2" type="noConversion"/>
  </si>
  <si>
    <t>BOTTOM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</si>
  <si>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</si>
  <si>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</si>
  <si>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</si>
  <si>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당일 진행 사항(27일)</t>
    <phoneticPr fontId="2" type="noConversion"/>
  </si>
  <si>
    <t>BASE</t>
    <phoneticPr fontId="2" type="noConversion"/>
  </si>
  <si>
    <t>K-JR01918-B484AWA</t>
    <phoneticPr fontId="2" type="noConversion"/>
  </si>
  <si>
    <t>BASE</t>
    <phoneticPr fontId="2" type="noConversion"/>
  </si>
  <si>
    <t>K-JR01920-B414AZB</t>
    <phoneticPr fontId="2" type="noConversion"/>
  </si>
  <si>
    <t>AYE</t>
    <phoneticPr fontId="2" type="noConversion"/>
  </si>
  <si>
    <t>NP504-295-091#SP</t>
    <phoneticPr fontId="2" type="noConversion"/>
  </si>
  <si>
    <t>수리후양산</t>
    <phoneticPr fontId="2" type="noConversion"/>
  </si>
  <si>
    <t>SAMPLE 진행 사항(26일)</t>
    <phoneticPr fontId="2" type="noConversion"/>
  </si>
  <si>
    <t>KR6152-GVA134QA</t>
    <phoneticPr fontId="2" type="noConversion"/>
  </si>
  <si>
    <t>ADAPTER</t>
    <phoneticPr fontId="2" type="noConversion"/>
  </si>
  <si>
    <t>SF2255 I/V</t>
    <phoneticPr fontId="2" type="noConversion"/>
  </si>
  <si>
    <t>수정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</si>
  <si>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</si>
  <si>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</si>
  <si>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03월 27일 일일생산현황</t>
    </r>
    <r>
      <rPr>
        <b/>
        <sz val="14"/>
        <color indexed="8"/>
        <rFont val="굴림체"/>
        <family val="3"/>
        <charset val="129"/>
      </rPr>
      <t>(28일(수) 09시 현재)</t>
    </r>
    <phoneticPr fontId="2" type="noConversion"/>
  </si>
  <si>
    <t>ADAPTER</t>
    <phoneticPr fontId="2" type="noConversion"/>
  </si>
  <si>
    <t>KR6152-GVA134QA</t>
    <phoneticPr fontId="2" type="noConversion"/>
  </si>
  <si>
    <t>SF2255 I/V</t>
    <phoneticPr fontId="2" type="noConversion"/>
  </si>
  <si>
    <t>BASE</t>
    <phoneticPr fontId="2" type="noConversion"/>
  </si>
  <si>
    <t>K-JR01918-B484AWA</t>
    <phoneticPr fontId="2" type="noConversion"/>
  </si>
  <si>
    <t>BASE</t>
    <phoneticPr fontId="2" type="noConversion"/>
  </si>
  <si>
    <t>K-JR01920-B414AZB</t>
    <phoneticPr fontId="2" type="noConversion"/>
  </si>
  <si>
    <t>SGP2020R</t>
    <phoneticPr fontId="2" type="noConversion"/>
  </si>
  <si>
    <t>전일 ISSUE 사항(27일)</t>
    <phoneticPr fontId="2" type="noConversion"/>
  </si>
  <si>
    <t>수리후양산</t>
    <phoneticPr fontId="2" type="noConversion"/>
  </si>
  <si>
    <t>K-JR01918-B484AWA</t>
    <phoneticPr fontId="2" type="noConversion"/>
  </si>
  <si>
    <t>SST</t>
    <phoneticPr fontId="2" type="noConversion"/>
  </si>
  <si>
    <t>14</t>
    <phoneticPr fontId="2" type="noConversion"/>
  </si>
  <si>
    <t>K-JR01920-B414AZB</t>
    <phoneticPr fontId="2" type="noConversion"/>
  </si>
  <si>
    <t>12</t>
    <phoneticPr fontId="2" type="noConversion"/>
  </si>
  <si>
    <t>발주분양산-&gt;금형수정정지</t>
    <phoneticPr fontId="2" type="noConversion"/>
  </si>
  <si>
    <t>당일 진행 사항(28일)</t>
    <phoneticPr fontId="2" type="noConversion"/>
  </si>
  <si>
    <t>7</t>
    <phoneticPr fontId="2" type="noConversion"/>
  </si>
  <si>
    <t>FLOAT</t>
    <phoneticPr fontId="2" type="noConversion"/>
  </si>
  <si>
    <t>K-JR01920-A414AWA</t>
    <phoneticPr fontId="2" type="noConversion"/>
  </si>
  <si>
    <t>발주분양산-&gt;코아파손정지</t>
    <phoneticPr fontId="2" type="noConversion"/>
  </si>
  <si>
    <t>SST</t>
    <phoneticPr fontId="2" type="noConversion"/>
  </si>
  <si>
    <t>14</t>
    <phoneticPr fontId="2" type="noConversion"/>
  </si>
  <si>
    <t>K-JR01920-B414AZB</t>
    <phoneticPr fontId="2" type="noConversion"/>
  </si>
  <si>
    <t>수리후양산</t>
    <phoneticPr fontId="2" type="noConversion"/>
  </si>
  <si>
    <t>AMB1904D-KAA-R2</t>
    <phoneticPr fontId="2" type="noConversion"/>
  </si>
  <si>
    <t>MCS</t>
    <phoneticPr fontId="2" type="noConversion"/>
  </si>
  <si>
    <t>ACTUATOR</t>
    <phoneticPr fontId="2" type="noConversion"/>
  </si>
  <si>
    <t>SGF2050 N/P</t>
    <phoneticPr fontId="2" type="noConversion"/>
  </si>
  <si>
    <t>HICON</t>
    <phoneticPr fontId="2" type="noConversion"/>
  </si>
  <si>
    <t>TOP</t>
    <phoneticPr fontId="2" type="noConversion"/>
  </si>
  <si>
    <t>HRGS-DS-01A</t>
    <phoneticPr fontId="2" type="noConversion"/>
  </si>
  <si>
    <t>SGF2030 N/P</t>
    <phoneticPr fontId="2" type="noConversion"/>
  </si>
  <si>
    <t>금형 수리 내역(27일)</t>
    <phoneticPr fontId="2" type="noConversion"/>
  </si>
  <si>
    <t>SAMPLE 진행 사항(27일)</t>
    <phoneticPr fontId="2" type="noConversion"/>
  </si>
  <si>
    <t>설비 점검 내역(27일)</t>
    <phoneticPr fontId="2" type="noConversion"/>
  </si>
  <si>
    <r>
      <t>2018년 03월 28일 일일생산현황</t>
    </r>
    <r>
      <rPr>
        <b/>
        <sz val="14"/>
        <color indexed="8"/>
        <rFont val="굴림체"/>
        <family val="3"/>
        <charset val="129"/>
      </rPr>
      <t>(29일(목) 09시 현재)</t>
    </r>
    <phoneticPr fontId="2" type="noConversion"/>
  </si>
  <si>
    <t>FLOAT</t>
    <phoneticPr fontId="2" type="noConversion"/>
  </si>
  <si>
    <t>K-JR01920-A414AWA</t>
    <phoneticPr fontId="2" type="noConversion"/>
  </si>
  <si>
    <t>SGF2030</t>
    <phoneticPr fontId="2" type="noConversion"/>
  </si>
  <si>
    <t>전일 ISSUE 사항(28일)</t>
    <phoneticPr fontId="2" type="noConversion"/>
  </si>
  <si>
    <t>수리후양산-&gt;미성형정지</t>
    <phoneticPr fontId="2" type="noConversion"/>
  </si>
  <si>
    <t>수리후양산-&gt;뜯김정지</t>
    <phoneticPr fontId="2" type="noConversion"/>
  </si>
  <si>
    <t>당일 진행 사항(29일)</t>
    <phoneticPr fontId="2" type="noConversion"/>
  </si>
  <si>
    <t>NP504-295-091#SP</t>
    <phoneticPr fontId="2" type="noConversion"/>
  </si>
  <si>
    <t>NP504-295-091#SP</t>
    <phoneticPr fontId="2" type="noConversion"/>
  </si>
  <si>
    <t>AYE</t>
    <phoneticPr fontId="2" type="noConversion"/>
  </si>
  <si>
    <t>4</t>
    <phoneticPr fontId="2" type="noConversion"/>
  </si>
  <si>
    <t>수리후양산</t>
    <phoneticPr fontId="2" type="noConversion"/>
  </si>
  <si>
    <t>HSF05-M04B1</t>
    <phoneticPr fontId="2" type="noConversion"/>
  </si>
  <si>
    <t>HICON</t>
    <phoneticPr fontId="2" type="noConversion"/>
  </si>
  <si>
    <t>11</t>
    <phoneticPr fontId="2" type="noConversion"/>
  </si>
  <si>
    <t>STOPPER</t>
    <phoneticPr fontId="2" type="noConversion"/>
  </si>
  <si>
    <t>세척후양산</t>
    <phoneticPr fontId="2" type="noConversion"/>
  </si>
  <si>
    <t>AM0148B-K-R2</t>
    <phoneticPr fontId="2" type="noConversion"/>
  </si>
  <si>
    <t>MCS</t>
    <phoneticPr fontId="2" type="noConversion"/>
  </si>
  <si>
    <t>BODY</t>
    <phoneticPr fontId="2" type="noConversion"/>
  </si>
  <si>
    <t>발주분양산</t>
    <phoneticPr fontId="2" type="noConversion"/>
  </si>
  <si>
    <t>SAMPLE 진행 사항(28일)</t>
    <phoneticPr fontId="2" type="noConversion"/>
  </si>
  <si>
    <t>KR6422-GA556QA</t>
    <phoneticPr fontId="2" type="noConversion"/>
  </si>
  <si>
    <t>SST</t>
    <phoneticPr fontId="2" type="noConversion"/>
  </si>
  <si>
    <t>ADAPTER</t>
    <phoneticPr fontId="2" type="noConversion"/>
  </si>
  <si>
    <t>SF2255 I/V</t>
    <phoneticPr fontId="2" type="noConversion"/>
  </si>
  <si>
    <t>요청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</si>
  <si>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</si>
  <si>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</si>
  <si>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2018년 03월 29일 일일생산현황</t>
    </r>
    <r>
      <rPr>
        <b/>
        <sz val="14"/>
        <color indexed="8"/>
        <rFont val="굴림체"/>
        <family val="3"/>
        <charset val="129"/>
      </rPr>
      <t>(30일(금) 09시 현재)</t>
    </r>
    <phoneticPr fontId="2" type="noConversion"/>
  </si>
  <si>
    <t>BODY</t>
    <phoneticPr fontId="2" type="noConversion"/>
  </si>
  <si>
    <t>AM0148B-K-R2</t>
    <phoneticPr fontId="2" type="noConversion"/>
  </si>
  <si>
    <t>전일 ISSUE 사항(29일)</t>
    <phoneticPr fontId="2" type="noConversion"/>
  </si>
  <si>
    <t>수리후양산-&gt;단차정지</t>
    <phoneticPr fontId="2" type="noConversion"/>
  </si>
  <si>
    <t>HICON</t>
    <phoneticPr fontId="2" type="noConversion"/>
  </si>
  <si>
    <t>13</t>
    <phoneticPr fontId="2" type="noConversion"/>
  </si>
  <si>
    <t>HSF05-M04B1</t>
    <phoneticPr fontId="2" type="noConversion"/>
  </si>
  <si>
    <t>세척후양산</t>
    <phoneticPr fontId="2" type="noConversion"/>
  </si>
  <si>
    <t>MCS</t>
    <phoneticPr fontId="2" type="noConversion"/>
  </si>
  <si>
    <t>11</t>
    <phoneticPr fontId="2" type="noConversion"/>
  </si>
  <si>
    <t>BODY</t>
    <phoneticPr fontId="2" type="noConversion"/>
  </si>
  <si>
    <t>발주분양산</t>
    <phoneticPr fontId="2" type="noConversion"/>
  </si>
  <si>
    <t>당일 진행 사항(30일)</t>
    <phoneticPr fontId="2" type="noConversion"/>
  </si>
  <si>
    <t>STOPPER</t>
    <phoneticPr fontId="2" type="noConversion"/>
  </si>
  <si>
    <t>AMB0201A-JAA-R3</t>
    <phoneticPr fontId="2" type="noConversion"/>
  </si>
  <si>
    <t>발주분양산</t>
    <phoneticPr fontId="2" type="noConversion"/>
  </si>
  <si>
    <t>009-019-004</t>
    <phoneticPr fontId="2" type="noConversion"/>
  </si>
  <si>
    <t>SST</t>
    <phoneticPr fontId="2" type="noConversion"/>
  </si>
  <si>
    <t>4LEAD</t>
    <phoneticPr fontId="2" type="noConversion"/>
  </si>
  <si>
    <t>SAMPLE 진행 사항(29일)</t>
    <phoneticPr fontId="2" type="noConversion"/>
  </si>
  <si>
    <t>KR6152-GVA134QA</t>
    <phoneticPr fontId="2" type="noConversion"/>
  </si>
  <si>
    <t>수정</t>
    <phoneticPr fontId="2" type="noConversion"/>
  </si>
  <si>
    <t>GUIDE</t>
    <phoneticPr fontId="2" type="noConversion"/>
  </si>
  <si>
    <t>017-125-221</t>
    <phoneticPr fontId="2" type="noConversion"/>
  </si>
  <si>
    <t>SGF2030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</si>
  <si>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</si>
  <si>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</si>
  <si>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2018년 03월 30일(주간) 일일생산현황</t>
    </r>
    <r>
      <rPr>
        <b/>
        <sz val="14"/>
        <color indexed="8"/>
        <rFont val="굴림체"/>
        <family val="3"/>
        <charset val="129"/>
      </rPr>
      <t>(31일(토) 09시 현재)</t>
    </r>
    <phoneticPr fontId="2" type="noConversion"/>
  </si>
  <si>
    <t>SST</t>
    <phoneticPr fontId="2" type="noConversion"/>
  </si>
  <si>
    <t>4LEAD</t>
    <phoneticPr fontId="2" type="noConversion"/>
  </si>
  <si>
    <t>009-019-004</t>
    <phoneticPr fontId="2" type="noConversion"/>
  </si>
  <si>
    <t>ADAPTER</t>
    <phoneticPr fontId="2" type="noConversion"/>
  </si>
  <si>
    <t>AMB0201A-JAA-R3</t>
    <phoneticPr fontId="2" type="noConversion"/>
  </si>
  <si>
    <t>SF2255</t>
    <phoneticPr fontId="2" type="noConversion"/>
  </si>
  <si>
    <t>전일 ISSUE 사항(30일)</t>
    <phoneticPr fontId="2" type="noConversion"/>
  </si>
  <si>
    <t>단차2회수리후양산</t>
    <phoneticPr fontId="2" type="noConversion"/>
  </si>
  <si>
    <t>MCS</t>
    <phoneticPr fontId="2" type="noConversion"/>
  </si>
  <si>
    <t>당일 진행 사항(02일)</t>
    <phoneticPr fontId="2" type="noConversion"/>
  </si>
  <si>
    <t>ACTUATOR</t>
    <phoneticPr fontId="2" type="noConversion"/>
  </si>
  <si>
    <t>AMB1904D-KAA-R2</t>
    <phoneticPr fontId="2" type="noConversion"/>
  </si>
  <si>
    <t>HRCS-03C13</t>
    <phoneticPr fontId="2" type="noConversion"/>
  </si>
  <si>
    <t>HRCS-03C17</t>
    <phoneticPr fontId="2" type="noConversion"/>
  </si>
  <si>
    <t>FLOAT</t>
    <phoneticPr fontId="2" type="noConversion"/>
  </si>
  <si>
    <t>LID</t>
    <phoneticPr fontId="2" type="noConversion"/>
  </si>
  <si>
    <t>HICON</t>
    <phoneticPr fontId="2" type="noConversion"/>
  </si>
  <si>
    <t>8</t>
    <phoneticPr fontId="2" type="noConversion"/>
  </si>
  <si>
    <t>SAMPLE 진행 사항(30일)</t>
    <phoneticPr fontId="2" type="noConversion"/>
  </si>
  <si>
    <t>KR6422-A556YA</t>
    <phoneticPr fontId="2" type="noConversion"/>
  </si>
  <si>
    <t>SGF2050</t>
    <phoneticPr fontId="2" type="noConversion"/>
  </si>
  <si>
    <t>요청</t>
    <phoneticPr fontId="2" type="noConversion"/>
  </si>
  <si>
    <t>013-125-019</t>
    <phoneticPr fontId="2" type="noConversion"/>
  </si>
  <si>
    <t>SGF2030</t>
    <phoneticPr fontId="2" type="noConversion"/>
  </si>
  <si>
    <t>수정</t>
    <phoneticPr fontId="2" type="noConversion"/>
  </si>
  <si>
    <t>HOCON</t>
    <phoneticPr fontId="2" type="noConversion"/>
  </si>
  <si>
    <t>PLUNGER/BASE/BOTTOM</t>
    <phoneticPr fontId="2" type="noConversion"/>
  </si>
  <si>
    <t>HL100-08A15/11/12</t>
    <phoneticPr fontId="2" type="noConversion"/>
  </si>
  <si>
    <t>SGF2041</t>
    <phoneticPr fontId="2" type="noConversion"/>
  </si>
  <si>
    <t>신작</t>
    <phoneticPr fontId="2" type="noConversion"/>
  </si>
  <si>
    <t>각50EA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</si>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</sst>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2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03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253504"/>
        <c:axId val="2642200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53504"/>
        <c:axId val="264220032"/>
      </c:lineChart>
      <c:catAx>
        <c:axId val="22325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64220032"/>
        <c:crosses val="autoZero"/>
        <c:auto val="1"/>
        <c:lblAlgn val="ctr"/>
        <c:lblOffset val="100"/>
        <c:noMultiLvlLbl val="0"/>
      </c:catAx>
      <c:valAx>
        <c:axId val="264220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325350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03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0.20280516108636237</c:v>
                </c:pt>
                <c:pt idx="1">
                  <c:v>0.19996182358497747</c:v>
                </c:pt>
                <c:pt idx="2">
                  <c:v>0.45386784546051495</c:v>
                </c:pt>
                <c:pt idx="3">
                  <c:v>0.16649977974222371</c:v>
                </c:pt>
                <c:pt idx="4">
                  <c:v>0.49102645110381837</c:v>
                </c:pt>
                <c:pt idx="5">
                  <c:v>0.25120523214575663</c:v>
                </c:pt>
                <c:pt idx="6">
                  <c:v>0.26323651252273078</c:v>
                </c:pt>
                <c:pt idx="7">
                  <c:v>0.35860585545325763</c:v>
                </c:pt>
                <c:pt idx="8">
                  <c:v>8.3286985539488323E-2</c:v>
                </c:pt>
                <c:pt idx="9">
                  <c:v>0.18129840000352895</c:v>
                </c:pt>
                <c:pt idx="10">
                  <c:v>0.6046068430453444</c:v>
                </c:pt>
                <c:pt idx="11">
                  <c:v>8.9934128477771755E-2</c:v>
                </c:pt>
                <c:pt idx="12">
                  <c:v>0.54110877326247608</c:v>
                </c:pt>
                <c:pt idx="13">
                  <c:v>0.43909232083084743</c:v>
                </c:pt>
                <c:pt idx="14">
                  <c:v>0.13161259349414117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122240"/>
        <c:axId val="264222336"/>
      </c:barChart>
      <c:catAx>
        <c:axId val="23412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64222336"/>
        <c:crosses val="autoZero"/>
        <c:auto val="1"/>
        <c:lblAlgn val="ctr"/>
        <c:lblOffset val="100"/>
        <c:noMultiLvlLbl val="0"/>
      </c:catAx>
      <c:valAx>
        <c:axId val="2642223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4122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5">
                  <c:v>1420</c:v>
                </c:pt>
                <c:pt idx="12">
                  <c:v>2309</c:v>
                </c:pt>
                <c:pt idx="13">
                  <c:v>3346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8570</c:v>
                </c:pt>
                <c:pt idx="3">
                  <c:v>1363</c:v>
                </c:pt>
                <c:pt idx="4">
                  <c:v>1000</c:v>
                </c:pt>
                <c:pt idx="5">
                  <c:v>1420</c:v>
                </c:pt>
                <c:pt idx="6">
                  <c:v>5500</c:v>
                </c:pt>
                <c:pt idx="7">
                  <c:v>4480</c:v>
                </c:pt>
                <c:pt idx="8">
                  <c:v>318</c:v>
                </c:pt>
                <c:pt idx="9">
                  <c:v>159</c:v>
                </c:pt>
                <c:pt idx="10">
                  <c:v>1440</c:v>
                </c:pt>
                <c:pt idx="11">
                  <c:v>4630</c:v>
                </c:pt>
                <c:pt idx="12">
                  <c:v>2310</c:v>
                </c:pt>
                <c:pt idx="13">
                  <c:v>3350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22560"/>
        <c:axId val="264224064"/>
      </c:lineChart>
      <c:catAx>
        <c:axId val="2419225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64224064"/>
        <c:crosses val="autoZero"/>
        <c:auto val="1"/>
        <c:lblAlgn val="ctr"/>
        <c:lblOffset val="100"/>
        <c:noMultiLvlLbl val="0"/>
      </c:catAx>
      <c:valAx>
        <c:axId val="2642240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1922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0% 0% 0% 42% 0% 0% 0% 0% 0% 0% 42%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0.41648629148629152</c:v>
                </c:pt>
                <c:pt idx="13">
                  <c:v>0.41616915422885575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8.3288140825454257E-2</c:v>
                </c:pt>
                <c:pt idx="1">
                  <c:v>8.3288140825454257E-2</c:v>
                </c:pt>
                <c:pt idx="2">
                  <c:v>8.3288140825454257E-2</c:v>
                </c:pt>
                <c:pt idx="3">
                  <c:v>8.3288140825454257E-2</c:v>
                </c:pt>
                <c:pt idx="4">
                  <c:v>8.3288140825454257E-2</c:v>
                </c:pt>
                <c:pt idx="5">
                  <c:v>8.3288140825454257E-2</c:v>
                </c:pt>
                <c:pt idx="6">
                  <c:v>8.3288140825454257E-2</c:v>
                </c:pt>
                <c:pt idx="7">
                  <c:v>8.3288140825454257E-2</c:v>
                </c:pt>
                <c:pt idx="8">
                  <c:v>8.3288140825454257E-2</c:v>
                </c:pt>
                <c:pt idx="9">
                  <c:v>8.3288140825454257E-2</c:v>
                </c:pt>
                <c:pt idx="10">
                  <c:v>8.3288140825454257E-2</c:v>
                </c:pt>
                <c:pt idx="11">
                  <c:v>8.3288140825454257E-2</c:v>
                </c:pt>
                <c:pt idx="12">
                  <c:v>8.3288140825454257E-2</c:v>
                </c:pt>
                <c:pt idx="13">
                  <c:v>8.3288140825454257E-2</c:v>
                </c:pt>
                <c:pt idx="14">
                  <c:v>8.3288140825454257E-2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50720"/>
        <c:axId val="276243584"/>
      </c:lineChart>
      <c:catAx>
        <c:axId val="24195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6243584"/>
        <c:crosses val="autoZero"/>
        <c:auto val="1"/>
        <c:lblAlgn val="ctr"/>
        <c:lblOffset val="100"/>
        <c:noMultiLvlLbl val="0"/>
      </c:catAx>
      <c:valAx>
        <c:axId val="276243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1950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5">
                  <c:v>1420</c:v>
                </c:pt>
                <c:pt idx="12">
                  <c:v>2309</c:v>
                </c:pt>
                <c:pt idx="13">
                  <c:v>3346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8570</c:v>
                </c:pt>
                <c:pt idx="3">
                  <c:v>1363</c:v>
                </c:pt>
                <c:pt idx="4">
                  <c:v>1000</c:v>
                </c:pt>
                <c:pt idx="5">
                  <c:v>1420</c:v>
                </c:pt>
                <c:pt idx="6">
                  <c:v>5500</c:v>
                </c:pt>
                <c:pt idx="7">
                  <c:v>4480</c:v>
                </c:pt>
                <c:pt idx="8">
                  <c:v>318</c:v>
                </c:pt>
                <c:pt idx="9">
                  <c:v>159</c:v>
                </c:pt>
                <c:pt idx="10">
                  <c:v>1440</c:v>
                </c:pt>
                <c:pt idx="11">
                  <c:v>4630</c:v>
                </c:pt>
                <c:pt idx="12">
                  <c:v>2310</c:v>
                </c:pt>
                <c:pt idx="13">
                  <c:v>3350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51232"/>
        <c:axId val="276246464"/>
      </c:lineChart>
      <c:catAx>
        <c:axId val="2419512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76246464"/>
        <c:crosses val="autoZero"/>
        <c:auto val="1"/>
        <c:lblAlgn val="ctr"/>
        <c:lblOffset val="100"/>
        <c:noMultiLvlLbl val="0"/>
      </c:catAx>
      <c:valAx>
        <c:axId val="2762464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195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0% 0% 0% 42% 0% 0% 0% 0% 0% 0% 42% 42%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0.41666666666666669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0.41648629148629152</c:v>
                </c:pt>
                <c:pt idx="13">
                  <c:v>0.41616915422885575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CASE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8.3288140825454257E-2</c:v>
                </c:pt>
                <c:pt idx="1">
                  <c:v>8.3288140825454257E-2</c:v>
                </c:pt>
                <c:pt idx="2">
                  <c:v>8.3288140825454257E-2</c:v>
                </c:pt>
                <c:pt idx="3">
                  <c:v>8.3288140825454257E-2</c:v>
                </c:pt>
                <c:pt idx="4">
                  <c:v>8.3288140825454257E-2</c:v>
                </c:pt>
                <c:pt idx="5">
                  <c:v>8.3288140825454257E-2</c:v>
                </c:pt>
                <c:pt idx="6">
                  <c:v>8.3288140825454257E-2</c:v>
                </c:pt>
                <c:pt idx="7">
                  <c:v>8.3288140825454257E-2</c:v>
                </c:pt>
                <c:pt idx="8">
                  <c:v>8.3288140825454257E-2</c:v>
                </c:pt>
                <c:pt idx="9">
                  <c:v>8.3288140825454257E-2</c:v>
                </c:pt>
                <c:pt idx="10">
                  <c:v>8.3288140825454257E-2</c:v>
                </c:pt>
                <c:pt idx="11">
                  <c:v>8.3288140825454257E-2</c:v>
                </c:pt>
                <c:pt idx="12">
                  <c:v>8.3288140825454257E-2</c:v>
                </c:pt>
                <c:pt idx="13">
                  <c:v>8.3288140825454257E-2</c:v>
                </c:pt>
                <c:pt idx="14">
                  <c:v>8.3288140825454257E-2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53280"/>
        <c:axId val="276248192"/>
      </c:lineChart>
      <c:catAx>
        <c:axId val="24195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6248192"/>
        <c:crosses val="autoZero"/>
        <c:auto val="1"/>
        <c:lblAlgn val="ctr"/>
        <c:lblOffset val="100"/>
        <c:noMultiLvlLbl val="0"/>
      </c:catAx>
      <c:valAx>
        <c:axId val="2762481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1953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953792"/>
        <c:axId val="27643084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53792"/>
        <c:axId val="276430848"/>
      </c:lineChart>
      <c:catAx>
        <c:axId val="24195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76430848"/>
        <c:crosses val="autoZero"/>
        <c:auto val="1"/>
        <c:lblAlgn val="ctr"/>
        <c:lblOffset val="100"/>
        <c:noMultiLvlLbl val="0"/>
      </c:catAx>
      <c:valAx>
        <c:axId val="276430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19537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11925</c:v>
                </c:pt>
                <c:pt idx="4">
                  <c:v>7100</c:v>
                </c:pt>
                <c:pt idx="8">
                  <c:v>105</c:v>
                </c:pt>
                <c:pt idx="10">
                  <c:v>2126</c:v>
                </c:pt>
                <c:pt idx="12">
                  <c:v>4274</c:v>
                </c:pt>
                <c:pt idx="13">
                  <c:v>1425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11930</c:v>
                </c:pt>
                <c:pt idx="3">
                  <c:v>1363</c:v>
                </c:pt>
                <c:pt idx="4">
                  <c:v>7100</c:v>
                </c:pt>
                <c:pt idx="5">
                  <c:v>1420</c:v>
                </c:pt>
                <c:pt idx="6">
                  <c:v>5500</c:v>
                </c:pt>
                <c:pt idx="7">
                  <c:v>4480</c:v>
                </c:pt>
                <c:pt idx="8">
                  <c:v>105</c:v>
                </c:pt>
                <c:pt idx="9">
                  <c:v>159</c:v>
                </c:pt>
                <c:pt idx="10">
                  <c:v>2130</c:v>
                </c:pt>
                <c:pt idx="11">
                  <c:v>4630</c:v>
                </c:pt>
                <c:pt idx="12">
                  <c:v>4280</c:v>
                </c:pt>
                <c:pt idx="13">
                  <c:v>1430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678848"/>
        <c:axId val="276433728"/>
      </c:lineChart>
      <c:catAx>
        <c:axId val="2736788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76433728"/>
        <c:crosses val="autoZero"/>
        <c:auto val="1"/>
        <c:lblAlgn val="ctr"/>
        <c:lblOffset val="100"/>
        <c:noMultiLvlLbl val="0"/>
      </c:catAx>
      <c:valAx>
        <c:axId val="2764337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7367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87% 0% 54% 0% 0% 0% 17% 0% 54% 0% 87%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0.87463327745180219</c:v>
                </c:pt>
                <c:pt idx="3">
                  <c:v>0</c:v>
                </c:pt>
                <c:pt idx="4">
                  <c:v>0.54166666666666663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0.54064945226917061</c:v>
                </c:pt>
                <c:pt idx="11">
                  <c:v>0</c:v>
                </c:pt>
                <c:pt idx="12">
                  <c:v>0.87377336448598131</c:v>
                </c:pt>
                <c:pt idx="13">
                  <c:v>0.33216783216783213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0.22197048398054128</c:v>
                </c:pt>
                <c:pt idx="1">
                  <c:v>0.22197048398054128</c:v>
                </c:pt>
                <c:pt idx="2">
                  <c:v>0.22197048398054128</c:v>
                </c:pt>
                <c:pt idx="3">
                  <c:v>0.22197048398054128</c:v>
                </c:pt>
                <c:pt idx="4">
                  <c:v>0.22197048398054128</c:v>
                </c:pt>
                <c:pt idx="5">
                  <c:v>0.22197048398054128</c:v>
                </c:pt>
                <c:pt idx="6">
                  <c:v>0.22197048398054128</c:v>
                </c:pt>
                <c:pt idx="7">
                  <c:v>0.22197048398054128</c:v>
                </c:pt>
                <c:pt idx="8">
                  <c:v>0.22197048398054128</c:v>
                </c:pt>
                <c:pt idx="9">
                  <c:v>0.22197048398054128</c:v>
                </c:pt>
                <c:pt idx="10">
                  <c:v>0.22197048398054128</c:v>
                </c:pt>
                <c:pt idx="11">
                  <c:v>0.22197048398054128</c:v>
                </c:pt>
                <c:pt idx="12">
                  <c:v>0.22197048398054128</c:v>
                </c:pt>
                <c:pt idx="13">
                  <c:v>0.22197048398054128</c:v>
                </c:pt>
                <c:pt idx="14">
                  <c:v>0.22197048398054128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009536"/>
        <c:axId val="276435456"/>
      </c:lineChart>
      <c:catAx>
        <c:axId val="27500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6435456"/>
        <c:crosses val="autoZero"/>
        <c:auto val="1"/>
        <c:lblAlgn val="ctr"/>
        <c:lblOffset val="100"/>
        <c:noMultiLvlLbl val="0"/>
      </c:catAx>
      <c:valAx>
        <c:axId val="2764354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75009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11925</c:v>
                </c:pt>
                <c:pt idx="4">
                  <c:v>7100</c:v>
                </c:pt>
                <c:pt idx="8">
                  <c:v>105</c:v>
                </c:pt>
                <c:pt idx="10">
                  <c:v>2126</c:v>
                </c:pt>
                <c:pt idx="12">
                  <c:v>4274</c:v>
                </c:pt>
                <c:pt idx="13">
                  <c:v>1425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4520</c:v>
                </c:pt>
                <c:pt idx="1">
                  <c:v>2270</c:v>
                </c:pt>
                <c:pt idx="2">
                  <c:v>11930</c:v>
                </c:pt>
                <c:pt idx="3">
                  <c:v>1363</c:v>
                </c:pt>
                <c:pt idx="4">
                  <c:v>7100</c:v>
                </c:pt>
                <c:pt idx="5">
                  <c:v>1420</c:v>
                </c:pt>
                <c:pt idx="6">
                  <c:v>5500</c:v>
                </c:pt>
                <c:pt idx="7">
                  <c:v>4480</c:v>
                </c:pt>
                <c:pt idx="8">
                  <c:v>105</c:v>
                </c:pt>
                <c:pt idx="9">
                  <c:v>159</c:v>
                </c:pt>
                <c:pt idx="10">
                  <c:v>2130</c:v>
                </c:pt>
                <c:pt idx="11">
                  <c:v>4630</c:v>
                </c:pt>
                <c:pt idx="12">
                  <c:v>4280</c:v>
                </c:pt>
                <c:pt idx="13">
                  <c:v>1430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010048"/>
        <c:axId val="281241856"/>
      </c:lineChart>
      <c:catAx>
        <c:axId val="2750100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1241856"/>
        <c:crosses val="autoZero"/>
        <c:auto val="1"/>
        <c:lblAlgn val="ctr"/>
        <c:lblOffset val="100"/>
        <c:noMultiLvlLbl val="0"/>
      </c:catAx>
      <c:valAx>
        <c:axId val="281241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7501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0% 0% 87% 0% 54% 0% 0% 0% 17% 0% 54% 0% 87%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0.87463327745180219</c:v>
                </c:pt>
                <c:pt idx="3">
                  <c:v>0</c:v>
                </c:pt>
                <c:pt idx="4">
                  <c:v>0.54166666666666663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0.54064945226917061</c:v>
                </c:pt>
                <c:pt idx="11">
                  <c:v>0</c:v>
                </c:pt>
                <c:pt idx="12">
                  <c:v>0.87377336448598131</c:v>
                </c:pt>
                <c:pt idx="13">
                  <c:v>0.33216783216783213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4"/>
                <c:pt idx="0">
                  <c:v>LATCH</c:v>
                </c:pt>
                <c:pt idx="1">
                  <c:v>HOLDER</c:v>
                </c:pt>
                <c:pt idx="2">
                  <c:v>201T</c:v>
                </c:pt>
                <c:pt idx="3">
                  <c:v>BASE</c:v>
                </c:pt>
                <c:pt idx="4">
                  <c:v>SEPARATOR</c:v>
                </c:pt>
                <c:pt idx="5">
                  <c:v>ACTUATOR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BASE/UNDER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0.22197048398054128</c:v>
                </c:pt>
                <c:pt idx="1">
                  <c:v>0.22197048398054128</c:v>
                </c:pt>
                <c:pt idx="2">
                  <c:v>0.22197048398054128</c:v>
                </c:pt>
                <c:pt idx="3">
                  <c:v>0.22197048398054128</c:v>
                </c:pt>
                <c:pt idx="4">
                  <c:v>0.22197048398054128</c:v>
                </c:pt>
                <c:pt idx="5">
                  <c:v>0.22197048398054128</c:v>
                </c:pt>
                <c:pt idx="6">
                  <c:v>0.22197048398054128</c:v>
                </c:pt>
                <c:pt idx="7">
                  <c:v>0.22197048398054128</c:v>
                </c:pt>
                <c:pt idx="8">
                  <c:v>0.22197048398054128</c:v>
                </c:pt>
                <c:pt idx="9">
                  <c:v>0.22197048398054128</c:v>
                </c:pt>
                <c:pt idx="10">
                  <c:v>0.22197048398054128</c:v>
                </c:pt>
                <c:pt idx="11">
                  <c:v>0.22197048398054128</c:v>
                </c:pt>
                <c:pt idx="12">
                  <c:v>0.22197048398054128</c:v>
                </c:pt>
                <c:pt idx="13">
                  <c:v>0.22197048398054128</c:v>
                </c:pt>
                <c:pt idx="14">
                  <c:v>0.22197048398054128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589440"/>
        <c:axId val="281243584"/>
      </c:lineChart>
      <c:catAx>
        <c:axId val="27858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1243584"/>
        <c:crosses val="autoZero"/>
        <c:auto val="1"/>
        <c:lblAlgn val="ctr"/>
        <c:lblOffset val="100"/>
        <c:noMultiLvlLbl val="0"/>
      </c:catAx>
      <c:valAx>
        <c:axId val="281243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78589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954304"/>
        <c:axId val="28124588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954304"/>
        <c:axId val="281245888"/>
      </c:lineChart>
      <c:catAx>
        <c:axId val="24195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81245888"/>
        <c:crosses val="autoZero"/>
        <c:auto val="1"/>
        <c:lblAlgn val="ctr"/>
        <c:lblOffset val="100"/>
        <c:noMultiLvlLbl val="0"/>
      </c:catAx>
      <c:valAx>
        <c:axId val="2812458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19543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3616</c:v>
                </c:pt>
                <c:pt idx="1">
                  <c:v>2122</c:v>
                </c:pt>
                <c:pt idx="2">
                  <c:v>15930</c:v>
                </c:pt>
                <c:pt idx="3">
                  <c:v>1843</c:v>
                </c:pt>
                <c:pt idx="4">
                  <c:v>9328</c:v>
                </c:pt>
                <c:pt idx="5">
                  <c:v>4928</c:v>
                </c:pt>
                <c:pt idx="7">
                  <c:v>4428</c:v>
                </c:pt>
                <c:pt idx="9">
                  <c:v>623</c:v>
                </c:pt>
                <c:pt idx="10">
                  <c:v>607</c:v>
                </c:pt>
                <c:pt idx="12">
                  <c:v>4812</c:v>
                </c:pt>
                <c:pt idx="13">
                  <c:v>4904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3620</c:v>
                </c:pt>
                <c:pt idx="1">
                  <c:v>2122</c:v>
                </c:pt>
                <c:pt idx="2">
                  <c:v>15930</c:v>
                </c:pt>
                <c:pt idx="3">
                  <c:v>1850</c:v>
                </c:pt>
                <c:pt idx="4">
                  <c:v>9230</c:v>
                </c:pt>
                <c:pt idx="5">
                  <c:v>4930</c:v>
                </c:pt>
                <c:pt idx="6">
                  <c:v>5500</c:v>
                </c:pt>
                <c:pt idx="7">
                  <c:v>4430</c:v>
                </c:pt>
                <c:pt idx="8">
                  <c:v>105</c:v>
                </c:pt>
                <c:pt idx="9">
                  <c:v>623</c:v>
                </c:pt>
                <c:pt idx="10">
                  <c:v>607</c:v>
                </c:pt>
                <c:pt idx="11">
                  <c:v>4630</c:v>
                </c:pt>
                <c:pt idx="12">
                  <c:v>4820</c:v>
                </c:pt>
                <c:pt idx="13">
                  <c:v>4910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781056"/>
        <c:axId val="442473792"/>
      </c:lineChart>
      <c:catAx>
        <c:axId val="300781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2473792"/>
        <c:crosses val="autoZero"/>
        <c:auto val="1"/>
        <c:lblAlgn val="ctr"/>
        <c:lblOffset val="100"/>
        <c:noMultiLvlLbl val="0"/>
      </c:catAx>
      <c:valAx>
        <c:axId val="4424737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781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87% 58% 100% 42% 80% 96% 0% 87% 0% 21% 21%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0.87403314917127073</c:v>
                </c:pt>
                <c:pt idx="1">
                  <c:v>0.58333333333333337</c:v>
                </c:pt>
                <c:pt idx="2">
                  <c:v>1</c:v>
                </c:pt>
                <c:pt idx="3">
                  <c:v>0.41509009009009012</c:v>
                </c:pt>
                <c:pt idx="4">
                  <c:v>0.80007222824124224</c:v>
                </c:pt>
                <c:pt idx="5">
                  <c:v>0.95794455713319815</c:v>
                </c:pt>
                <c:pt idx="6">
                  <c:v>0</c:v>
                </c:pt>
                <c:pt idx="7">
                  <c:v>0.87460496613995486</c:v>
                </c:pt>
                <c:pt idx="8">
                  <c:v>0</c:v>
                </c:pt>
                <c:pt idx="9">
                  <c:v>0.20833333333333334</c:v>
                </c:pt>
                <c:pt idx="10">
                  <c:v>0.20833333333333334</c:v>
                </c:pt>
                <c:pt idx="11">
                  <c:v>0</c:v>
                </c:pt>
                <c:pt idx="12">
                  <c:v>0.99834024896265561</c:v>
                </c:pt>
                <c:pt idx="13">
                  <c:v>0.79069925322471146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0.51405229953087495</c:v>
                </c:pt>
                <c:pt idx="1">
                  <c:v>0.51405229953087495</c:v>
                </c:pt>
                <c:pt idx="2">
                  <c:v>0.51405229953087495</c:v>
                </c:pt>
                <c:pt idx="3">
                  <c:v>0.51405229953087495</c:v>
                </c:pt>
                <c:pt idx="4">
                  <c:v>0.51405229953087495</c:v>
                </c:pt>
                <c:pt idx="5">
                  <c:v>0.51405229953087495</c:v>
                </c:pt>
                <c:pt idx="6">
                  <c:v>0.51405229953087495</c:v>
                </c:pt>
                <c:pt idx="7">
                  <c:v>0.51405229953087495</c:v>
                </c:pt>
                <c:pt idx="8">
                  <c:v>0.51405229953087495</c:v>
                </c:pt>
                <c:pt idx="9">
                  <c:v>0.51405229953087495</c:v>
                </c:pt>
                <c:pt idx="10">
                  <c:v>0.51405229953087495</c:v>
                </c:pt>
                <c:pt idx="11">
                  <c:v>0.51405229953087495</c:v>
                </c:pt>
                <c:pt idx="12">
                  <c:v>0.51405229953087495</c:v>
                </c:pt>
                <c:pt idx="13">
                  <c:v>0.51405229953087495</c:v>
                </c:pt>
                <c:pt idx="14">
                  <c:v>0.51405229953087495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943808"/>
        <c:axId val="444696832"/>
      </c:lineChart>
      <c:catAx>
        <c:axId val="34194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4696832"/>
        <c:crosses val="autoZero"/>
        <c:auto val="1"/>
        <c:lblAlgn val="ctr"/>
        <c:lblOffset val="100"/>
        <c:noMultiLvlLbl val="0"/>
      </c:catAx>
      <c:valAx>
        <c:axId val="444696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4194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3616</c:v>
                </c:pt>
                <c:pt idx="1">
                  <c:v>2122</c:v>
                </c:pt>
                <c:pt idx="2">
                  <c:v>15930</c:v>
                </c:pt>
                <c:pt idx="3">
                  <c:v>1843</c:v>
                </c:pt>
                <c:pt idx="4">
                  <c:v>9328</c:v>
                </c:pt>
                <c:pt idx="5">
                  <c:v>4928</c:v>
                </c:pt>
                <c:pt idx="7">
                  <c:v>4428</c:v>
                </c:pt>
                <c:pt idx="9">
                  <c:v>623</c:v>
                </c:pt>
                <c:pt idx="10">
                  <c:v>607</c:v>
                </c:pt>
                <c:pt idx="12">
                  <c:v>4812</c:v>
                </c:pt>
                <c:pt idx="13">
                  <c:v>4904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3620</c:v>
                </c:pt>
                <c:pt idx="1">
                  <c:v>2122</c:v>
                </c:pt>
                <c:pt idx="2">
                  <c:v>15930</c:v>
                </c:pt>
                <c:pt idx="3">
                  <c:v>1850</c:v>
                </c:pt>
                <c:pt idx="4">
                  <c:v>9230</c:v>
                </c:pt>
                <c:pt idx="5">
                  <c:v>4930</c:v>
                </c:pt>
                <c:pt idx="6">
                  <c:v>5500</c:v>
                </c:pt>
                <c:pt idx="7">
                  <c:v>4430</c:v>
                </c:pt>
                <c:pt idx="8">
                  <c:v>105</c:v>
                </c:pt>
                <c:pt idx="9">
                  <c:v>623</c:v>
                </c:pt>
                <c:pt idx="10">
                  <c:v>607</c:v>
                </c:pt>
                <c:pt idx="11">
                  <c:v>4630</c:v>
                </c:pt>
                <c:pt idx="12">
                  <c:v>4820</c:v>
                </c:pt>
                <c:pt idx="13">
                  <c:v>4910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945856"/>
        <c:axId val="444700288"/>
      </c:lineChart>
      <c:catAx>
        <c:axId val="3419458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44700288"/>
        <c:crosses val="autoZero"/>
        <c:auto val="1"/>
        <c:lblAlgn val="ctr"/>
        <c:lblOffset val="100"/>
        <c:noMultiLvlLbl val="0"/>
      </c:catAx>
      <c:valAx>
        <c:axId val="4447002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4194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87% 58% 100% 42% 80% 96% 0% 87% 0% 21% 21%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0.87403314917127073</c:v>
                </c:pt>
                <c:pt idx="1">
                  <c:v>0.58333333333333337</c:v>
                </c:pt>
                <c:pt idx="2">
                  <c:v>1</c:v>
                </c:pt>
                <c:pt idx="3">
                  <c:v>0.41509009009009012</c:v>
                </c:pt>
                <c:pt idx="4">
                  <c:v>0.80007222824124224</c:v>
                </c:pt>
                <c:pt idx="5">
                  <c:v>0.95794455713319815</c:v>
                </c:pt>
                <c:pt idx="6">
                  <c:v>0</c:v>
                </c:pt>
                <c:pt idx="7">
                  <c:v>0.87460496613995486</c:v>
                </c:pt>
                <c:pt idx="8">
                  <c:v>0</c:v>
                </c:pt>
                <c:pt idx="9">
                  <c:v>0.20833333333333334</c:v>
                </c:pt>
                <c:pt idx="10">
                  <c:v>0.20833333333333334</c:v>
                </c:pt>
                <c:pt idx="11">
                  <c:v>0</c:v>
                </c:pt>
                <c:pt idx="12">
                  <c:v>0.99834024896265561</c:v>
                </c:pt>
                <c:pt idx="13">
                  <c:v>0.79069925322471146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9">
                  <c:v>LEVER</c:v>
                </c:pt>
                <c:pt idx="10">
                  <c:v>BRACK</c:v>
                </c:pt>
                <c:pt idx="11">
                  <c:v>CASE(7-SEGMENT)</c:v>
                </c:pt>
                <c:pt idx="12">
                  <c:v>BASE</c:v>
                </c:pt>
                <c:pt idx="13">
                  <c:v>SPACER A,B,C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0.51405229953087495</c:v>
                </c:pt>
                <c:pt idx="1">
                  <c:v>0.51405229953087495</c:v>
                </c:pt>
                <c:pt idx="2">
                  <c:v>0.51405229953087495</c:v>
                </c:pt>
                <c:pt idx="3">
                  <c:v>0.51405229953087495</c:v>
                </c:pt>
                <c:pt idx="4">
                  <c:v>0.51405229953087495</c:v>
                </c:pt>
                <c:pt idx="5">
                  <c:v>0.51405229953087495</c:v>
                </c:pt>
                <c:pt idx="6">
                  <c:v>0.51405229953087495</c:v>
                </c:pt>
                <c:pt idx="7">
                  <c:v>0.51405229953087495</c:v>
                </c:pt>
                <c:pt idx="8">
                  <c:v>0.51405229953087495</c:v>
                </c:pt>
                <c:pt idx="9">
                  <c:v>0.51405229953087495</c:v>
                </c:pt>
                <c:pt idx="10">
                  <c:v>0.51405229953087495</c:v>
                </c:pt>
                <c:pt idx="11">
                  <c:v>0.51405229953087495</c:v>
                </c:pt>
                <c:pt idx="12">
                  <c:v>0.51405229953087495</c:v>
                </c:pt>
                <c:pt idx="13">
                  <c:v>0.51405229953087495</c:v>
                </c:pt>
                <c:pt idx="14">
                  <c:v>0.51405229953087495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380352"/>
        <c:axId val="444702016"/>
      </c:lineChart>
      <c:catAx>
        <c:axId val="34538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44702016"/>
        <c:crosses val="autoZero"/>
        <c:auto val="1"/>
        <c:lblAlgn val="ctr"/>
        <c:lblOffset val="100"/>
        <c:noMultiLvlLbl val="0"/>
      </c:catAx>
      <c:valAx>
        <c:axId val="444702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4538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380864"/>
        <c:axId val="4653570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380864"/>
        <c:axId val="465357056"/>
      </c:lineChart>
      <c:catAx>
        <c:axId val="34538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465357056"/>
        <c:crosses val="autoZero"/>
        <c:auto val="1"/>
        <c:lblAlgn val="ctr"/>
        <c:lblOffset val="100"/>
        <c:noMultiLvlLbl val="0"/>
      </c:catAx>
      <c:valAx>
        <c:axId val="4653570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453808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0">
                  <c:v>5132</c:v>
                </c:pt>
                <c:pt idx="1">
                  <c:v>2061</c:v>
                </c:pt>
                <c:pt idx="2">
                  <c:v>5232</c:v>
                </c:pt>
                <c:pt idx="3">
                  <c:v>1669</c:v>
                </c:pt>
                <c:pt idx="4">
                  <c:v>16238</c:v>
                </c:pt>
                <c:pt idx="5">
                  <c:v>5337</c:v>
                </c:pt>
                <c:pt idx="7">
                  <c:v>5425</c:v>
                </c:pt>
                <c:pt idx="8">
                  <c:v>362</c:v>
                </c:pt>
                <c:pt idx="9">
                  <c:v>28224</c:v>
                </c:pt>
                <c:pt idx="10">
                  <c:v>5868</c:v>
                </c:pt>
                <c:pt idx="12">
                  <c:v>4325</c:v>
                </c:pt>
                <c:pt idx="13">
                  <c:v>7358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5140</c:v>
                </c:pt>
                <c:pt idx="1">
                  <c:v>2070</c:v>
                </c:pt>
                <c:pt idx="2">
                  <c:v>5240</c:v>
                </c:pt>
                <c:pt idx="3">
                  <c:v>1670</c:v>
                </c:pt>
                <c:pt idx="4">
                  <c:v>16240</c:v>
                </c:pt>
                <c:pt idx="5">
                  <c:v>5340</c:v>
                </c:pt>
                <c:pt idx="6">
                  <c:v>5500</c:v>
                </c:pt>
                <c:pt idx="7">
                  <c:v>5430</c:v>
                </c:pt>
                <c:pt idx="8">
                  <c:v>362</c:v>
                </c:pt>
                <c:pt idx="9">
                  <c:v>28230</c:v>
                </c:pt>
                <c:pt idx="10">
                  <c:v>5870</c:v>
                </c:pt>
                <c:pt idx="11">
                  <c:v>4630</c:v>
                </c:pt>
                <c:pt idx="12">
                  <c:v>4330</c:v>
                </c:pt>
                <c:pt idx="13">
                  <c:v>7360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35200"/>
        <c:axId val="465361088"/>
      </c:lineChart>
      <c:catAx>
        <c:axId val="2404352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65361088"/>
        <c:crosses val="autoZero"/>
        <c:auto val="1"/>
        <c:lblAlgn val="ctr"/>
        <c:lblOffset val="100"/>
        <c:noMultiLvlLbl val="0"/>
      </c:catAx>
      <c:valAx>
        <c:axId val="4653610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043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100% 58% 37% 42% 100% 100% 0% 100% 33% 83% 71% 0% 92%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0.99844357976653697</c:v>
                </c:pt>
                <c:pt idx="1">
                  <c:v>0.58079710144927543</c:v>
                </c:pt>
                <c:pt idx="2">
                  <c:v>0.37442748091603056</c:v>
                </c:pt>
                <c:pt idx="3">
                  <c:v>0.41641716566866271</c:v>
                </c:pt>
                <c:pt idx="4">
                  <c:v>0.99987684729064041</c:v>
                </c:pt>
                <c:pt idx="5">
                  <c:v>0.99943820224719104</c:v>
                </c:pt>
                <c:pt idx="6">
                  <c:v>0</c:v>
                </c:pt>
                <c:pt idx="7">
                  <c:v>0.99907918968692444</c:v>
                </c:pt>
                <c:pt idx="8">
                  <c:v>0.33333333333333331</c:v>
                </c:pt>
                <c:pt idx="9">
                  <c:v>0.83315621679064833</c:v>
                </c:pt>
                <c:pt idx="10">
                  <c:v>0.70809199318569005</c:v>
                </c:pt>
                <c:pt idx="11">
                  <c:v>0</c:v>
                </c:pt>
                <c:pt idx="12">
                  <c:v>0.91560816012317159</c:v>
                </c:pt>
                <c:pt idx="13">
                  <c:v>0.99972826086956523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0.61055983542184455</c:v>
                </c:pt>
                <c:pt idx="1">
                  <c:v>0.61055983542184455</c:v>
                </c:pt>
                <c:pt idx="2">
                  <c:v>0.61055983542184455</c:v>
                </c:pt>
                <c:pt idx="3">
                  <c:v>0.61055983542184455</c:v>
                </c:pt>
                <c:pt idx="4">
                  <c:v>0.61055983542184455</c:v>
                </c:pt>
                <c:pt idx="5">
                  <c:v>0.61055983542184455</c:v>
                </c:pt>
                <c:pt idx="6">
                  <c:v>0.61055983542184455</c:v>
                </c:pt>
                <c:pt idx="7">
                  <c:v>0.61055983542184455</c:v>
                </c:pt>
                <c:pt idx="8">
                  <c:v>0.61055983542184455</c:v>
                </c:pt>
                <c:pt idx="9">
                  <c:v>0.61055983542184455</c:v>
                </c:pt>
                <c:pt idx="10">
                  <c:v>0.61055983542184455</c:v>
                </c:pt>
                <c:pt idx="11">
                  <c:v>0.61055983542184455</c:v>
                </c:pt>
                <c:pt idx="12">
                  <c:v>0.61055983542184455</c:v>
                </c:pt>
                <c:pt idx="13">
                  <c:v>0.61055983542184455</c:v>
                </c:pt>
                <c:pt idx="14">
                  <c:v>0.61055983542184455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36224"/>
        <c:axId val="473703552"/>
      </c:lineChart>
      <c:catAx>
        <c:axId val="24043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03552"/>
        <c:crosses val="autoZero"/>
        <c:auto val="1"/>
        <c:lblAlgn val="ctr"/>
        <c:lblOffset val="100"/>
        <c:noMultiLvlLbl val="0"/>
      </c:catAx>
      <c:valAx>
        <c:axId val="4737035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0436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0">
                  <c:v>5132</c:v>
                </c:pt>
                <c:pt idx="1">
                  <c:v>2061</c:v>
                </c:pt>
                <c:pt idx="2">
                  <c:v>5232</c:v>
                </c:pt>
                <c:pt idx="3">
                  <c:v>1669</c:v>
                </c:pt>
                <c:pt idx="4">
                  <c:v>16238</c:v>
                </c:pt>
                <c:pt idx="5">
                  <c:v>5337</c:v>
                </c:pt>
                <c:pt idx="7">
                  <c:v>5425</c:v>
                </c:pt>
                <c:pt idx="8">
                  <c:v>362</c:v>
                </c:pt>
                <c:pt idx="9">
                  <c:v>28224</c:v>
                </c:pt>
                <c:pt idx="10">
                  <c:v>5868</c:v>
                </c:pt>
                <c:pt idx="12">
                  <c:v>4325</c:v>
                </c:pt>
                <c:pt idx="13">
                  <c:v>7358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5140</c:v>
                </c:pt>
                <c:pt idx="1">
                  <c:v>2070</c:v>
                </c:pt>
                <c:pt idx="2">
                  <c:v>5240</c:v>
                </c:pt>
                <c:pt idx="3">
                  <c:v>1670</c:v>
                </c:pt>
                <c:pt idx="4">
                  <c:v>16240</c:v>
                </c:pt>
                <c:pt idx="5">
                  <c:v>5340</c:v>
                </c:pt>
                <c:pt idx="6">
                  <c:v>5500</c:v>
                </c:pt>
                <c:pt idx="7">
                  <c:v>5430</c:v>
                </c:pt>
                <c:pt idx="8">
                  <c:v>362</c:v>
                </c:pt>
                <c:pt idx="9">
                  <c:v>28230</c:v>
                </c:pt>
                <c:pt idx="10">
                  <c:v>5870</c:v>
                </c:pt>
                <c:pt idx="11">
                  <c:v>4630</c:v>
                </c:pt>
                <c:pt idx="12">
                  <c:v>4330</c:v>
                </c:pt>
                <c:pt idx="13">
                  <c:v>7360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36736"/>
        <c:axId val="473705856"/>
      </c:lineChart>
      <c:catAx>
        <c:axId val="240436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3705856"/>
        <c:crosses val="autoZero"/>
        <c:auto val="1"/>
        <c:lblAlgn val="ctr"/>
        <c:lblOffset val="100"/>
        <c:noMultiLvlLbl val="0"/>
      </c:catAx>
      <c:valAx>
        <c:axId val="473705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0436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"/>
                <c:pt idx="0">
                  <c:v>100% 58% 37% 42% 100% 100% 0% 100% 33% 83% 71% 0% 92%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0.99844357976653697</c:v>
                </c:pt>
                <c:pt idx="1">
                  <c:v>0.58079710144927543</c:v>
                </c:pt>
                <c:pt idx="2">
                  <c:v>0.37442748091603056</c:v>
                </c:pt>
                <c:pt idx="3">
                  <c:v>0.41641716566866271</c:v>
                </c:pt>
                <c:pt idx="4">
                  <c:v>0.99987684729064041</c:v>
                </c:pt>
                <c:pt idx="5">
                  <c:v>0.99943820224719104</c:v>
                </c:pt>
                <c:pt idx="6">
                  <c:v>0</c:v>
                </c:pt>
                <c:pt idx="7">
                  <c:v>0.99907918968692444</c:v>
                </c:pt>
                <c:pt idx="8">
                  <c:v>0.33333333333333331</c:v>
                </c:pt>
                <c:pt idx="9">
                  <c:v>0.83315621679064833</c:v>
                </c:pt>
                <c:pt idx="10">
                  <c:v>0.70809199318569005</c:v>
                </c:pt>
                <c:pt idx="11">
                  <c:v>0</c:v>
                </c:pt>
                <c:pt idx="12">
                  <c:v>0.91560816012317159</c:v>
                </c:pt>
                <c:pt idx="13">
                  <c:v>0.99972826086956523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'07'!$D$6:$D$20</c:f>
              <c:strCache>
                <c:ptCount val="14"/>
                <c:pt idx="0">
                  <c:v>COVER</c:v>
                </c:pt>
                <c:pt idx="1">
                  <c:v>TOP/BOTTOM</c:v>
                </c:pt>
                <c:pt idx="2">
                  <c:v>201T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0.61055983542184455</c:v>
                </c:pt>
                <c:pt idx="1">
                  <c:v>0.61055983542184455</c:v>
                </c:pt>
                <c:pt idx="2">
                  <c:v>0.61055983542184455</c:v>
                </c:pt>
                <c:pt idx="3">
                  <c:v>0.61055983542184455</c:v>
                </c:pt>
                <c:pt idx="4">
                  <c:v>0.61055983542184455</c:v>
                </c:pt>
                <c:pt idx="5">
                  <c:v>0.61055983542184455</c:v>
                </c:pt>
                <c:pt idx="6">
                  <c:v>0.61055983542184455</c:v>
                </c:pt>
                <c:pt idx="7">
                  <c:v>0.61055983542184455</c:v>
                </c:pt>
                <c:pt idx="8">
                  <c:v>0.61055983542184455</c:v>
                </c:pt>
                <c:pt idx="9">
                  <c:v>0.61055983542184455</c:v>
                </c:pt>
                <c:pt idx="10">
                  <c:v>0.61055983542184455</c:v>
                </c:pt>
                <c:pt idx="11">
                  <c:v>0.61055983542184455</c:v>
                </c:pt>
                <c:pt idx="12">
                  <c:v>0.61055983542184455</c:v>
                </c:pt>
                <c:pt idx="13">
                  <c:v>0.61055983542184455</c:v>
                </c:pt>
                <c:pt idx="14">
                  <c:v>0.61055983542184455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37248"/>
        <c:axId val="473707584"/>
      </c:lineChart>
      <c:catAx>
        <c:axId val="24043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07584"/>
        <c:crosses val="autoZero"/>
        <c:auto val="1"/>
        <c:lblAlgn val="ctr"/>
        <c:lblOffset val="100"/>
        <c:noMultiLvlLbl val="0"/>
      </c:catAx>
      <c:valAx>
        <c:axId val="473707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0437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437760"/>
        <c:axId val="509779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437760"/>
        <c:axId val="509779968"/>
      </c:lineChart>
      <c:catAx>
        <c:axId val="24043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509779968"/>
        <c:crosses val="autoZero"/>
        <c:auto val="1"/>
        <c:lblAlgn val="ctr"/>
        <c:lblOffset val="100"/>
        <c:noMultiLvlLbl val="0"/>
      </c:catAx>
      <c:valAx>
        <c:axId val="509779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04377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5248</c:v>
                </c:pt>
                <c:pt idx="1">
                  <c:v>2882</c:v>
                </c:pt>
                <c:pt idx="2">
                  <c:v>9786</c:v>
                </c:pt>
                <c:pt idx="4">
                  <c:v>16036</c:v>
                </c:pt>
                <c:pt idx="5">
                  <c:v>3014</c:v>
                </c:pt>
                <c:pt idx="7">
                  <c:v>9862</c:v>
                </c:pt>
                <c:pt idx="8">
                  <c:v>578</c:v>
                </c:pt>
                <c:pt idx="10">
                  <c:v>11260</c:v>
                </c:pt>
                <c:pt idx="12">
                  <c:v>5084</c:v>
                </c:pt>
                <c:pt idx="13">
                  <c:v>4346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5250</c:v>
                </c:pt>
                <c:pt idx="1">
                  <c:v>2890</c:v>
                </c:pt>
                <c:pt idx="2">
                  <c:v>9790</c:v>
                </c:pt>
                <c:pt idx="3">
                  <c:v>1670</c:v>
                </c:pt>
                <c:pt idx="4">
                  <c:v>16040</c:v>
                </c:pt>
                <c:pt idx="5">
                  <c:v>3020</c:v>
                </c:pt>
                <c:pt idx="6">
                  <c:v>5500</c:v>
                </c:pt>
                <c:pt idx="7">
                  <c:v>9870</c:v>
                </c:pt>
                <c:pt idx="8">
                  <c:v>580</c:v>
                </c:pt>
                <c:pt idx="9">
                  <c:v>28230</c:v>
                </c:pt>
                <c:pt idx="10">
                  <c:v>11260</c:v>
                </c:pt>
                <c:pt idx="11">
                  <c:v>4630</c:v>
                </c:pt>
                <c:pt idx="12">
                  <c:v>5090</c:v>
                </c:pt>
                <c:pt idx="13">
                  <c:v>4350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23456"/>
        <c:axId val="509782848"/>
      </c:lineChart>
      <c:catAx>
        <c:axId val="2407234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82848"/>
        <c:crosses val="autoZero"/>
        <c:auto val="1"/>
        <c:lblAlgn val="ctr"/>
        <c:lblOffset val="100"/>
        <c:noMultiLvlLbl val="0"/>
      </c:catAx>
      <c:valAx>
        <c:axId val="509782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0723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100% 25% 96% 0% 100% 50% 0% 96% 42% 0% 100% 0% 100%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0.99961904761904763</c:v>
                </c:pt>
                <c:pt idx="1">
                  <c:v>0.24930795847750864</c:v>
                </c:pt>
                <c:pt idx="2">
                  <c:v>0.95794177732379993</c:v>
                </c:pt>
                <c:pt idx="3">
                  <c:v>0</c:v>
                </c:pt>
                <c:pt idx="4">
                  <c:v>0.99975062344139654</c:v>
                </c:pt>
                <c:pt idx="5">
                  <c:v>0.49900662251655631</c:v>
                </c:pt>
                <c:pt idx="6">
                  <c:v>0</c:v>
                </c:pt>
                <c:pt idx="7">
                  <c:v>0.95755656872678152</c:v>
                </c:pt>
                <c:pt idx="8">
                  <c:v>0.41522988505747127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0.99882121807465618</c:v>
                </c:pt>
                <c:pt idx="13">
                  <c:v>0.49954022988505747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0.50511826207481836</c:v>
                </c:pt>
                <c:pt idx="1">
                  <c:v>0.50511826207481836</c:v>
                </c:pt>
                <c:pt idx="2">
                  <c:v>0.50511826207481836</c:v>
                </c:pt>
                <c:pt idx="3">
                  <c:v>0.50511826207481836</c:v>
                </c:pt>
                <c:pt idx="4">
                  <c:v>0.50511826207481836</c:v>
                </c:pt>
                <c:pt idx="5">
                  <c:v>0.50511826207481836</c:v>
                </c:pt>
                <c:pt idx="6">
                  <c:v>0.50511826207481836</c:v>
                </c:pt>
                <c:pt idx="7">
                  <c:v>0.50511826207481836</c:v>
                </c:pt>
                <c:pt idx="8">
                  <c:v>0.50511826207481836</c:v>
                </c:pt>
                <c:pt idx="9">
                  <c:v>0.50511826207481836</c:v>
                </c:pt>
                <c:pt idx="10">
                  <c:v>0.50511826207481836</c:v>
                </c:pt>
                <c:pt idx="11">
                  <c:v>0.50511826207481836</c:v>
                </c:pt>
                <c:pt idx="12">
                  <c:v>0.50511826207481836</c:v>
                </c:pt>
                <c:pt idx="13">
                  <c:v>0.50511826207481836</c:v>
                </c:pt>
                <c:pt idx="14">
                  <c:v>0.50511826207481836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725504"/>
        <c:axId val="509785152"/>
      </c:lineChart>
      <c:catAx>
        <c:axId val="24072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9785152"/>
        <c:crosses val="autoZero"/>
        <c:auto val="1"/>
        <c:lblAlgn val="ctr"/>
        <c:lblOffset val="100"/>
        <c:noMultiLvlLbl val="0"/>
      </c:catAx>
      <c:valAx>
        <c:axId val="509785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072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5248</c:v>
                </c:pt>
                <c:pt idx="1">
                  <c:v>2882</c:v>
                </c:pt>
                <c:pt idx="2">
                  <c:v>9786</c:v>
                </c:pt>
                <c:pt idx="4">
                  <c:v>16036</c:v>
                </c:pt>
                <c:pt idx="5">
                  <c:v>3014</c:v>
                </c:pt>
                <c:pt idx="7">
                  <c:v>9862</c:v>
                </c:pt>
                <c:pt idx="8">
                  <c:v>578</c:v>
                </c:pt>
                <c:pt idx="10">
                  <c:v>11260</c:v>
                </c:pt>
                <c:pt idx="12">
                  <c:v>5084</c:v>
                </c:pt>
                <c:pt idx="13">
                  <c:v>4346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5250</c:v>
                </c:pt>
                <c:pt idx="1">
                  <c:v>2890</c:v>
                </c:pt>
                <c:pt idx="2">
                  <c:v>9790</c:v>
                </c:pt>
                <c:pt idx="3">
                  <c:v>1670</c:v>
                </c:pt>
                <c:pt idx="4">
                  <c:v>16040</c:v>
                </c:pt>
                <c:pt idx="5">
                  <c:v>3020</c:v>
                </c:pt>
                <c:pt idx="6">
                  <c:v>5500</c:v>
                </c:pt>
                <c:pt idx="7">
                  <c:v>9870</c:v>
                </c:pt>
                <c:pt idx="8">
                  <c:v>580</c:v>
                </c:pt>
                <c:pt idx="9">
                  <c:v>28230</c:v>
                </c:pt>
                <c:pt idx="10">
                  <c:v>11260</c:v>
                </c:pt>
                <c:pt idx="11">
                  <c:v>4630</c:v>
                </c:pt>
                <c:pt idx="12">
                  <c:v>5090</c:v>
                </c:pt>
                <c:pt idx="13">
                  <c:v>4350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18528"/>
        <c:axId val="509787456"/>
      </c:lineChart>
      <c:catAx>
        <c:axId val="240918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87456"/>
        <c:crosses val="autoZero"/>
        <c:auto val="1"/>
        <c:lblAlgn val="ctr"/>
        <c:lblOffset val="100"/>
        <c:noMultiLvlLbl val="0"/>
      </c:catAx>
      <c:valAx>
        <c:axId val="5097874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0918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100% 25% 96% 0% 100% 50% 0% 96% 42% 0% 100% 0% 100%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0.99961904761904763</c:v>
                </c:pt>
                <c:pt idx="1">
                  <c:v>0.24930795847750864</c:v>
                </c:pt>
                <c:pt idx="2">
                  <c:v>0.95794177732379993</c:v>
                </c:pt>
                <c:pt idx="3">
                  <c:v>0</c:v>
                </c:pt>
                <c:pt idx="4">
                  <c:v>0.99975062344139654</c:v>
                </c:pt>
                <c:pt idx="5">
                  <c:v>0.49900662251655631</c:v>
                </c:pt>
                <c:pt idx="6">
                  <c:v>0</c:v>
                </c:pt>
                <c:pt idx="7">
                  <c:v>0.95755656872678152</c:v>
                </c:pt>
                <c:pt idx="8">
                  <c:v>0.41522988505747127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0.99882121807465618</c:v>
                </c:pt>
                <c:pt idx="13">
                  <c:v>0.49954022988505747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3">
                  <c:v>SLIDER</c:v>
                </c:pt>
                <c:pt idx="4">
                  <c:v>SEPARATOR</c:v>
                </c:pt>
                <c:pt idx="5">
                  <c:v>SLIDER</c:v>
                </c:pt>
                <c:pt idx="6">
                  <c:v>FLOAT</c:v>
                </c:pt>
                <c:pt idx="7">
                  <c:v>BASE</c:v>
                </c:pt>
                <c:pt idx="8">
                  <c:v>BASE</c:v>
                </c:pt>
                <c:pt idx="10">
                  <c:v>STOPPER</c:v>
                </c:pt>
                <c:pt idx="11">
                  <c:v>CASE(7-SEGMENT)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0.50511826207481836</c:v>
                </c:pt>
                <c:pt idx="1">
                  <c:v>0.50511826207481836</c:v>
                </c:pt>
                <c:pt idx="2">
                  <c:v>0.50511826207481836</c:v>
                </c:pt>
                <c:pt idx="3">
                  <c:v>0.50511826207481836</c:v>
                </c:pt>
                <c:pt idx="4">
                  <c:v>0.50511826207481836</c:v>
                </c:pt>
                <c:pt idx="5">
                  <c:v>0.50511826207481836</c:v>
                </c:pt>
                <c:pt idx="6">
                  <c:v>0.50511826207481836</c:v>
                </c:pt>
                <c:pt idx="7">
                  <c:v>0.50511826207481836</c:v>
                </c:pt>
                <c:pt idx="8">
                  <c:v>0.50511826207481836</c:v>
                </c:pt>
                <c:pt idx="9">
                  <c:v>0.50511826207481836</c:v>
                </c:pt>
                <c:pt idx="10">
                  <c:v>0.50511826207481836</c:v>
                </c:pt>
                <c:pt idx="11">
                  <c:v>0.50511826207481836</c:v>
                </c:pt>
                <c:pt idx="12">
                  <c:v>0.50511826207481836</c:v>
                </c:pt>
                <c:pt idx="13">
                  <c:v>0.50511826207481836</c:v>
                </c:pt>
                <c:pt idx="14">
                  <c:v>0.50511826207481836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20064"/>
        <c:axId val="517342336"/>
      </c:lineChart>
      <c:catAx>
        <c:axId val="24092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17342336"/>
        <c:crosses val="autoZero"/>
        <c:auto val="1"/>
        <c:lblAlgn val="ctr"/>
        <c:lblOffset val="100"/>
        <c:noMultiLvlLbl val="0"/>
      </c:catAx>
      <c:valAx>
        <c:axId val="5173423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0920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920576"/>
        <c:axId val="5173452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20576"/>
        <c:axId val="517345216"/>
      </c:lineChart>
      <c:catAx>
        <c:axId val="24092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517345216"/>
        <c:crosses val="autoZero"/>
        <c:auto val="1"/>
        <c:lblAlgn val="ctr"/>
        <c:lblOffset val="100"/>
        <c:noMultiLvlLbl val="0"/>
      </c:catAx>
      <c:valAx>
        <c:axId val="517345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09205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5782</c:v>
                </c:pt>
                <c:pt idx="2">
                  <c:v>11300</c:v>
                </c:pt>
                <c:pt idx="3">
                  <c:v>2017</c:v>
                </c:pt>
                <c:pt idx="5">
                  <c:v>4086</c:v>
                </c:pt>
                <c:pt idx="6">
                  <c:v>1265</c:v>
                </c:pt>
                <c:pt idx="7">
                  <c:v>10768</c:v>
                </c:pt>
                <c:pt idx="8">
                  <c:v>779</c:v>
                </c:pt>
                <c:pt idx="9">
                  <c:v>867</c:v>
                </c:pt>
                <c:pt idx="10">
                  <c:v>1260</c:v>
                </c:pt>
                <c:pt idx="11">
                  <c:v>11242</c:v>
                </c:pt>
                <c:pt idx="12">
                  <c:v>2518</c:v>
                </c:pt>
                <c:pt idx="13">
                  <c:v>2994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5782</c:v>
                </c:pt>
                <c:pt idx="1">
                  <c:v>2890</c:v>
                </c:pt>
                <c:pt idx="2">
                  <c:v>11300</c:v>
                </c:pt>
                <c:pt idx="3">
                  <c:v>2017</c:v>
                </c:pt>
                <c:pt idx="4">
                  <c:v>16040</c:v>
                </c:pt>
                <c:pt idx="5">
                  <c:v>4086</c:v>
                </c:pt>
                <c:pt idx="6">
                  <c:v>1265</c:v>
                </c:pt>
                <c:pt idx="7">
                  <c:v>10768</c:v>
                </c:pt>
                <c:pt idx="8">
                  <c:v>779</c:v>
                </c:pt>
                <c:pt idx="9">
                  <c:v>867</c:v>
                </c:pt>
                <c:pt idx="10">
                  <c:v>1260</c:v>
                </c:pt>
                <c:pt idx="11">
                  <c:v>11250</c:v>
                </c:pt>
                <c:pt idx="12">
                  <c:v>2520</c:v>
                </c:pt>
                <c:pt idx="13">
                  <c:v>2994</c:v>
                </c:pt>
                <c:pt idx="14">
                  <c:v>4350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59552"/>
        <c:axId val="244219904"/>
      </c:lineChart>
      <c:catAx>
        <c:axId val="2415595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4219904"/>
        <c:crosses val="autoZero"/>
        <c:auto val="1"/>
        <c:lblAlgn val="ctr"/>
        <c:lblOffset val="100"/>
        <c:noMultiLvlLbl val="0"/>
      </c:catAx>
      <c:valAx>
        <c:axId val="244219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155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100% 0% 100% 50% 0% 83% 25% 100% 42% 21% 33% 100% 58% 71%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0.83333333333333337</c:v>
                </c:pt>
                <c:pt idx="6">
                  <c:v>0.25</c:v>
                </c:pt>
                <c:pt idx="7">
                  <c:v>1</c:v>
                </c:pt>
                <c:pt idx="8">
                  <c:v>0.41666666666666669</c:v>
                </c:pt>
                <c:pt idx="9">
                  <c:v>0.20833333333333334</c:v>
                </c:pt>
                <c:pt idx="10">
                  <c:v>0.33333333333333331</c:v>
                </c:pt>
                <c:pt idx="11">
                  <c:v>0.99928888888888889</c:v>
                </c:pt>
                <c:pt idx="12">
                  <c:v>0.58287037037037037</c:v>
                </c:pt>
                <c:pt idx="13">
                  <c:v>0.70833333333333337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0.52214395061728391</c:v>
                </c:pt>
                <c:pt idx="1">
                  <c:v>0.52214395061728391</c:v>
                </c:pt>
                <c:pt idx="2">
                  <c:v>0.52214395061728391</c:v>
                </c:pt>
                <c:pt idx="3">
                  <c:v>0.52214395061728391</c:v>
                </c:pt>
                <c:pt idx="4">
                  <c:v>0.52214395061728391</c:v>
                </c:pt>
                <c:pt idx="5">
                  <c:v>0.52214395061728391</c:v>
                </c:pt>
                <c:pt idx="6">
                  <c:v>0.52214395061728391</c:v>
                </c:pt>
                <c:pt idx="7">
                  <c:v>0.52214395061728391</c:v>
                </c:pt>
                <c:pt idx="8">
                  <c:v>0.52214395061728391</c:v>
                </c:pt>
                <c:pt idx="9">
                  <c:v>0.52214395061728391</c:v>
                </c:pt>
                <c:pt idx="10">
                  <c:v>0.52214395061728391</c:v>
                </c:pt>
                <c:pt idx="11">
                  <c:v>0.52214395061728391</c:v>
                </c:pt>
                <c:pt idx="12">
                  <c:v>0.52214395061728391</c:v>
                </c:pt>
                <c:pt idx="13">
                  <c:v>0.52214395061728391</c:v>
                </c:pt>
                <c:pt idx="14">
                  <c:v>0.52214395061728391</c:v>
                </c:pt>
                <c:pt idx="15">
                  <c:v>0.52214395061728391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61088"/>
        <c:axId val="244221632"/>
      </c:lineChart>
      <c:catAx>
        <c:axId val="24156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4221632"/>
        <c:crosses val="autoZero"/>
        <c:auto val="1"/>
        <c:lblAlgn val="ctr"/>
        <c:lblOffset val="100"/>
        <c:noMultiLvlLbl val="0"/>
      </c:catAx>
      <c:valAx>
        <c:axId val="2442216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156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5782</c:v>
                </c:pt>
                <c:pt idx="2">
                  <c:v>11300</c:v>
                </c:pt>
                <c:pt idx="3">
                  <c:v>2017</c:v>
                </c:pt>
                <c:pt idx="5">
                  <c:v>4086</c:v>
                </c:pt>
                <c:pt idx="6">
                  <c:v>1265</c:v>
                </c:pt>
                <c:pt idx="7">
                  <c:v>10768</c:v>
                </c:pt>
                <c:pt idx="8">
                  <c:v>779</c:v>
                </c:pt>
                <c:pt idx="9">
                  <c:v>867</c:v>
                </c:pt>
                <c:pt idx="10">
                  <c:v>1260</c:v>
                </c:pt>
                <c:pt idx="11">
                  <c:v>11242</c:v>
                </c:pt>
                <c:pt idx="12">
                  <c:v>2518</c:v>
                </c:pt>
                <c:pt idx="13">
                  <c:v>2994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5782</c:v>
                </c:pt>
                <c:pt idx="1">
                  <c:v>2890</c:v>
                </c:pt>
                <c:pt idx="2">
                  <c:v>11300</c:v>
                </c:pt>
                <c:pt idx="3">
                  <c:v>2017</c:v>
                </c:pt>
                <c:pt idx="4">
                  <c:v>16040</c:v>
                </c:pt>
                <c:pt idx="5">
                  <c:v>4086</c:v>
                </c:pt>
                <c:pt idx="6">
                  <c:v>1265</c:v>
                </c:pt>
                <c:pt idx="7">
                  <c:v>10768</c:v>
                </c:pt>
                <c:pt idx="8">
                  <c:v>779</c:v>
                </c:pt>
                <c:pt idx="9">
                  <c:v>867</c:v>
                </c:pt>
                <c:pt idx="10">
                  <c:v>1260</c:v>
                </c:pt>
                <c:pt idx="11">
                  <c:v>11250</c:v>
                </c:pt>
                <c:pt idx="12">
                  <c:v>2520</c:v>
                </c:pt>
                <c:pt idx="13">
                  <c:v>2994</c:v>
                </c:pt>
                <c:pt idx="14">
                  <c:v>4350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684480"/>
        <c:axId val="244223936"/>
      </c:lineChart>
      <c:catAx>
        <c:axId val="241684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4223936"/>
        <c:crosses val="autoZero"/>
        <c:auto val="1"/>
        <c:lblAlgn val="ctr"/>
        <c:lblOffset val="100"/>
        <c:noMultiLvlLbl val="0"/>
      </c:catAx>
      <c:valAx>
        <c:axId val="244223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1684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100% 0% 100% 50% 0% 83% 25% 100% 42% 21% 33% 100% 58% 71%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0.83333333333333337</c:v>
                </c:pt>
                <c:pt idx="6">
                  <c:v>0.25</c:v>
                </c:pt>
                <c:pt idx="7">
                  <c:v>1</c:v>
                </c:pt>
                <c:pt idx="8">
                  <c:v>0.41666666666666669</c:v>
                </c:pt>
                <c:pt idx="9">
                  <c:v>0.20833333333333334</c:v>
                </c:pt>
                <c:pt idx="10">
                  <c:v>0.33333333333333331</c:v>
                </c:pt>
                <c:pt idx="11">
                  <c:v>0.99928888888888889</c:v>
                </c:pt>
                <c:pt idx="12">
                  <c:v>0.58287037037037037</c:v>
                </c:pt>
                <c:pt idx="13">
                  <c:v>0.70833333333333337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BASE/UNDER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0.52214395061728391</c:v>
                </c:pt>
                <c:pt idx="1">
                  <c:v>0.52214395061728391</c:v>
                </c:pt>
                <c:pt idx="2">
                  <c:v>0.52214395061728391</c:v>
                </c:pt>
                <c:pt idx="3">
                  <c:v>0.52214395061728391</c:v>
                </c:pt>
                <c:pt idx="4">
                  <c:v>0.52214395061728391</c:v>
                </c:pt>
                <c:pt idx="5">
                  <c:v>0.52214395061728391</c:v>
                </c:pt>
                <c:pt idx="6">
                  <c:v>0.52214395061728391</c:v>
                </c:pt>
                <c:pt idx="7">
                  <c:v>0.52214395061728391</c:v>
                </c:pt>
                <c:pt idx="8">
                  <c:v>0.52214395061728391</c:v>
                </c:pt>
                <c:pt idx="9">
                  <c:v>0.52214395061728391</c:v>
                </c:pt>
                <c:pt idx="10">
                  <c:v>0.52214395061728391</c:v>
                </c:pt>
                <c:pt idx="11">
                  <c:v>0.52214395061728391</c:v>
                </c:pt>
                <c:pt idx="12">
                  <c:v>0.52214395061728391</c:v>
                </c:pt>
                <c:pt idx="13">
                  <c:v>0.52214395061728391</c:v>
                </c:pt>
                <c:pt idx="14">
                  <c:v>0.52214395061728391</c:v>
                </c:pt>
                <c:pt idx="15">
                  <c:v>0.52214395061728391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685504"/>
        <c:axId val="244225664"/>
      </c:lineChart>
      <c:catAx>
        <c:axId val="24168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4225664"/>
        <c:crosses val="autoZero"/>
        <c:auto val="1"/>
        <c:lblAlgn val="ctr"/>
        <c:lblOffset val="100"/>
        <c:noMultiLvlLbl val="0"/>
      </c:catAx>
      <c:valAx>
        <c:axId val="244225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168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921088"/>
        <c:axId val="2444001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21088"/>
        <c:axId val="244400128"/>
      </c:lineChart>
      <c:catAx>
        <c:axId val="24092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44400128"/>
        <c:crosses val="autoZero"/>
        <c:auto val="1"/>
        <c:lblAlgn val="ctr"/>
        <c:lblOffset val="100"/>
        <c:noMultiLvlLbl val="0"/>
      </c:catAx>
      <c:valAx>
        <c:axId val="2444001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092108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1076</c:v>
                </c:pt>
                <c:pt idx="2">
                  <c:v>9134</c:v>
                </c:pt>
                <c:pt idx="3">
                  <c:v>1262</c:v>
                </c:pt>
                <c:pt idx="4">
                  <c:v>1001</c:v>
                </c:pt>
                <c:pt idx="5">
                  <c:v>6043</c:v>
                </c:pt>
                <c:pt idx="6">
                  <c:v>3160</c:v>
                </c:pt>
                <c:pt idx="7">
                  <c:v>10832</c:v>
                </c:pt>
                <c:pt idx="9">
                  <c:v>590</c:v>
                </c:pt>
                <c:pt idx="10">
                  <c:v>8022</c:v>
                </c:pt>
                <c:pt idx="11">
                  <c:v>1720</c:v>
                </c:pt>
                <c:pt idx="13">
                  <c:v>5501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1076</c:v>
                </c:pt>
                <c:pt idx="1">
                  <c:v>2890</c:v>
                </c:pt>
                <c:pt idx="2">
                  <c:v>9140</c:v>
                </c:pt>
                <c:pt idx="3">
                  <c:v>1262</c:v>
                </c:pt>
                <c:pt idx="4">
                  <c:v>1001</c:v>
                </c:pt>
                <c:pt idx="5">
                  <c:v>6050</c:v>
                </c:pt>
                <c:pt idx="6">
                  <c:v>3160</c:v>
                </c:pt>
                <c:pt idx="7">
                  <c:v>10840</c:v>
                </c:pt>
                <c:pt idx="8">
                  <c:v>779</c:v>
                </c:pt>
                <c:pt idx="9">
                  <c:v>590</c:v>
                </c:pt>
                <c:pt idx="10">
                  <c:v>8030</c:v>
                </c:pt>
                <c:pt idx="11">
                  <c:v>1720</c:v>
                </c:pt>
                <c:pt idx="12">
                  <c:v>2520</c:v>
                </c:pt>
                <c:pt idx="13">
                  <c:v>5501</c:v>
                </c:pt>
                <c:pt idx="14">
                  <c:v>4350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05056"/>
        <c:axId val="244403008"/>
      </c:lineChart>
      <c:catAx>
        <c:axId val="242605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4403008"/>
        <c:crosses val="autoZero"/>
        <c:auto val="1"/>
        <c:lblAlgn val="ctr"/>
        <c:lblOffset val="100"/>
        <c:noMultiLvlLbl val="0"/>
      </c:catAx>
      <c:valAx>
        <c:axId val="2444030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260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25% 0% 100% 29% 29% 100% 75% 100% 0% 17% 79% 17% 0% 100%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0.25</c:v>
                </c:pt>
                <c:pt idx="1">
                  <c:v>0</c:v>
                </c:pt>
                <c:pt idx="2">
                  <c:v>0.99934354485776811</c:v>
                </c:pt>
                <c:pt idx="3">
                  <c:v>0.29166666666666669</c:v>
                </c:pt>
                <c:pt idx="4">
                  <c:v>0.29166666666666669</c:v>
                </c:pt>
                <c:pt idx="5">
                  <c:v>0.99884297520661158</c:v>
                </c:pt>
                <c:pt idx="6">
                  <c:v>0.75</c:v>
                </c:pt>
                <c:pt idx="7">
                  <c:v>0.99926199261992621</c:v>
                </c:pt>
                <c:pt idx="8">
                  <c:v>0</c:v>
                </c:pt>
                <c:pt idx="9">
                  <c:v>0.16666666666666666</c:v>
                </c:pt>
                <c:pt idx="10">
                  <c:v>0.79087795765877955</c:v>
                </c:pt>
                <c:pt idx="11">
                  <c:v>0.16666666666666666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0.44699954246731688</c:v>
                </c:pt>
                <c:pt idx="1">
                  <c:v>0.44699954246731688</c:v>
                </c:pt>
                <c:pt idx="2">
                  <c:v>0.44699954246731688</c:v>
                </c:pt>
                <c:pt idx="3">
                  <c:v>0.44699954246731688</c:v>
                </c:pt>
                <c:pt idx="4">
                  <c:v>0.44699954246731688</c:v>
                </c:pt>
                <c:pt idx="5">
                  <c:v>0.44699954246731688</c:v>
                </c:pt>
                <c:pt idx="6">
                  <c:v>0.44699954246731688</c:v>
                </c:pt>
                <c:pt idx="7">
                  <c:v>0.44699954246731688</c:v>
                </c:pt>
                <c:pt idx="8">
                  <c:v>0.44699954246731688</c:v>
                </c:pt>
                <c:pt idx="9">
                  <c:v>0.44699954246731688</c:v>
                </c:pt>
                <c:pt idx="10">
                  <c:v>0.44699954246731688</c:v>
                </c:pt>
                <c:pt idx="11">
                  <c:v>0.44699954246731688</c:v>
                </c:pt>
                <c:pt idx="12">
                  <c:v>0.44699954246731688</c:v>
                </c:pt>
                <c:pt idx="13">
                  <c:v>0.44699954246731688</c:v>
                </c:pt>
                <c:pt idx="14">
                  <c:v>0.44699954246731688</c:v>
                </c:pt>
                <c:pt idx="15">
                  <c:v>0.44699954246731688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770432"/>
        <c:axId val="244405888"/>
      </c:lineChart>
      <c:catAx>
        <c:axId val="24277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4405888"/>
        <c:crosses val="autoZero"/>
        <c:auto val="1"/>
        <c:lblAlgn val="ctr"/>
        <c:lblOffset val="100"/>
        <c:noMultiLvlLbl val="0"/>
      </c:catAx>
      <c:valAx>
        <c:axId val="244405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2770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'10'!$L$6:$L$21</c:f>
              <c:numCache>
                <c:formatCode>_(* #,##0_);_(* \(#,##0\);_(* "-"_);_(@_)</c:formatCode>
                <c:ptCount val="16"/>
                <c:pt idx="0">
                  <c:v>1076</c:v>
                </c:pt>
                <c:pt idx="2">
                  <c:v>9134</c:v>
                </c:pt>
                <c:pt idx="3">
                  <c:v>1262</c:v>
                </c:pt>
                <c:pt idx="4">
                  <c:v>1001</c:v>
                </c:pt>
                <c:pt idx="5">
                  <c:v>6043</c:v>
                </c:pt>
                <c:pt idx="6">
                  <c:v>3160</c:v>
                </c:pt>
                <c:pt idx="7">
                  <c:v>10832</c:v>
                </c:pt>
                <c:pt idx="9">
                  <c:v>590</c:v>
                </c:pt>
                <c:pt idx="10">
                  <c:v>8022</c:v>
                </c:pt>
                <c:pt idx="11">
                  <c:v>1720</c:v>
                </c:pt>
                <c:pt idx="13">
                  <c:v>5501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'10'!$J$6:$J$21</c:f>
              <c:numCache>
                <c:formatCode>_(* #,##0_);_(* \(#,##0\);_(* "-"_);_(@_)</c:formatCode>
                <c:ptCount val="16"/>
                <c:pt idx="0">
                  <c:v>1076</c:v>
                </c:pt>
                <c:pt idx="1">
                  <c:v>2890</c:v>
                </c:pt>
                <c:pt idx="2">
                  <c:v>9140</c:v>
                </c:pt>
                <c:pt idx="3">
                  <c:v>1262</c:v>
                </c:pt>
                <c:pt idx="4">
                  <c:v>1001</c:v>
                </c:pt>
                <c:pt idx="5">
                  <c:v>6050</c:v>
                </c:pt>
                <c:pt idx="6">
                  <c:v>3160</c:v>
                </c:pt>
                <c:pt idx="7">
                  <c:v>10840</c:v>
                </c:pt>
                <c:pt idx="8">
                  <c:v>779</c:v>
                </c:pt>
                <c:pt idx="9">
                  <c:v>590</c:v>
                </c:pt>
                <c:pt idx="10">
                  <c:v>8030</c:v>
                </c:pt>
                <c:pt idx="11">
                  <c:v>1720</c:v>
                </c:pt>
                <c:pt idx="12">
                  <c:v>2520</c:v>
                </c:pt>
                <c:pt idx="13">
                  <c:v>5501</c:v>
                </c:pt>
                <c:pt idx="14">
                  <c:v>4350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770944"/>
        <c:axId val="244211712"/>
      </c:lineChart>
      <c:catAx>
        <c:axId val="2427709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4211712"/>
        <c:crosses val="autoZero"/>
        <c:auto val="1"/>
        <c:lblAlgn val="ctr"/>
        <c:lblOffset val="100"/>
        <c:noMultiLvlLbl val="0"/>
      </c:catAx>
      <c:valAx>
        <c:axId val="244211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2770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'10'!$AD$6:$AD$21</c:f>
              <c:strCache>
                <c:ptCount val="1"/>
                <c:pt idx="0">
                  <c:v>25% 0% 100% 29% 29% 100% 75% 100% 0% 17% 79% 17% 0% 100%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'10'!$AD$6:$AD$21</c:f>
              <c:numCache>
                <c:formatCode>0%</c:formatCode>
                <c:ptCount val="16"/>
                <c:pt idx="0">
                  <c:v>0.25</c:v>
                </c:pt>
                <c:pt idx="1">
                  <c:v>0</c:v>
                </c:pt>
                <c:pt idx="2">
                  <c:v>0.99934354485776811</c:v>
                </c:pt>
                <c:pt idx="3">
                  <c:v>0.29166666666666669</c:v>
                </c:pt>
                <c:pt idx="4">
                  <c:v>0.29166666666666669</c:v>
                </c:pt>
                <c:pt idx="5">
                  <c:v>0.99884297520661158</c:v>
                </c:pt>
                <c:pt idx="6">
                  <c:v>0.75</c:v>
                </c:pt>
                <c:pt idx="7">
                  <c:v>0.99926199261992621</c:v>
                </c:pt>
                <c:pt idx="8">
                  <c:v>0</c:v>
                </c:pt>
                <c:pt idx="9">
                  <c:v>0.16666666666666666</c:v>
                </c:pt>
                <c:pt idx="10">
                  <c:v>0.79087795765877955</c:v>
                </c:pt>
                <c:pt idx="11">
                  <c:v>0.16666666666666666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'10'!$D$6:$D$21</c:f>
              <c:strCache>
                <c:ptCount val="15"/>
                <c:pt idx="0">
                  <c:v>COVER</c:v>
                </c:pt>
                <c:pt idx="1">
                  <c:v>ARM</c:v>
                </c:pt>
                <c:pt idx="2">
                  <c:v>LEAD GUIDE</c:v>
                </c:pt>
                <c:pt idx="4">
                  <c:v>M2 CONN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BASE/UNDER</c:v>
                </c:pt>
                <c:pt idx="10">
                  <c:v>STOPPER</c:v>
                </c:pt>
                <c:pt idx="11">
                  <c:v>STOPPER</c:v>
                </c:pt>
                <c:pt idx="12">
                  <c:v>FLOATING</c:v>
                </c:pt>
                <c:pt idx="13">
                  <c:v>ACTUATOR</c:v>
                </c:pt>
                <c:pt idx="14">
                  <c:v>SPACER A,B,C</c:v>
                </c:pt>
              </c:strCache>
            </c:strRef>
          </c:cat>
          <c:val>
            <c:numRef>
              <c:f>'10'!$AE$6:$AE$21</c:f>
              <c:numCache>
                <c:formatCode>0%</c:formatCode>
                <c:ptCount val="16"/>
                <c:pt idx="0">
                  <c:v>0.44699954246731688</c:v>
                </c:pt>
                <c:pt idx="1">
                  <c:v>0.44699954246731688</c:v>
                </c:pt>
                <c:pt idx="2">
                  <c:v>0.44699954246731688</c:v>
                </c:pt>
                <c:pt idx="3">
                  <c:v>0.44699954246731688</c:v>
                </c:pt>
                <c:pt idx="4">
                  <c:v>0.44699954246731688</c:v>
                </c:pt>
                <c:pt idx="5">
                  <c:v>0.44699954246731688</c:v>
                </c:pt>
                <c:pt idx="6">
                  <c:v>0.44699954246731688</c:v>
                </c:pt>
                <c:pt idx="7">
                  <c:v>0.44699954246731688</c:v>
                </c:pt>
                <c:pt idx="8">
                  <c:v>0.44699954246731688</c:v>
                </c:pt>
                <c:pt idx="9">
                  <c:v>0.44699954246731688</c:v>
                </c:pt>
                <c:pt idx="10">
                  <c:v>0.44699954246731688</c:v>
                </c:pt>
                <c:pt idx="11">
                  <c:v>0.44699954246731688</c:v>
                </c:pt>
                <c:pt idx="12">
                  <c:v>0.44699954246731688</c:v>
                </c:pt>
                <c:pt idx="13">
                  <c:v>0.44699954246731688</c:v>
                </c:pt>
                <c:pt idx="14">
                  <c:v>0.44699954246731688</c:v>
                </c:pt>
                <c:pt idx="15">
                  <c:v>0.44699954246731688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771968"/>
        <c:axId val="244213440"/>
      </c:lineChart>
      <c:catAx>
        <c:axId val="24277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4213440"/>
        <c:crosses val="autoZero"/>
        <c:auto val="1"/>
        <c:lblAlgn val="ctr"/>
        <c:lblOffset val="100"/>
        <c:noMultiLvlLbl val="0"/>
      </c:catAx>
      <c:valAx>
        <c:axId val="244213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2771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772480"/>
        <c:axId val="2442157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772480"/>
        <c:axId val="244215744"/>
      </c:lineChart>
      <c:catAx>
        <c:axId val="242772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4215744"/>
        <c:crosses val="autoZero"/>
        <c:auto val="1"/>
        <c:lblAlgn val="ctr"/>
        <c:lblOffset val="100"/>
        <c:noMultiLvlLbl val="0"/>
      </c:catAx>
      <c:valAx>
        <c:axId val="2442157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27724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1955</c:v>
                </c:pt>
                <c:pt idx="5">
                  <c:v>4492</c:v>
                </c:pt>
                <c:pt idx="6">
                  <c:v>2450</c:v>
                </c:pt>
                <c:pt idx="8">
                  <c:v>823</c:v>
                </c:pt>
                <c:pt idx="9">
                  <c:v>600</c:v>
                </c:pt>
                <c:pt idx="10">
                  <c:v>9598</c:v>
                </c:pt>
                <c:pt idx="12">
                  <c:v>4276</c:v>
                </c:pt>
                <c:pt idx="13">
                  <c:v>3100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1960</c:v>
                </c:pt>
                <c:pt idx="3">
                  <c:v>1262</c:v>
                </c:pt>
                <c:pt idx="4">
                  <c:v>16040</c:v>
                </c:pt>
                <c:pt idx="5">
                  <c:v>4492</c:v>
                </c:pt>
                <c:pt idx="6">
                  <c:v>2450</c:v>
                </c:pt>
                <c:pt idx="7">
                  <c:v>10840</c:v>
                </c:pt>
                <c:pt idx="8">
                  <c:v>823</c:v>
                </c:pt>
                <c:pt idx="9">
                  <c:v>600</c:v>
                </c:pt>
                <c:pt idx="10">
                  <c:v>9600</c:v>
                </c:pt>
                <c:pt idx="11">
                  <c:v>2520</c:v>
                </c:pt>
                <c:pt idx="12">
                  <c:v>4280</c:v>
                </c:pt>
                <c:pt idx="13">
                  <c:v>3100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165568"/>
        <c:axId val="244218624"/>
      </c:lineChart>
      <c:catAx>
        <c:axId val="245165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4218624"/>
        <c:crosses val="autoZero"/>
        <c:auto val="1"/>
        <c:lblAlgn val="ctr"/>
        <c:lblOffset val="100"/>
        <c:noMultiLvlLbl val="0"/>
      </c:catAx>
      <c:valAx>
        <c:axId val="244218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516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66% 0% 0% 92% 58% 0% 50% 17% 100% 0% 100%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0.66496598639455784</c:v>
                </c:pt>
                <c:pt idx="3">
                  <c:v>0</c:v>
                </c:pt>
                <c:pt idx="4">
                  <c:v>0</c:v>
                </c:pt>
                <c:pt idx="5">
                  <c:v>0.91666666666666663</c:v>
                </c:pt>
                <c:pt idx="6">
                  <c:v>0.58333333333333337</c:v>
                </c:pt>
                <c:pt idx="7">
                  <c:v>0</c:v>
                </c:pt>
                <c:pt idx="8">
                  <c:v>0.5</c:v>
                </c:pt>
                <c:pt idx="9">
                  <c:v>0.16666666666666666</c:v>
                </c:pt>
                <c:pt idx="10">
                  <c:v>0.99979166666666663</c:v>
                </c:pt>
                <c:pt idx="11">
                  <c:v>0</c:v>
                </c:pt>
                <c:pt idx="12">
                  <c:v>0.99906542056074765</c:v>
                </c:pt>
                <c:pt idx="13">
                  <c:v>0.54166666666666663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0.35814376046368707</c:v>
                </c:pt>
                <c:pt idx="1">
                  <c:v>0.35814376046368707</c:v>
                </c:pt>
                <c:pt idx="2">
                  <c:v>0.35814376046368707</c:v>
                </c:pt>
                <c:pt idx="3">
                  <c:v>0.35814376046368707</c:v>
                </c:pt>
                <c:pt idx="4">
                  <c:v>0.35814376046368707</c:v>
                </c:pt>
                <c:pt idx="5">
                  <c:v>0.35814376046368707</c:v>
                </c:pt>
                <c:pt idx="6">
                  <c:v>0.35814376046368707</c:v>
                </c:pt>
                <c:pt idx="7">
                  <c:v>0.35814376046368707</c:v>
                </c:pt>
                <c:pt idx="8">
                  <c:v>0.35814376046368707</c:v>
                </c:pt>
                <c:pt idx="9">
                  <c:v>0.35814376046368707</c:v>
                </c:pt>
                <c:pt idx="10">
                  <c:v>0.35814376046368707</c:v>
                </c:pt>
                <c:pt idx="11">
                  <c:v>0.35814376046368707</c:v>
                </c:pt>
                <c:pt idx="12">
                  <c:v>0.35814376046368707</c:v>
                </c:pt>
                <c:pt idx="13">
                  <c:v>0.35814376046368707</c:v>
                </c:pt>
                <c:pt idx="14">
                  <c:v>0.35814376046368707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285504"/>
        <c:axId val="276472384"/>
      </c:lineChart>
      <c:catAx>
        <c:axId val="25928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6472384"/>
        <c:crosses val="autoZero"/>
        <c:auto val="1"/>
        <c:lblAlgn val="ctr"/>
        <c:lblOffset val="100"/>
        <c:noMultiLvlLbl val="0"/>
      </c:catAx>
      <c:valAx>
        <c:axId val="276472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928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2">
                  <c:v>1955</c:v>
                </c:pt>
                <c:pt idx="5">
                  <c:v>4492</c:v>
                </c:pt>
                <c:pt idx="6">
                  <c:v>2450</c:v>
                </c:pt>
                <c:pt idx="8">
                  <c:v>823</c:v>
                </c:pt>
                <c:pt idx="9">
                  <c:v>600</c:v>
                </c:pt>
                <c:pt idx="10">
                  <c:v>9598</c:v>
                </c:pt>
                <c:pt idx="12">
                  <c:v>4276</c:v>
                </c:pt>
                <c:pt idx="13">
                  <c:v>3100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1960</c:v>
                </c:pt>
                <c:pt idx="3">
                  <c:v>1262</c:v>
                </c:pt>
                <c:pt idx="4">
                  <c:v>16040</c:v>
                </c:pt>
                <c:pt idx="5">
                  <c:v>4492</c:v>
                </c:pt>
                <c:pt idx="6">
                  <c:v>2450</c:v>
                </c:pt>
                <c:pt idx="7">
                  <c:v>10840</c:v>
                </c:pt>
                <c:pt idx="8">
                  <c:v>823</c:v>
                </c:pt>
                <c:pt idx="9">
                  <c:v>600</c:v>
                </c:pt>
                <c:pt idx="10">
                  <c:v>9600</c:v>
                </c:pt>
                <c:pt idx="11">
                  <c:v>2520</c:v>
                </c:pt>
                <c:pt idx="12">
                  <c:v>4280</c:v>
                </c:pt>
                <c:pt idx="13">
                  <c:v>3100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286528"/>
        <c:axId val="276474688"/>
      </c:lineChart>
      <c:catAx>
        <c:axId val="259286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76474688"/>
        <c:crosses val="autoZero"/>
        <c:auto val="1"/>
        <c:lblAlgn val="ctr"/>
        <c:lblOffset val="100"/>
        <c:noMultiLvlLbl val="0"/>
      </c:catAx>
      <c:valAx>
        <c:axId val="276474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59286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66% 0% 0% 92% 58% 0% 50% 17% 100% 0% 100%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0.66496598639455784</c:v>
                </c:pt>
                <c:pt idx="3">
                  <c:v>0</c:v>
                </c:pt>
                <c:pt idx="4">
                  <c:v>0</c:v>
                </c:pt>
                <c:pt idx="5">
                  <c:v>0.91666666666666663</c:v>
                </c:pt>
                <c:pt idx="6">
                  <c:v>0.58333333333333337</c:v>
                </c:pt>
                <c:pt idx="7">
                  <c:v>0</c:v>
                </c:pt>
                <c:pt idx="8">
                  <c:v>0.5</c:v>
                </c:pt>
                <c:pt idx="9">
                  <c:v>0.16666666666666666</c:v>
                </c:pt>
                <c:pt idx="10">
                  <c:v>0.99979166666666663</c:v>
                </c:pt>
                <c:pt idx="11">
                  <c:v>0</c:v>
                </c:pt>
                <c:pt idx="12">
                  <c:v>0.99906542056074765</c:v>
                </c:pt>
                <c:pt idx="13">
                  <c:v>0.54166666666666663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FLOATING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0.35814376046368707</c:v>
                </c:pt>
                <c:pt idx="1">
                  <c:v>0.35814376046368707</c:v>
                </c:pt>
                <c:pt idx="2">
                  <c:v>0.35814376046368707</c:v>
                </c:pt>
                <c:pt idx="3">
                  <c:v>0.35814376046368707</c:v>
                </c:pt>
                <c:pt idx="4">
                  <c:v>0.35814376046368707</c:v>
                </c:pt>
                <c:pt idx="5">
                  <c:v>0.35814376046368707</c:v>
                </c:pt>
                <c:pt idx="6">
                  <c:v>0.35814376046368707</c:v>
                </c:pt>
                <c:pt idx="7">
                  <c:v>0.35814376046368707</c:v>
                </c:pt>
                <c:pt idx="8">
                  <c:v>0.35814376046368707</c:v>
                </c:pt>
                <c:pt idx="9">
                  <c:v>0.35814376046368707</c:v>
                </c:pt>
                <c:pt idx="10">
                  <c:v>0.35814376046368707</c:v>
                </c:pt>
                <c:pt idx="11">
                  <c:v>0.35814376046368707</c:v>
                </c:pt>
                <c:pt idx="12">
                  <c:v>0.35814376046368707</c:v>
                </c:pt>
                <c:pt idx="13">
                  <c:v>0.35814376046368707</c:v>
                </c:pt>
                <c:pt idx="14">
                  <c:v>0.35814376046368707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287040"/>
        <c:axId val="276476416"/>
      </c:lineChart>
      <c:catAx>
        <c:axId val="25928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6476416"/>
        <c:crosses val="autoZero"/>
        <c:auto val="1"/>
        <c:lblAlgn val="ctr"/>
        <c:lblOffset val="100"/>
        <c:noMultiLvlLbl val="0"/>
      </c:catAx>
      <c:valAx>
        <c:axId val="276476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5928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287552"/>
        <c:axId val="2764787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287552"/>
        <c:axId val="276478720"/>
      </c:lineChart>
      <c:catAx>
        <c:axId val="25928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76478720"/>
        <c:crosses val="autoZero"/>
        <c:auto val="1"/>
        <c:lblAlgn val="ctr"/>
        <c:lblOffset val="100"/>
        <c:noMultiLvlLbl val="0"/>
      </c:catAx>
      <c:valAx>
        <c:axId val="276478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92875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3323</c:v>
                </c:pt>
                <c:pt idx="4">
                  <c:v>6534</c:v>
                </c:pt>
                <c:pt idx="5">
                  <c:v>5597</c:v>
                </c:pt>
                <c:pt idx="6">
                  <c:v>715</c:v>
                </c:pt>
                <c:pt idx="7">
                  <c:v>2567</c:v>
                </c:pt>
                <c:pt idx="8">
                  <c:v>778</c:v>
                </c:pt>
                <c:pt idx="10">
                  <c:v>11782</c:v>
                </c:pt>
                <c:pt idx="11">
                  <c:v>434</c:v>
                </c:pt>
                <c:pt idx="12">
                  <c:v>2806</c:v>
                </c:pt>
                <c:pt idx="13">
                  <c:v>6733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3323</c:v>
                </c:pt>
                <c:pt idx="3">
                  <c:v>1262</c:v>
                </c:pt>
                <c:pt idx="4">
                  <c:v>6540</c:v>
                </c:pt>
                <c:pt idx="5">
                  <c:v>5600</c:v>
                </c:pt>
                <c:pt idx="6">
                  <c:v>715</c:v>
                </c:pt>
                <c:pt idx="7">
                  <c:v>2567</c:v>
                </c:pt>
                <c:pt idx="8">
                  <c:v>778</c:v>
                </c:pt>
                <c:pt idx="9">
                  <c:v>600</c:v>
                </c:pt>
                <c:pt idx="10">
                  <c:v>11782</c:v>
                </c:pt>
                <c:pt idx="11">
                  <c:v>434</c:v>
                </c:pt>
                <c:pt idx="12">
                  <c:v>2810</c:v>
                </c:pt>
                <c:pt idx="13">
                  <c:v>6740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395392"/>
        <c:axId val="285460160"/>
      </c:lineChart>
      <c:catAx>
        <c:axId val="2623953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5460160"/>
        <c:crosses val="autoZero"/>
        <c:auto val="1"/>
        <c:lblAlgn val="ctr"/>
        <c:lblOffset val="100"/>
        <c:noMultiLvlLbl val="0"/>
      </c:catAx>
      <c:valAx>
        <c:axId val="2854601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2395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0% 100% 0% 50% 100% 13% 58% 50% 0% 100% 17% 58%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0.49954128440366974</c:v>
                </c:pt>
                <c:pt idx="5">
                  <c:v>0.99946428571428569</c:v>
                </c:pt>
                <c:pt idx="6">
                  <c:v>0.125</c:v>
                </c:pt>
                <c:pt idx="7">
                  <c:v>0.58333333333333337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0.58250296559905101</c:v>
                </c:pt>
                <c:pt idx="13">
                  <c:v>0.99896142433234425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0.43036466400329004</c:v>
                </c:pt>
                <c:pt idx="1">
                  <c:v>0.43036466400329004</c:v>
                </c:pt>
                <c:pt idx="2">
                  <c:v>0.43036466400329004</c:v>
                </c:pt>
                <c:pt idx="3">
                  <c:v>0.43036466400329004</c:v>
                </c:pt>
                <c:pt idx="4">
                  <c:v>0.43036466400329004</c:v>
                </c:pt>
                <c:pt idx="5">
                  <c:v>0.43036466400329004</c:v>
                </c:pt>
                <c:pt idx="6">
                  <c:v>0.43036466400329004</c:v>
                </c:pt>
                <c:pt idx="7">
                  <c:v>0.43036466400329004</c:v>
                </c:pt>
                <c:pt idx="8">
                  <c:v>0.43036466400329004</c:v>
                </c:pt>
                <c:pt idx="9">
                  <c:v>0.43036466400329004</c:v>
                </c:pt>
                <c:pt idx="10">
                  <c:v>0.43036466400329004</c:v>
                </c:pt>
                <c:pt idx="11">
                  <c:v>0.43036466400329004</c:v>
                </c:pt>
                <c:pt idx="12">
                  <c:v>0.43036466400329004</c:v>
                </c:pt>
                <c:pt idx="13">
                  <c:v>0.43036466400329004</c:v>
                </c:pt>
                <c:pt idx="14">
                  <c:v>0.43036466400329004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397440"/>
        <c:axId val="285461888"/>
      </c:lineChart>
      <c:catAx>
        <c:axId val="2623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5461888"/>
        <c:crosses val="autoZero"/>
        <c:auto val="1"/>
        <c:lblAlgn val="ctr"/>
        <c:lblOffset val="100"/>
        <c:noMultiLvlLbl val="0"/>
      </c:catAx>
      <c:valAx>
        <c:axId val="285461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2397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2">
                  <c:v>3323</c:v>
                </c:pt>
                <c:pt idx="4">
                  <c:v>6534</c:v>
                </c:pt>
                <c:pt idx="5">
                  <c:v>5597</c:v>
                </c:pt>
                <c:pt idx="6">
                  <c:v>715</c:v>
                </c:pt>
                <c:pt idx="7">
                  <c:v>2567</c:v>
                </c:pt>
                <c:pt idx="8">
                  <c:v>778</c:v>
                </c:pt>
                <c:pt idx="10">
                  <c:v>11782</c:v>
                </c:pt>
                <c:pt idx="11">
                  <c:v>434</c:v>
                </c:pt>
                <c:pt idx="12">
                  <c:v>2806</c:v>
                </c:pt>
                <c:pt idx="13">
                  <c:v>6733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3323</c:v>
                </c:pt>
                <c:pt idx="3">
                  <c:v>1262</c:v>
                </c:pt>
                <c:pt idx="4">
                  <c:v>6540</c:v>
                </c:pt>
                <c:pt idx="5">
                  <c:v>5600</c:v>
                </c:pt>
                <c:pt idx="6">
                  <c:v>715</c:v>
                </c:pt>
                <c:pt idx="7">
                  <c:v>2567</c:v>
                </c:pt>
                <c:pt idx="8">
                  <c:v>778</c:v>
                </c:pt>
                <c:pt idx="9">
                  <c:v>600</c:v>
                </c:pt>
                <c:pt idx="10">
                  <c:v>11782</c:v>
                </c:pt>
                <c:pt idx="11">
                  <c:v>434</c:v>
                </c:pt>
                <c:pt idx="12">
                  <c:v>2810</c:v>
                </c:pt>
                <c:pt idx="13">
                  <c:v>6740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844416"/>
        <c:axId val="285464192"/>
      </c:lineChart>
      <c:catAx>
        <c:axId val="2628444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5464192"/>
        <c:crosses val="autoZero"/>
        <c:auto val="1"/>
        <c:lblAlgn val="ctr"/>
        <c:lblOffset val="100"/>
        <c:noMultiLvlLbl val="0"/>
      </c:catAx>
      <c:valAx>
        <c:axId val="2854641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6284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0% 100% 0% 50% 100% 13% 58% 50% 0% 100% 17% 58%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0.49954128440366974</c:v>
                </c:pt>
                <c:pt idx="5">
                  <c:v>0.99946428571428569</c:v>
                </c:pt>
                <c:pt idx="6">
                  <c:v>0.125</c:v>
                </c:pt>
                <c:pt idx="7">
                  <c:v>0.58333333333333337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0.16666666666666666</c:v>
                </c:pt>
                <c:pt idx="12">
                  <c:v>0.58250296559905101</c:v>
                </c:pt>
                <c:pt idx="13">
                  <c:v>0.99896142433234425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BOTTOM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0.43036466400329004</c:v>
                </c:pt>
                <c:pt idx="1">
                  <c:v>0.43036466400329004</c:v>
                </c:pt>
                <c:pt idx="2">
                  <c:v>0.43036466400329004</c:v>
                </c:pt>
                <c:pt idx="3">
                  <c:v>0.43036466400329004</c:v>
                </c:pt>
                <c:pt idx="4">
                  <c:v>0.43036466400329004</c:v>
                </c:pt>
                <c:pt idx="5">
                  <c:v>0.43036466400329004</c:v>
                </c:pt>
                <c:pt idx="6">
                  <c:v>0.43036466400329004</c:v>
                </c:pt>
                <c:pt idx="7">
                  <c:v>0.43036466400329004</c:v>
                </c:pt>
                <c:pt idx="8">
                  <c:v>0.43036466400329004</c:v>
                </c:pt>
                <c:pt idx="9">
                  <c:v>0.43036466400329004</c:v>
                </c:pt>
                <c:pt idx="10">
                  <c:v>0.43036466400329004</c:v>
                </c:pt>
                <c:pt idx="11">
                  <c:v>0.43036466400329004</c:v>
                </c:pt>
                <c:pt idx="12">
                  <c:v>0.43036466400329004</c:v>
                </c:pt>
                <c:pt idx="13">
                  <c:v>0.43036466400329004</c:v>
                </c:pt>
                <c:pt idx="14">
                  <c:v>0.43036466400329004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845952"/>
        <c:axId val="285465920"/>
      </c:lineChart>
      <c:catAx>
        <c:axId val="26284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5465920"/>
        <c:crosses val="autoZero"/>
        <c:auto val="1"/>
        <c:lblAlgn val="ctr"/>
        <c:lblOffset val="100"/>
        <c:noMultiLvlLbl val="0"/>
      </c:catAx>
      <c:valAx>
        <c:axId val="2854659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6284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846464"/>
        <c:axId val="2985673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846464"/>
        <c:axId val="298567360"/>
      </c:lineChart>
      <c:catAx>
        <c:axId val="26284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98567360"/>
        <c:crosses val="autoZero"/>
        <c:auto val="1"/>
        <c:lblAlgn val="ctr"/>
        <c:lblOffset val="100"/>
        <c:noMultiLvlLbl val="0"/>
      </c:catAx>
      <c:valAx>
        <c:axId val="2985673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28464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3368</c:v>
                </c:pt>
                <c:pt idx="4">
                  <c:v>16360</c:v>
                </c:pt>
                <c:pt idx="5">
                  <c:v>5986</c:v>
                </c:pt>
                <c:pt idx="7">
                  <c:v>2549</c:v>
                </c:pt>
                <c:pt idx="8">
                  <c:v>542</c:v>
                </c:pt>
                <c:pt idx="10">
                  <c:v>11798</c:v>
                </c:pt>
                <c:pt idx="12">
                  <c:v>1638</c:v>
                </c:pt>
                <c:pt idx="13">
                  <c:v>7316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3370</c:v>
                </c:pt>
                <c:pt idx="3">
                  <c:v>1262</c:v>
                </c:pt>
                <c:pt idx="4">
                  <c:v>16360</c:v>
                </c:pt>
                <c:pt idx="5">
                  <c:v>5990</c:v>
                </c:pt>
                <c:pt idx="6">
                  <c:v>715</c:v>
                </c:pt>
                <c:pt idx="7">
                  <c:v>2550</c:v>
                </c:pt>
                <c:pt idx="8">
                  <c:v>542</c:v>
                </c:pt>
                <c:pt idx="9">
                  <c:v>600</c:v>
                </c:pt>
                <c:pt idx="10">
                  <c:v>11800</c:v>
                </c:pt>
                <c:pt idx="11">
                  <c:v>434</c:v>
                </c:pt>
                <c:pt idx="12">
                  <c:v>1640</c:v>
                </c:pt>
                <c:pt idx="13">
                  <c:v>7320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688576"/>
        <c:axId val="298570240"/>
      </c:lineChart>
      <c:catAx>
        <c:axId val="273688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8570240"/>
        <c:crosses val="autoZero"/>
        <c:auto val="1"/>
        <c:lblAlgn val="ctr"/>
        <c:lblOffset val="100"/>
        <c:noMultiLvlLbl val="0"/>
      </c:catAx>
      <c:valAx>
        <c:axId val="2985702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7368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0% 100% 0% 100% 100% 0% 58% 25% 0% 100% 0% 37%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0.99940652818991094</c:v>
                </c:pt>
                <c:pt idx="3">
                  <c:v>0</c:v>
                </c:pt>
                <c:pt idx="4">
                  <c:v>1</c:v>
                </c:pt>
                <c:pt idx="5">
                  <c:v>0.99933222036727876</c:v>
                </c:pt>
                <c:pt idx="6">
                  <c:v>0</c:v>
                </c:pt>
                <c:pt idx="7">
                  <c:v>0.58310457516339875</c:v>
                </c:pt>
                <c:pt idx="8">
                  <c:v>0.25</c:v>
                </c:pt>
                <c:pt idx="9">
                  <c:v>0</c:v>
                </c:pt>
                <c:pt idx="10">
                  <c:v>0.99983050847457622</c:v>
                </c:pt>
                <c:pt idx="11">
                  <c:v>0</c:v>
                </c:pt>
                <c:pt idx="12">
                  <c:v>0.37454268292682924</c:v>
                </c:pt>
                <c:pt idx="13">
                  <c:v>0.99945355191256835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0.41371133780230418</c:v>
                </c:pt>
                <c:pt idx="1">
                  <c:v>0.41371133780230418</c:v>
                </c:pt>
                <c:pt idx="2">
                  <c:v>0.41371133780230418</c:v>
                </c:pt>
                <c:pt idx="3">
                  <c:v>0.41371133780230418</c:v>
                </c:pt>
                <c:pt idx="4">
                  <c:v>0.41371133780230418</c:v>
                </c:pt>
                <c:pt idx="5">
                  <c:v>0.41371133780230418</c:v>
                </c:pt>
                <c:pt idx="6">
                  <c:v>0.41371133780230418</c:v>
                </c:pt>
                <c:pt idx="7">
                  <c:v>0.41371133780230418</c:v>
                </c:pt>
                <c:pt idx="8">
                  <c:v>0.41371133780230418</c:v>
                </c:pt>
                <c:pt idx="9">
                  <c:v>0.41371133780230418</c:v>
                </c:pt>
                <c:pt idx="10">
                  <c:v>0.41371133780230418</c:v>
                </c:pt>
                <c:pt idx="11">
                  <c:v>0.41371133780230418</c:v>
                </c:pt>
                <c:pt idx="12">
                  <c:v>0.41371133780230418</c:v>
                </c:pt>
                <c:pt idx="13">
                  <c:v>0.41371133780230418</c:v>
                </c:pt>
                <c:pt idx="14">
                  <c:v>0.41371133780230418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690112"/>
        <c:axId val="298571968"/>
      </c:lineChart>
      <c:catAx>
        <c:axId val="27369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8571968"/>
        <c:crosses val="autoZero"/>
        <c:auto val="1"/>
        <c:lblAlgn val="ctr"/>
        <c:lblOffset val="100"/>
        <c:noMultiLvlLbl val="0"/>
      </c:catAx>
      <c:valAx>
        <c:axId val="2985719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73690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3368</c:v>
                </c:pt>
                <c:pt idx="4">
                  <c:v>16360</c:v>
                </c:pt>
                <c:pt idx="5">
                  <c:v>5986</c:v>
                </c:pt>
                <c:pt idx="7">
                  <c:v>2549</c:v>
                </c:pt>
                <c:pt idx="8">
                  <c:v>542</c:v>
                </c:pt>
                <c:pt idx="10">
                  <c:v>11798</c:v>
                </c:pt>
                <c:pt idx="12">
                  <c:v>1638</c:v>
                </c:pt>
                <c:pt idx="13">
                  <c:v>7316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2890</c:v>
                </c:pt>
                <c:pt idx="2">
                  <c:v>3370</c:v>
                </c:pt>
                <c:pt idx="3">
                  <c:v>1262</c:v>
                </c:pt>
                <c:pt idx="4">
                  <c:v>16360</c:v>
                </c:pt>
                <c:pt idx="5">
                  <c:v>5990</c:v>
                </c:pt>
                <c:pt idx="6">
                  <c:v>715</c:v>
                </c:pt>
                <c:pt idx="7">
                  <c:v>2550</c:v>
                </c:pt>
                <c:pt idx="8">
                  <c:v>542</c:v>
                </c:pt>
                <c:pt idx="9">
                  <c:v>600</c:v>
                </c:pt>
                <c:pt idx="10">
                  <c:v>11800</c:v>
                </c:pt>
                <c:pt idx="11">
                  <c:v>434</c:v>
                </c:pt>
                <c:pt idx="12">
                  <c:v>1640</c:v>
                </c:pt>
                <c:pt idx="13">
                  <c:v>7320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001344"/>
        <c:axId val="299573824"/>
      </c:lineChart>
      <c:catAx>
        <c:axId val="2750013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573824"/>
        <c:crosses val="autoZero"/>
        <c:auto val="1"/>
        <c:lblAlgn val="ctr"/>
        <c:lblOffset val="100"/>
        <c:noMultiLvlLbl val="0"/>
      </c:catAx>
      <c:valAx>
        <c:axId val="2995738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7500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0% 100% 0% 100% 100% 0% 58% 25% 0% 100% 0% 37%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0.99940652818991094</c:v>
                </c:pt>
                <c:pt idx="3">
                  <c:v>0</c:v>
                </c:pt>
                <c:pt idx="4">
                  <c:v>1</c:v>
                </c:pt>
                <c:pt idx="5">
                  <c:v>0.99933222036727876</c:v>
                </c:pt>
                <c:pt idx="6">
                  <c:v>0</c:v>
                </c:pt>
                <c:pt idx="7">
                  <c:v>0.58310457516339875</c:v>
                </c:pt>
                <c:pt idx="8">
                  <c:v>0.25</c:v>
                </c:pt>
                <c:pt idx="9">
                  <c:v>0</c:v>
                </c:pt>
                <c:pt idx="10">
                  <c:v>0.99983050847457622</c:v>
                </c:pt>
                <c:pt idx="11">
                  <c:v>0</c:v>
                </c:pt>
                <c:pt idx="12">
                  <c:v>0.37454268292682924</c:v>
                </c:pt>
                <c:pt idx="13">
                  <c:v>0.99945355191256835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4"/>
                <c:pt idx="0">
                  <c:v>COVER</c:v>
                </c:pt>
                <c:pt idx="1">
                  <c:v>ARM</c:v>
                </c:pt>
                <c:pt idx="4">
                  <c:v>SEPARATOR</c:v>
                </c:pt>
                <c:pt idx="5">
                  <c:v>SLIDER</c:v>
                </c:pt>
                <c:pt idx="6">
                  <c:v>BODY</c:v>
                </c:pt>
                <c:pt idx="7">
                  <c:v>38P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0.41371133780230418</c:v>
                </c:pt>
                <c:pt idx="1">
                  <c:v>0.41371133780230418</c:v>
                </c:pt>
                <c:pt idx="2">
                  <c:v>0.41371133780230418</c:v>
                </c:pt>
                <c:pt idx="3">
                  <c:v>0.41371133780230418</c:v>
                </c:pt>
                <c:pt idx="4">
                  <c:v>0.41371133780230418</c:v>
                </c:pt>
                <c:pt idx="5">
                  <c:v>0.41371133780230418</c:v>
                </c:pt>
                <c:pt idx="6">
                  <c:v>0.41371133780230418</c:v>
                </c:pt>
                <c:pt idx="7">
                  <c:v>0.41371133780230418</c:v>
                </c:pt>
                <c:pt idx="8">
                  <c:v>0.41371133780230418</c:v>
                </c:pt>
                <c:pt idx="9">
                  <c:v>0.41371133780230418</c:v>
                </c:pt>
                <c:pt idx="10">
                  <c:v>0.41371133780230418</c:v>
                </c:pt>
                <c:pt idx="11">
                  <c:v>0.41371133780230418</c:v>
                </c:pt>
                <c:pt idx="12">
                  <c:v>0.41371133780230418</c:v>
                </c:pt>
                <c:pt idx="13">
                  <c:v>0.41371133780230418</c:v>
                </c:pt>
                <c:pt idx="14">
                  <c:v>0.41371133780230418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002880"/>
        <c:axId val="299575552"/>
      </c:lineChart>
      <c:catAx>
        <c:axId val="275002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9575552"/>
        <c:crosses val="autoZero"/>
        <c:auto val="1"/>
        <c:lblAlgn val="ctr"/>
        <c:lblOffset val="100"/>
        <c:noMultiLvlLbl val="0"/>
      </c:catAx>
      <c:valAx>
        <c:axId val="2995755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75002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04416"/>
        <c:axId val="29957785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004416"/>
        <c:axId val="299577856"/>
      </c:lineChart>
      <c:catAx>
        <c:axId val="27500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99577856"/>
        <c:crosses val="autoZero"/>
        <c:auto val="1"/>
        <c:lblAlgn val="ctr"/>
        <c:lblOffset val="100"/>
        <c:noMultiLvlLbl val="0"/>
      </c:catAx>
      <c:valAx>
        <c:axId val="299577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5004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1">
                  <c:v>3691</c:v>
                </c:pt>
                <c:pt idx="2">
                  <c:v>3345</c:v>
                </c:pt>
                <c:pt idx="4">
                  <c:v>16954</c:v>
                </c:pt>
                <c:pt idx="5">
                  <c:v>540</c:v>
                </c:pt>
                <c:pt idx="6">
                  <c:v>2952</c:v>
                </c:pt>
                <c:pt idx="7">
                  <c:v>1159</c:v>
                </c:pt>
                <c:pt idx="10">
                  <c:v>11816</c:v>
                </c:pt>
                <c:pt idx="12">
                  <c:v>3880</c:v>
                </c:pt>
                <c:pt idx="13">
                  <c:v>7541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3700</c:v>
                </c:pt>
                <c:pt idx="2">
                  <c:v>3350</c:v>
                </c:pt>
                <c:pt idx="3">
                  <c:v>1262</c:v>
                </c:pt>
                <c:pt idx="4">
                  <c:v>16960</c:v>
                </c:pt>
                <c:pt idx="5">
                  <c:v>540</c:v>
                </c:pt>
                <c:pt idx="6">
                  <c:v>2960</c:v>
                </c:pt>
                <c:pt idx="7">
                  <c:v>1160</c:v>
                </c:pt>
                <c:pt idx="8">
                  <c:v>542</c:v>
                </c:pt>
                <c:pt idx="9">
                  <c:v>600</c:v>
                </c:pt>
                <c:pt idx="10">
                  <c:v>11820</c:v>
                </c:pt>
                <c:pt idx="11">
                  <c:v>434</c:v>
                </c:pt>
                <c:pt idx="12">
                  <c:v>3880</c:v>
                </c:pt>
                <c:pt idx="13">
                  <c:v>7550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03840"/>
        <c:axId val="299580736"/>
      </c:lineChart>
      <c:catAx>
        <c:axId val="280803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9580736"/>
        <c:crosses val="autoZero"/>
        <c:auto val="1"/>
        <c:lblAlgn val="ctr"/>
        <c:lblOffset val="100"/>
        <c:noMultiLvlLbl val="0"/>
      </c:catAx>
      <c:valAx>
        <c:axId val="299580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080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87% 100% 0% 100% 17% 71% 42% 0% 0% 100% 0% 83%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0.87287162162162168</c:v>
                </c:pt>
                <c:pt idx="2">
                  <c:v>0.9985074626865672</c:v>
                </c:pt>
                <c:pt idx="3">
                  <c:v>0</c:v>
                </c:pt>
                <c:pt idx="4">
                  <c:v>0.99964622641509437</c:v>
                </c:pt>
                <c:pt idx="5">
                  <c:v>0.16666666666666666</c:v>
                </c:pt>
                <c:pt idx="6">
                  <c:v>0.70641891891891895</c:v>
                </c:pt>
                <c:pt idx="7">
                  <c:v>0.41630747126436785</c:v>
                </c:pt>
                <c:pt idx="8">
                  <c:v>0</c:v>
                </c:pt>
                <c:pt idx="9">
                  <c:v>0</c:v>
                </c:pt>
                <c:pt idx="10">
                  <c:v>0.99966159052453474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0.99880794701986753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0.46614808256339813</c:v>
                </c:pt>
                <c:pt idx="1">
                  <c:v>0.46614808256339813</c:v>
                </c:pt>
                <c:pt idx="2">
                  <c:v>0.46614808256339813</c:v>
                </c:pt>
                <c:pt idx="3">
                  <c:v>0.46614808256339813</c:v>
                </c:pt>
                <c:pt idx="4">
                  <c:v>0.46614808256339813</c:v>
                </c:pt>
                <c:pt idx="5">
                  <c:v>0.46614808256339813</c:v>
                </c:pt>
                <c:pt idx="6">
                  <c:v>0.46614808256339813</c:v>
                </c:pt>
                <c:pt idx="7">
                  <c:v>0.46614808256339813</c:v>
                </c:pt>
                <c:pt idx="8">
                  <c:v>0.46614808256339813</c:v>
                </c:pt>
                <c:pt idx="9">
                  <c:v>0.46614808256339813</c:v>
                </c:pt>
                <c:pt idx="10">
                  <c:v>0.46614808256339813</c:v>
                </c:pt>
                <c:pt idx="11">
                  <c:v>0.46614808256339813</c:v>
                </c:pt>
                <c:pt idx="12">
                  <c:v>0.46614808256339813</c:v>
                </c:pt>
                <c:pt idx="13">
                  <c:v>0.46614808256339813</c:v>
                </c:pt>
                <c:pt idx="14">
                  <c:v>0.46614808256339813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14080"/>
        <c:axId val="303744128"/>
      </c:lineChart>
      <c:catAx>
        <c:axId val="28081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3744128"/>
        <c:crosses val="autoZero"/>
        <c:auto val="1"/>
        <c:lblAlgn val="ctr"/>
        <c:lblOffset val="100"/>
        <c:noMultiLvlLbl val="0"/>
      </c:catAx>
      <c:valAx>
        <c:axId val="303744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081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1">
                  <c:v>3691</c:v>
                </c:pt>
                <c:pt idx="2">
                  <c:v>3345</c:v>
                </c:pt>
                <c:pt idx="4">
                  <c:v>16954</c:v>
                </c:pt>
                <c:pt idx="5">
                  <c:v>540</c:v>
                </c:pt>
                <c:pt idx="6">
                  <c:v>2952</c:v>
                </c:pt>
                <c:pt idx="7">
                  <c:v>1159</c:v>
                </c:pt>
                <c:pt idx="10">
                  <c:v>11816</c:v>
                </c:pt>
                <c:pt idx="12">
                  <c:v>3880</c:v>
                </c:pt>
                <c:pt idx="13">
                  <c:v>7541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3700</c:v>
                </c:pt>
                <c:pt idx="2">
                  <c:v>3350</c:v>
                </c:pt>
                <c:pt idx="3">
                  <c:v>1262</c:v>
                </c:pt>
                <c:pt idx="4">
                  <c:v>16960</c:v>
                </c:pt>
                <c:pt idx="5">
                  <c:v>540</c:v>
                </c:pt>
                <c:pt idx="6">
                  <c:v>2960</c:v>
                </c:pt>
                <c:pt idx="7">
                  <c:v>1160</c:v>
                </c:pt>
                <c:pt idx="8">
                  <c:v>542</c:v>
                </c:pt>
                <c:pt idx="9">
                  <c:v>600</c:v>
                </c:pt>
                <c:pt idx="10">
                  <c:v>11820</c:v>
                </c:pt>
                <c:pt idx="11">
                  <c:v>434</c:v>
                </c:pt>
                <c:pt idx="12">
                  <c:v>3880</c:v>
                </c:pt>
                <c:pt idx="13">
                  <c:v>7550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14592"/>
        <c:axId val="303746432"/>
      </c:lineChart>
      <c:catAx>
        <c:axId val="2808145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03746432"/>
        <c:crosses val="autoZero"/>
        <c:auto val="1"/>
        <c:lblAlgn val="ctr"/>
        <c:lblOffset val="100"/>
        <c:noMultiLvlLbl val="0"/>
      </c:catAx>
      <c:valAx>
        <c:axId val="303746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0814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"/>
                <c:pt idx="0">
                  <c:v>0% 87% 100% 0% 100% 17% 71% 42% 0% 0% 100% 0% 83%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0.87287162162162168</c:v>
                </c:pt>
                <c:pt idx="2">
                  <c:v>0.9985074626865672</c:v>
                </c:pt>
                <c:pt idx="3">
                  <c:v>0</c:v>
                </c:pt>
                <c:pt idx="4">
                  <c:v>0.99964622641509437</c:v>
                </c:pt>
                <c:pt idx="5">
                  <c:v>0.16666666666666666</c:v>
                </c:pt>
                <c:pt idx="6">
                  <c:v>0.70641891891891895</c:v>
                </c:pt>
                <c:pt idx="7">
                  <c:v>0.41630747126436785</c:v>
                </c:pt>
                <c:pt idx="8">
                  <c:v>0</c:v>
                </c:pt>
                <c:pt idx="9">
                  <c:v>0</c:v>
                </c:pt>
                <c:pt idx="10">
                  <c:v>0.99966159052453474</c:v>
                </c:pt>
                <c:pt idx="11">
                  <c:v>0</c:v>
                </c:pt>
                <c:pt idx="12">
                  <c:v>0.83333333333333337</c:v>
                </c:pt>
                <c:pt idx="13">
                  <c:v>0.99880794701986753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A,B,C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0.46614808256339813</c:v>
                </c:pt>
                <c:pt idx="1">
                  <c:v>0.46614808256339813</c:v>
                </c:pt>
                <c:pt idx="2">
                  <c:v>0.46614808256339813</c:v>
                </c:pt>
                <c:pt idx="3">
                  <c:v>0.46614808256339813</c:v>
                </c:pt>
                <c:pt idx="4">
                  <c:v>0.46614808256339813</c:v>
                </c:pt>
                <c:pt idx="5">
                  <c:v>0.46614808256339813</c:v>
                </c:pt>
                <c:pt idx="6">
                  <c:v>0.46614808256339813</c:v>
                </c:pt>
                <c:pt idx="7">
                  <c:v>0.46614808256339813</c:v>
                </c:pt>
                <c:pt idx="8">
                  <c:v>0.46614808256339813</c:v>
                </c:pt>
                <c:pt idx="9">
                  <c:v>0.46614808256339813</c:v>
                </c:pt>
                <c:pt idx="10">
                  <c:v>0.46614808256339813</c:v>
                </c:pt>
                <c:pt idx="11">
                  <c:v>0.46614808256339813</c:v>
                </c:pt>
                <c:pt idx="12">
                  <c:v>0.46614808256339813</c:v>
                </c:pt>
                <c:pt idx="13">
                  <c:v>0.46614808256339813</c:v>
                </c:pt>
                <c:pt idx="14">
                  <c:v>0.46614808256339813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15616"/>
        <c:axId val="303748160"/>
      </c:lineChart>
      <c:catAx>
        <c:axId val="2808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3748160"/>
        <c:crosses val="autoZero"/>
        <c:auto val="1"/>
        <c:lblAlgn val="ctr"/>
        <c:lblOffset val="100"/>
        <c:noMultiLvlLbl val="0"/>
      </c:catAx>
      <c:valAx>
        <c:axId val="303748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0815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16128"/>
        <c:axId val="3037504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16128"/>
        <c:axId val="303750464"/>
      </c:lineChart>
      <c:catAx>
        <c:axId val="28081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303750464"/>
        <c:crosses val="autoZero"/>
        <c:auto val="1"/>
        <c:lblAlgn val="ctr"/>
        <c:lblOffset val="100"/>
        <c:noMultiLvlLbl val="0"/>
      </c:catAx>
      <c:valAx>
        <c:axId val="303750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08161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4498</c:v>
                </c:pt>
                <c:pt idx="2">
                  <c:v>3308</c:v>
                </c:pt>
                <c:pt idx="4">
                  <c:v>16456</c:v>
                </c:pt>
                <c:pt idx="6">
                  <c:v>1458</c:v>
                </c:pt>
                <c:pt idx="10">
                  <c:v>11788</c:v>
                </c:pt>
                <c:pt idx="12">
                  <c:v>4963</c:v>
                </c:pt>
                <c:pt idx="13">
                  <c:v>6128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4500</c:v>
                </c:pt>
                <c:pt idx="2">
                  <c:v>3308</c:v>
                </c:pt>
                <c:pt idx="3">
                  <c:v>1262</c:v>
                </c:pt>
                <c:pt idx="4">
                  <c:v>16460</c:v>
                </c:pt>
                <c:pt idx="5">
                  <c:v>540</c:v>
                </c:pt>
                <c:pt idx="6">
                  <c:v>1460</c:v>
                </c:pt>
                <c:pt idx="7">
                  <c:v>1160</c:v>
                </c:pt>
                <c:pt idx="8">
                  <c:v>542</c:v>
                </c:pt>
                <c:pt idx="9">
                  <c:v>600</c:v>
                </c:pt>
                <c:pt idx="10">
                  <c:v>11790</c:v>
                </c:pt>
                <c:pt idx="11">
                  <c:v>434</c:v>
                </c:pt>
                <c:pt idx="12">
                  <c:v>4970</c:v>
                </c:pt>
                <c:pt idx="13">
                  <c:v>6130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72192"/>
        <c:axId val="332556544"/>
      </c:lineChart>
      <c:catAx>
        <c:axId val="284872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2556544"/>
        <c:crosses val="autoZero"/>
        <c:auto val="1"/>
        <c:lblAlgn val="ctr"/>
        <c:lblOffset val="100"/>
        <c:noMultiLvlLbl val="0"/>
      </c:catAx>
      <c:valAx>
        <c:axId val="3325565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4872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100% 100% 0% 100% 0% 25% 0% 0% 0% 100% 0% 100%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0.99955555555555553</c:v>
                </c:pt>
                <c:pt idx="2">
                  <c:v>1</c:v>
                </c:pt>
                <c:pt idx="3">
                  <c:v>0</c:v>
                </c:pt>
                <c:pt idx="4">
                  <c:v>0.99975698663426493</c:v>
                </c:pt>
                <c:pt idx="5">
                  <c:v>0</c:v>
                </c:pt>
                <c:pt idx="6">
                  <c:v>0.24965753424657533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0.99983036471586095</c:v>
                </c:pt>
                <c:pt idx="11">
                  <c:v>0</c:v>
                </c:pt>
                <c:pt idx="12">
                  <c:v>0.99859154929577465</c:v>
                </c:pt>
                <c:pt idx="13">
                  <c:v>0.91636759108210974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0.41091730543534272</c:v>
                </c:pt>
                <c:pt idx="1">
                  <c:v>0.41091730543534272</c:v>
                </c:pt>
                <c:pt idx="2">
                  <c:v>0.41091730543534272</c:v>
                </c:pt>
                <c:pt idx="3">
                  <c:v>0.41091730543534272</c:v>
                </c:pt>
                <c:pt idx="4">
                  <c:v>0.41091730543534272</c:v>
                </c:pt>
                <c:pt idx="5">
                  <c:v>0.41091730543534272</c:v>
                </c:pt>
                <c:pt idx="6">
                  <c:v>0.41091730543534272</c:v>
                </c:pt>
                <c:pt idx="7">
                  <c:v>0.41091730543534272</c:v>
                </c:pt>
                <c:pt idx="8">
                  <c:v>0.41091730543534272</c:v>
                </c:pt>
                <c:pt idx="9">
                  <c:v>0.41091730543534272</c:v>
                </c:pt>
                <c:pt idx="10">
                  <c:v>0.41091730543534272</c:v>
                </c:pt>
                <c:pt idx="11">
                  <c:v>0.41091730543534272</c:v>
                </c:pt>
                <c:pt idx="12">
                  <c:v>0.41091730543534272</c:v>
                </c:pt>
                <c:pt idx="13">
                  <c:v>0.41091730543534272</c:v>
                </c:pt>
                <c:pt idx="14">
                  <c:v>0.41091730543534272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89600"/>
        <c:axId val="332558272"/>
      </c:lineChart>
      <c:catAx>
        <c:axId val="28488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2558272"/>
        <c:crosses val="autoZero"/>
        <c:auto val="1"/>
        <c:lblAlgn val="ctr"/>
        <c:lblOffset val="100"/>
        <c:noMultiLvlLbl val="0"/>
      </c:catAx>
      <c:valAx>
        <c:axId val="3325582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488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4498</c:v>
                </c:pt>
                <c:pt idx="2">
                  <c:v>3308</c:v>
                </c:pt>
                <c:pt idx="4">
                  <c:v>16456</c:v>
                </c:pt>
                <c:pt idx="6">
                  <c:v>1458</c:v>
                </c:pt>
                <c:pt idx="10">
                  <c:v>11788</c:v>
                </c:pt>
                <c:pt idx="12">
                  <c:v>4963</c:v>
                </c:pt>
                <c:pt idx="13">
                  <c:v>6128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4500</c:v>
                </c:pt>
                <c:pt idx="2">
                  <c:v>3308</c:v>
                </c:pt>
                <c:pt idx="3">
                  <c:v>1262</c:v>
                </c:pt>
                <c:pt idx="4">
                  <c:v>16460</c:v>
                </c:pt>
                <c:pt idx="5">
                  <c:v>540</c:v>
                </c:pt>
                <c:pt idx="6">
                  <c:v>1460</c:v>
                </c:pt>
                <c:pt idx="7">
                  <c:v>1160</c:v>
                </c:pt>
                <c:pt idx="8">
                  <c:v>542</c:v>
                </c:pt>
                <c:pt idx="9">
                  <c:v>600</c:v>
                </c:pt>
                <c:pt idx="10">
                  <c:v>11790</c:v>
                </c:pt>
                <c:pt idx="11">
                  <c:v>434</c:v>
                </c:pt>
                <c:pt idx="12">
                  <c:v>4970</c:v>
                </c:pt>
                <c:pt idx="13">
                  <c:v>6130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90624"/>
        <c:axId val="332560576"/>
      </c:lineChart>
      <c:catAx>
        <c:axId val="2848906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2560576"/>
        <c:crosses val="autoZero"/>
        <c:auto val="1"/>
        <c:lblAlgn val="ctr"/>
        <c:lblOffset val="100"/>
        <c:noMultiLvlLbl val="0"/>
      </c:catAx>
      <c:valAx>
        <c:axId val="3325605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4890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100% 100% 0% 100% 0% 25% 0% 0% 0% 100% 0% 100%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0.99955555555555553</c:v>
                </c:pt>
                <c:pt idx="2">
                  <c:v>1</c:v>
                </c:pt>
                <c:pt idx="3">
                  <c:v>0</c:v>
                </c:pt>
                <c:pt idx="4">
                  <c:v>0.99975698663426493</c:v>
                </c:pt>
                <c:pt idx="5">
                  <c:v>0</c:v>
                </c:pt>
                <c:pt idx="6">
                  <c:v>0.24965753424657533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0.99983036471586095</c:v>
                </c:pt>
                <c:pt idx="11">
                  <c:v>0</c:v>
                </c:pt>
                <c:pt idx="12">
                  <c:v>0.99859154929577465</c:v>
                </c:pt>
                <c:pt idx="13">
                  <c:v>0.91636759108210974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BODY,LID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0.41091730543534272</c:v>
                </c:pt>
                <c:pt idx="1">
                  <c:v>0.41091730543534272</c:v>
                </c:pt>
                <c:pt idx="2">
                  <c:v>0.41091730543534272</c:v>
                </c:pt>
                <c:pt idx="3">
                  <c:v>0.41091730543534272</c:v>
                </c:pt>
                <c:pt idx="4">
                  <c:v>0.41091730543534272</c:v>
                </c:pt>
                <c:pt idx="5">
                  <c:v>0.41091730543534272</c:v>
                </c:pt>
                <c:pt idx="6">
                  <c:v>0.41091730543534272</c:v>
                </c:pt>
                <c:pt idx="7">
                  <c:v>0.41091730543534272</c:v>
                </c:pt>
                <c:pt idx="8">
                  <c:v>0.41091730543534272</c:v>
                </c:pt>
                <c:pt idx="9">
                  <c:v>0.41091730543534272</c:v>
                </c:pt>
                <c:pt idx="10">
                  <c:v>0.41091730543534272</c:v>
                </c:pt>
                <c:pt idx="11">
                  <c:v>0.41091730543534272</c:v>
                </c:pt>
                <c:pt idx="12">
                  <c:v>0.41091730543534272</c:v>
                </c:pt>
                <c:pt idx="13">
                  <c:v>0.41091730543534272</c:v>
                </c:pt>
                <c:pt idx="14">
                  <c:v>0.41091730543534272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91136"/>
        <c:axId val="333529088"/>
      </c:lineChart>
      <c:catAx>
        <c:axId val="28489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3529088"/>
        <c:crosses val="autoZero"/>
        <c:auto val="1"/>
        <c:lblAlgn val="ctr"/>
        <c:lblOffset val="100"/>
        <c:noMultiLvlLbl val="0"/>
      </c:catAx>
      <c:valAx>
        <c:axId val="333529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489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891648"/>
        <c:axId val="3335313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91648"/>
        <c:axId val="333531392"/>
      </c:lineChart>
      <c:catAx>
        <c:axId val="28489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333531392"/>
        <c:crosses val="autoZero"/>
        <c:auto val="1"/>
        <c:lblAlgn val="ctr"/>
        <c:lblOffset val="100"/>
        <c:noMultiLvlLbl val="0"/>
      </c:catAx>
      <c:valAx>
        <c:axId val="333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48916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2134</c:v>
                </c:pt>
                <c:pt idx="3">
                  <c:v>3530</c:v>
                </c:pt>
                <c:pt idx="4">
                  <c:v>16062</c:v>
                </c:pt>
                <c:pt idx="6">
                  <c:v>2589</c:v>
                </c:pt>
                <c:pt idx="7">
                  <c:v>5056</c:v>
                </c:pt>
                <c:pt idx="10">
                  <c:v>12090</c:v>
                </c:pt>
                <c:pt idx="12">
                  <c:v>4798</c:v>
                </c:pt>
                <c:pt idx="13">
                  <c:v>7143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4500</c:v>
                </c:pt>
                <c:pt idx="2">
                  <c:v>2140</c:v>
                </c:pt>
                <c:pt idx="3">
                  <c:v>3530</c:v>
                </c:pt>
                <c:pt idx="4">
                  <c:v>16070</c:v>
                </c:pt>
                <c:pt idx="5">
                  <c:v>540</c:v>
                </c:pt>
                <c:pt idx="6">
                  <c:v>2590</c:v>
                </c:pt>
                <c:pt idx="7">
                  <c:v>5060</c:v>
                </c:pt>
                <c:pt idx="8">
                  <c:v>542</c:v>
                </c:pt>
                <c:pt idx="9">
                  <c:v>600</c:v>
                </c:pt>
                <c:pt idx="10">
                  <c:v>12090</c:v>
                </c:pt>
                <c:pt idx="11">
                  <c:v>434</c:v>
                </c:pt>
                <c:pt idx="12">
                  <c:v>4800</c:v>
                </c:pt>
                <c:pt idx="13">
                  <c:v>7150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74016"/>
        <c:axId val="333534272"/>
      </c:lineChart>
      <c:catAx>
        <c:axId val="2859740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33534272"/>
        <c:crosses val="autoZero"/>
        <c:auto val="1"/>
        <c:lblAlgn val="ctr"/>
        <c:lblOffset val="100"/>
        <c:noMultiLvlLbl val="0"/>
      </c:catAx>
      <c:valAx>
        <c:axId val="3335342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5974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0% 83% 75% 100% 0% 71% 96%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0.8309968847352025</c:v>
                </c:pt>
                <c:pt idx="3">
                  <c:v>0.75</c:v>
                </c:pt>
                <c:pt idx="4">
                  <c:v>0.99950217797137519</c:v>
                </c:pt>
                <c:pt idx="5">
                  <c:v>0</c:v>
                </c:pt>
                <c:pt idx="6">
                  <c:v>0.70805984555984558</c:v>
                </c:pt>
                <c:pt idx="7">
                  <c:v>0.95757575757575764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0.99958333333333338</c:v>
                </c:pt>
                <c:pt idx="13">
                  <c:v>0.99902097902097897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0.48298259854643288</c:v>
                </c:pt>
                <c:pt idx="1">
                  <c:v>0.48298259854643288</c:v>
                </c:pt>
                <c:pt idx="2">
                  <c:v>0.48298259854643288</c:v>
                </c:pt>
                <c:pt idx="3">
                  <c:v>0.48298259854643288</c:v>
                </c:pt>
                <c:pt idx="4">
                  <c:v>0.48298259854643288</c:v>
                </c:pt>
                <c:pt idx="5">
                  <c:v>0.48298259854643288</c:v>
                </c:pt>
                <c:pt idx="6">
                  <c:v>0.48298259854643288</c:v>
                </c:pt>
                <c:pt idx="7">
                  <c:v>0.48298259854643288</c:v>
                </c:pt>
                <c:pt idx="8">
                  <c:v>0.48298259854643288</c:v>
                </c:pt>
                <c:pt idx="9">
                  <c:v>0.48298259854643288</c:v>
                </c:pt>
                <c:pt idx="10">
                  <c:v>0.48298259854643288</c:v>
                </c:pt>
                <c:pt idx="11">
                  <c:v>0.48298259854643288</c:v>
                </c:pt>
                <c:pt idx="12">
                  <c:v>0.48298259854643288</c:v>
                </c:pt>
                <c:pt idx="13">
                  <c:v>0.48298259854643288</c:v>
                </c:pt>
                <c:pt idx="14">
                  <c:v>0.48298259854643288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87328"/>
        <c:axId val="333536000"/>
      </c:lineChart>
      <c:catAx>
        <c:axId val="28598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33536000"/>
        <c:crosses val="autoZero"/>
        <c:auto val="1"/>
        <c:lblAlgn val="ctr"/>
        <c:lblOffset val="100"/>
        <c:noMultiLvlLbl val="0"/>
      </c:catAx>
      <c:valAx>
        <c:axId val="3335360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5987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2">
                  <c:v>2134</c:v>
                </c:pt>
                <c:pt idx="3">
                  <c:v>3530</c:v>
                </c:pt>
                <c:pt idx="4">
                  <c:v>16062</c:v>
                </c:pt>
                <c:pt idx="6">
                  <c:v>2589</c:v>
                </c:pt>
                <c:pt idx="7">
                  <c:v>5056</c:v>
                </c:pt>
                <c:pt idx="10">
                  <c:v>12090</c:v>
                </c:pt>
                <c:pt idx="12">
                  <c:v>4798</c:v>
                </c:pt>
                <c:pt idx="13">
                  <c:v>7143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4500</c:v>
                </c:pt>
                <c:pt idx="2">
                  <c:v>2140</c:v>
                </c:pt>
                <c:pt idx="3">
                  <c:v>3530</c:v>
                </c:pt>
                <c:pt idx="4">
                  <c:v>16070</c:v>
                </c:pt>
                <c:pt idx="5">
                  <c:v>540</c:v>
                </c:pt>
                <c:pt idx="6">
                  <c:v>2590</c:v>
                </c:pt>
                <c:pt idx="7">
                  <c:v>5060</c:v>
                </c:pt>
                <c:pt idx="8">
                  <c:v>542</c:v>
                </c:pt>
                <c:pt idx="9">
                  <c:v>600</c:v>
                </c:pt>
                <c:pt idx="10">
                  <c:v>12090</c:v>
                </c:pt>
                <c:pt idx="11">
                  <c:v>434</c:v>
                </c:pt>
                <c:pt idx="12">
                  <c:v>4800</c:v>
                </c:pt>
                <c:pt idx="13">
                  <c:v>7150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88352"/>
        <c:axId val="344392832"/>
      </c:lineChart>
      <c:catAx>
        <c:axId val="2859883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392832"/>
        <c:crosses val="autoZero"/>
        <c:auto val="1"/>
        <c:lblAlgn val="ctr"/>
        <c:lblOffset val="100"/>
        <c:noMultiLvlLbl val="0"/>
      </c:catAx>
      <c:valAx>
        <c:axId val="344392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5988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0% 0% 83% 75% 100% 0% 71% 96%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0.8309968847352025</c:v>
                </c:pt>
                <c:pt idx="3">
                  <c:v>0.75</c:v>
                </c:pt>
                <c:pt idx="4">
                  <c:v>0.99950217797137519</c:v>
                </c:pt>
                <c:pt idx="5">
                  <c:v>0</c:v>
                </c:pt>
                <c:pt idx="6">
                  <c:v>0.70805984555984558</c:v>
                </c:pt>
                <c:pt idx="7">
                  <c:v>0.95757575757575764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0.99958333333333338</c:v>
                </c:pt>
                <c:pt idx="13">
                  <c:v>0.99902097902097897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COVER</c:v>
                </c:pt>
                <c:pt idx="1">
                  <c:v>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F/ADAPTER</c:v>
                </c:pt>
                <c:pt idx="12">
                  <c:v>ACTUATOR</c:v>
                </c:pt>
                <c:pt idx="13">
                  <c:v>SPACER A,C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0.48298259854643288</c:v>
                </c:pt>
                <c:pt idx="1">
                  <c:v>0.48298259854643288</c:v>
                </c:pt>
                <c:pt idx="2">
                  <c:v>0.48298259854643288</c:v>
                </c:pt>
                <c:pt idx="3">
                  <c:v>0.48298259854643288</c:v>
                </c:pt>
                <c:pt idx="4">
                  <c:v>0.48298259854643288</c:v>
                </c:pt>
                <c:pt idx="5">
                  <c:v>0.48298259854643288</c:v>
                </c:pt>
                <c:pt idx="6">
                  <c:v>0.48298259854643288</c:v>
                </c:pt>
                <c:pt idx="7">
                  <c:v>0.48298259854643288</c:v>
                </c:pt>
                <c:pt idx="8">
                  <c:v>0.48298259854643288</c:v>
                </c:pt>
                <c:pt idx="9">
                  <c:v>0.48298259854643288</c:v>
                </c:pt>
                <c:pt idx="10">
                  <c:v>0.48298259854643288</c:v>
                </c:pt>
                <c:pt idx="11">
                  <c:v>0.48298259854643288</c:v>
                </c:pt>
                <c:pt idx="12">
                  <c:v>0.48298259854643288</c:v>
                </c:pt>
                <c:pt idx="13">
                  <c:v>0.48298259854643288</c:v>
                </c:pt>
                <c:pt idx="14">
                  <c:v>0.48298259854643288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88864"/>
        <c:axId val="344393408"/>
      </c:lineChart>
      <c:catAx>
        <c:axId val="2859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44393408"/>
        <c:crosses val="autoZero"/>
        <c:auto val="1"/>
        <c:lblAlgn val="ctr"/>
        <c:lblOffset val="100"/>
        <c:noMultiLvlLbl val="0"/>
      </c:catAx>
      <c:valAx>
        <c:axId val="344393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598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989376"/>
        <c:axId val="3443957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989376"/>
        <c:axId val="344395712"/>
      </c:lineChart>
      <c:catAx>
        <c:axId val="285989376"/>
        <c:scaling>
          <c:orientation val="minMax"/>
        </c:scaling>
        <c:delete val="0"/>
        <c:axPos val="b"/>
        <c:majorTickMark val="out"/>
        <c:minorTickMark val="none"/>
        <c:tickLblPos val="nextTo"/>
        <c:crossAx val="344395712"/>
        <c:crosses val="autoZero"/>
        <c:auto val="1"/>
        <c:lblAlgn val="ctr"/>
        <c:lblOffset val="100"/>
        <c:noMultiLvlLbl val="0"/>
      </c:catAx>
      <c:valAx>
        <c:axId val="3443957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59893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1">
                  <c:v>4816</c:v>
                </c:pt>
                <c:pt idx="2">
                  <c:v>3024</c:v>
                </c:pt>
                <c:pt idx="4">
                  <c:v>8812</c:v>
                </c:pt>
                <c:pt idx="6">
                  <c:v>3078</c:v>
                </c:pt>
                <c:pt idx="7">
                  <c:v>984</c:v>
                </c:pt>
                <c:pt idx="9">
                  <c:v>3581</c:v>
                </c:pt>
                <c:pt idx="10">
                  <c:v>6818</c:v>
                </c:pt>
                <c:pt idx="12">
                  <c:v>1081</c:v>
                </c:pt>
                <c:pt idx="13">
                  <c:v>6499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4820</c:v>
                </c:pt>
                <c:pt idx="2">
                  <c:v>3030</c:v>
                </c:pt>
                <c:pt idx="3">
                  <c:v>3530</c:v>
                </c:pt>
                <c:pt idx="4">
                  <c:v>8820</c:v>
                </c:pt>
                <c:pt idx="5">
                  <c:v>540</c:v>
                </c:pt>
                <c:pt idx="6">
                  <c:v>3080</c:v>
                </c:pt>
                <c:pt idx="7">
                  <c:v>990</c:v>
                </c:pt>
                <c:pt idx="8">
                  <c:v>542</c:v>
                </c:pt>
                <c:pt idx="9">
                  <c:v>3590</c:v>
                </c:pt>
                <c:pt idx="10">
                  <c:v>6820</c:v>
                </c:pt>
                <c:pt idx="11">
                  <c:v>434</c:v>
                </c:pt>
                <c:pt idx="12">
                  <c:v>1082</c:v>
                </c:pt>
                <c:pt idx="13">
                  <c:v>6500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68672"/>
        <c:axId val="344398592"/>
      </c:lineChart>
      <c:catAx>
        <c:axId val="2870686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344398592"/>
        <c:crosses val="autoZero"/>
        <c:auto val="1"/>
        <c:lblAlgn val="ctr"/>
        <c:lblOffset val="100"/>
        <c:noMultiLvlLbl val="0"/>
      </c:catAx>
      <c:valAx>
        <c:axId val="3443985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70686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87% 91% 0% 58% 0% 75% 25% 0% 87% 75% 0% 29%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0.87427385892116183</c:v>
                </c:pt>
                <c:pt idx="2">
                  <c:v>0.91485148514851478</c:v>
                </c:pt>
                <c:pt idx="3">
                  <c:v>0</c:v>
                </c:pt>
                <c:pt idx="4">
                  <c:v>0.58280423280423288</c:v>
                </c:pt>
                <c:pt idx="5">
                  <c:v>0</c:v>
                </c:pt>
                <c:pt idx="6">
                  <c:v>0.74951298701298696</c:v>
                </c:pt>
                <c:pt idx="7">
                  <c:v>0.24848484848484848</c:v>
                </c:pt>
                <c:pt idx="8">
                  <c:v>0</c:v>
                </c:pt>
                <c:pt idx="9">
                  <c:v>0.87280640668523679</c:v>
                </c:pt>
                <c:pt idx="10">
                  <c:v>0.74978005865102637</c:v>
                </c:pt>
                <c:pt idx="11">
                  <c:v>0</c:v>
                </c:pt>
                <c:pt idx="12">
                  <c:v>0.29139710412815772</c:v>
                </c:pt>
                <c:pt idx="13">
                  <c:v>0.99984615384615383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0.41891714237882133</c:v>
                </c:pt>
                <c:pt idx="1">
                  <c:v>0.41891714237882133</c:v>
                </c:pt>
                <c:pt idx="2">
                  <c:v>0.41891714237882133</c:v>
                </c:pt>
                <c:pt idx="3">
                  <c:v>0.41891714237882133</c:v>
                </c:pt>
                <c:pt idx="4">
                  <c:v>0.41891714237882133</c:v>
                </c:pt>
                <c:pt idx="5">
                  <c:v>0.41891714237882133</c:v>
                </c:pt>
                <c:pt idx="6">
                  <c:v>0.41891714237882133</c:v>
                </c:pt>
                <c:pt idx="7">
                  <c:v>0.41891714237882133</c:v>
                </c:pt>
                <c:pt idx="8">
                  <c:v>0.41891714237882133</c:v>
                </c:pt>
                <c:pt idx="9">
                  <c:v>0.41891714237882133</c:v>
                </c:pt>
                <c:pt idx="10">
                  <c:v>0.41891714237882133</c:v>
                </c:pt>
                <c:pt idx="11">
                  <c:v>0.41891714237882133</c:v>
                </c:pt>
                <c:pt idx="12">
                  <c:v>0.41891714237882133</c:v>
                </c:pt>
                <c:pt idx="13">
                  <c:v>0.41891714237882133</c:v>
                </c:pt>
                <c:pt idx="14">
                  <c:v>0.41891714237882133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69696"/>
        <c:axId val="273662528"/>
      </c:lineChart>
      <c:catAx>
        <c:axId val="28706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3662528"/>
        <c:crosses val="autoZero"/>
        <c:auto val="1"/>
        <c:lblAlgn val="ctr"/>
        <c:lblOffset val="100"/>
        <c:noMultiLvlLbl val="0"/>
      </c:catAx>
      <c:valAx>
        <c:axId val="273662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7069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1">
                  <c:v>4816</c:v>
                </c:pt>
                <c:pt idx="2">
                  <c:v>3024</c:v>
                </c:pt>
                <c:pt idx="4">
                  <c:v>8812</c:v>
                </c:pt>
                <c:pt idx="6">
                  <c:v>3078</c:v>
                </c:pt>
                <c:pt idx="7">
                  <c:v>984</c:v>
                </c:pt>
                <c:pt idx="9">
                  <c:v>3581</c:v>
                </c:pt>
                <c:pt idx="10">
                  <c:v>6818</c:v>
                </c:pt>
                <c:pt idx="12">
                  <c:v>1081</c:v>
                </c:pt>
                <c:pt idx="13">
                  <c:v>6499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4820</c:v>
                </c:pt>
                <c:pt idx="2">
                  <c:v>3030</c:v>
                </c:pt>
                <c:pt idx="3">
                  <c:v>3530</c:v>
                </c:pt>
                <c:pt idx="4">
                  <c:v>8820</c:v>
                </c:pt>
                <c:pt idx="5">
                  <c:v>540</c:v>
                </c:pt>
                <c:pt idx="6">
                  <c:v>3080</c:v>
                </c:pt>
                <c:pt idx="7">
                  <c:v>990</c:v>
                </c:pt>
                <c:pt idx="8">
                  <c:v>542</c:v>
                </c:pt>
                <c:pt idx="9">
                  <c:v>3590</c:v>
                </c:pt>
                <c:pt idx="10">
                  <c:v>6820</c:v>
                </c:pt>
                <c:pt idx="11">
                  <c:v>434</c:v>
                </c:pt>
                <c:pt idx="12">
                  <c:v>1082</c:v>
                </c:pt>
                <c:pt idx="13">
                  <c:v>6500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70208"/>
        <c:axId val="273664832"/>
      </c:lineChart>
      <c:catAx>
        <c:axId val="2870702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73664832"/>
        <c:crosses val="autoZero"/>
        <c:auto val="1"/>
        <c:lblAlgn val="ctr"/>
        <c:lblOffset val="100"/>
        <c:noMultiLvlLbl val="0"/>
      </c:catAx>
      <c:valAx>
        <c:axId val="2736648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87070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0% 87% 91% 0% 58% 0% 75% 25% 0% 87% 75% 0% 29%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0.87427385892116183</c:v>
                </c:pt>
                <c:pt idx="2">
                  <c:v>0.91485148514851478</c:v>
                </c:pt>
                <c:pt idx="3">
                  <c:v>0</c:v>
                </c:pt>
                <c:pt idx="4">
                  <c:v>0.58280423280423288</c:v>
                </c:pt>
                <c:pt idx="5">
                  <c:v>0</c:v>
                </c:pt>
                <c:pt idx="6">
                  <c:v>0.74951298701298696</c:v>
                </c:pt>
                <c:pt idx="7">
                  <c:v>0.24848484848484848</c:v>
                </c:pt>
                <c:pt idx="8">
                  <c:v>0</c:v>
                </c:pt>
                <c:pt idx="9">
                  <c:v>0.87280640668523679</c:v>
                </c:pt>
                <c:pt idx="10">
                  <c:v>0.74978005865102637</c:v>
                </c:pt>
                <c:pt idx="11">
                  <c:v>0</c:v>
                </c:pt>
                <c:pt idx="12">
                  <c:v>0.29139710412815772</c:v>
                </c:pt>
                <c:pt idx="13">
                  <c:v>0.99984615384615383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0.41891714237882133</c:v>
                </c:pt>
                <c:pt idx="1">
                  <c:v>0.41891714237882133</c:v>
                </c:pt>
                <c:pt idx="2">
                  <c:v>0.41891714237882133</c:v>
                </c:pt>
                <c:pt idx="3">
                  <c:v>0.41891714237882133</c:v>
                </c:pt>
                <c:pt idx="4">
                  <c:v>0.41891714237882133</c:v>
                </c:pt>
                <c:pt idx="5">
                  <c:v>0.41891714237882133</c:v>
                </c:pt>
                <c:pt idx="6">
                  <c:v>0.41891714237882133</c:v>
                </c:pt>
                <c:pt idx="7">
                  <c:v>0.41891714237882133</c:v>
                </c:pt>
                <c:pt idx="8">
                  <c:v>0.41891714237882133</c:v>
                </c:pt>
                <c:pt idx="9">
                  <c:v>0.41891714237882133</c:v>
                </c:pt>
                <c:pt idx="10">
                  <c:v>0.41891714237882133</c:v>
                </c:pt>
                <c:pt idx="11">
                  <c:v>0.41891714237882133</c:v>
                </c:pt>
                <c:pt idx="12">
                  <c:v>0.41891714237882133</c:v>
                </c:pt>
                <c:pt idx="13">
                  <c:v>0.41891714237882133</c:v>
                </c:pt>
                <c:pt idx="14">
                  <c:v>0.41891714237882133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071744"/>
        <c:axId val="273666560"/>
      </c:lineChart>
      <c:catAx>
        <c:axId val="287071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73666560"/>
        <c:crosses val="autoZero"/>
        <c:auto val="1"/>
        <c:lblAlgn val="ctr"/>
        <c:lblOffset val="100"/>
        <c:noMultiLvlLbl val="0"/>
      </c:catAx>
      <c:valAx>
        <c:axId val="2736665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8707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166464"/>
        <c:axId val="2736688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166464"/>
        <c:axId val="273668864"/>
      </c:lineChart>
      <c:catAx>
        <c:axId val="28716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73668864"/>
        <c:crosses val="autoZero"/>
        <c:auto val="1"/>
        <c:lblAlgn val="ctr"/>
        <c:lblOffset val="100"/>
        <c:noMultiLvlLbl val="0"/>
      </c:catAx>
      <c:valAx>
        <c:axId val="273668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871664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1">
                  <c:v>5442</c:v>
                </c:pt>
                <c:pt idx="2">
                  <c:v>3374</c:v>
                </c:pt>
                <c:pt idx="4">
                  <c:v>14136</c:v>
                </c:pt>
                <c:pt idx="6">
                  <c:v>3092</c:v>
                </c:pt>
                <c:pt idx="9">
                  <c:v>4538</c:v>
                </c:pt>
                <c:pt idx="10">
                  <c:v>11506</c:v>
                </c:pt>
                <c:pt idx="12">
                  <c:v>3694</c:v>
                </c:pt>
                <c:pt idx="13">
                  <c:v>6794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5450</c:v>
                </c:pt>
                <c:pt idx="2">
                  <c:v>3380</c:v>
                </c:pt>
                <c:pt idx="3">
                  <c:v>3530</c:v>
                </c:pt>
                <c:pt idx="4">
                  <c:v>14140</c:v>
                </c:pt>
                <c:pt idx="5">
                  <c:v>540</c:v>
                </c:pt>
                <c:pt idx="6">
                  <c:v>3080</c:v>
                </c:pt>
                <c:pt idx="7">
                  <c:v>990</c:v>
                </c:pt>
                <c:pt idx="8">
                  <c:v>542</c:v>
                </c:pt>
                <c:pt idx="9">
                  <c:v>4540</c:v>
                </c:pt>
                <c:pt idx="10">
                  <c:v>11510</c:v>
                </c:pt>
                <c:pt idx="11">
                  <c:v>434</c:v>
                </c:pt>
                <c:pt idx="12">
                  <c:v>3700</c:v>
                </c:pt>
                <c:pt idx="13">
                  <c:v>6800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688576"/>
        <c:axId val="465307904"/>
      </c:lineChart>
      <c:catAx>
        <c:axId val="297688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65307904"/>
        <c:crosses val="autoZero"/>
        <c:auto val="1"/>
        <c:lblAlgn val="ctr"/>
        <c:lblOffset val="100"/>
        <c:noMultiLvlLbl val="0"/>
      </c:catAx>
      <c:valAx>
        <c:axId val="465307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768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79% 100% 0% 87% 0% 79% 0% 0% 100% 100% 0% 83%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0.79050458715596328</c:v>
                </c:pt>
                <c:pt idx="2">
                  <c:v>0.99822485207100586</c:v>
                </c:pt>
                <c:pt idx="3">
                  <c:v>0</c:v>
                </c:pt>
                <c:pt idx="4">
                  <c:v>0.87475247524752475</c:v>
                </c:pt>
                <c:pt idx="5">
                  <c:v>0</c:v>
                </c:pt>
                <c:pt idx="6">
                  <c:v>0.79475108225108215</c:v>
                </c:pt>
                <c:pt idx="7">
                  <c:v>0</c:v>
                </c:pt>
                <c:pt idx="8">
                  <c:v>0</c:v>
                </c:pt>
                <c:pt idx="9">
                  <c:v>0.99955947136563872</c:v>
                </c:pt>
                <c:pt idx="10">
                  <c:v>0.99965247610773245</c:v>
                </c:pt>
                <c:pt idx="11">
                  <c:v>0</c:v>
                </c:pt>
                <c:pt idx="12">
                  <c:v>0.83198198198198203</c:v>
                </c:pt>
                <c:pt idx="13">
                  <c:v>0.99911764705882355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0.48590297154931683</c:v>
                </c:pt>
                <c:pt idx="1">
                  <c:v>0.48590297154931683</c:v>
                </c:pt>
                <c:pt idx="2">
                  <c:v>0.48590297154931683</c:v>
                </c:pt>
                <c:pt idx="3">
                  <c:v>0.48590297154931683</c:v>
                </c:pt>
                <c:pt idx="4">
                  <c:v>0.48590297154931683</c:v>
                </c:pt>
                <c:pt idx="5">
                  <c:v>0.48590297154931683</c:v>
                </c:pt>
                <c:pt idx="6">
                  <c:v>0.48590297154931683</c:v>
                </c:pt>
                <c:pt idx="7">
                  <c:v>0.48590297154931683</c:v>
                </c:pt>
                <c:pt idx="8">
                  <c:v>0.48590297154931683</c:v>
                </c:pt>
                <c:pt idx="9">
                  <c:v>0.48590297154931683</c:v>
                </c:pt>
                <c:pt idx="10">
                  <c:v>0.48590297154931683</c:v>
                </c:pt>
                <c:pt idx="11">
                  <c:v>0.48590297154931683</c:v>
                </c:pt>
                <c:pt idx="12">
                  <c:v>0.48590297154931683</c:v>
                </c:pt>
                <c:pt idx="13">
                  <c:v>0.48590297154931683</c:v>
                </c:pt>
                <c:pt idx="14">
                  <c:v>0.48590297154931683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698816"/>
        <c:axId val="465309632"/>
      </c:lineChart>
      <c:catAx>
        <c:axId val="2976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65309632"/>
        <c:crosses val="autoZero"/>
        <c:auto val="1"/>
        <c:lblAlgn val="ctr"/>
        <c:lblOffset val="100"/>
        <c:noMultiLvlLbl val="0"/>
      </c:catAx>
      <c:valAx>
        <c:axId val="4653096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769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1">
                  <c:v>5442</c:v>
                </c:pt>
                <c:pt idx="2">
                  <c:v>3374</c:v>
                </c:pt>
                <c:pt idx="4">
                  <c:v>14136</c:v>
                </c:pt>
                <c:pt idx="6">
                  <c:v>3092</c:v>
                </c:pt>
                <c:pt idx="9">
                  <c:v>4538</c:v>
                </c:pt>
                <c:pt idx="10">
                  <c:v>11506</c:v>
                </c:pt>
                <c:pt idx="12">
                  <c:v>3694</c:v>
                </c:pt>
                <c:pt idx="13">
                  <c:v>6794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1076</c:v>
                </c:pt>
                <c:pt idx="1">
                  <c:v>5450</c:v>
                </c:pt>
                <c:pt idx="2">
                  <c:v>3380</c:v>
                </c:pt>
                <c:pt idx="3">
                  <c:v>3530</c:v>
                </c:pt>
                <c:pt idx="4">
                  <c:v>14140</c:v>
                </c:pt>
                <c:pt idx="5">
                  <c:v>540</c:v>
                </c:pt>
                <c:pt idx="6">
                  <c:v>3080</c:v>
                </c:pt>
                <c:pt idx="7">
                  <c:v>990</c:v>
                </c:pt>
                <c:pt idx="8">
                  <c:v>542</c:v>
                </c:pt>
                <c:pt idx="9">
                  <c:v>4540</c:v>
                </c:pt>
                <c:pt idx="10">
                  <c:v>11510</c:v>
                </c:pt>
                <c:pt idx="11">
                  <c:v>434</c:v>
                </c:pt>
                <c:pt idx="12">
                  <c:v>3700</c:v>
                </c:pt>
                <c:pt idx="13">
                  <c:v>6800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699328"/>
        <c:axId val="465311936"/>
      </c:lineChart>
      <c:catAx>
        <c:axId val="2976993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65311936"/>
        <c:crosses val="autoZero"/>
        <c:auto val="1"/>
        <c:lblAlgn val="ctr"/>
        <c:lblOffset val="100"/>
        <c:noMultiLvlLbl val="0"/>
      </c:catAx>
      <c:valAx>
        <c:axId val="465311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97699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79% 100% 0% 87% 0% 79% 0% 0% 100% 100% 0% 83%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0.79050458715596328</c:v>
                </c:pt>
                <c:pt idx="2">
                  <c:v>0.99822485207100586</c:v>
                </c:pt>
                <c:pt idx="3">
                  <c:v>0</c:v>
                </c:pt>
                <c:pt idx="4">
                  <c:v>0.87475247524752475</c:v>
                </c:pt>
                <c:pt idx="5">
                  <c:v>0</c:v>
                </c:pt>
                <c:pt idx="6">
                  <c:v>0.79475108225108215</c:v>
                </c:pt>
                <c:pt idx="7">
                  <c:v>0</c:v>
                </c:pt>
                <c:pt idx="8">
                  <c:v>0</c:v>
                </c:pt>
                <c:pt idx="9">
                  <c:v>0.99955947136563872</c:v>
                </c:pt>
                <c:pt idx="10">
                  <c:v>0.99965247610773245</c:v>
                </c:pt>
                <c:pt idx="11">
                  <c:v>0</c:v>
                </c:pt>
                <c:pt idx="12">
                  <c:v>0.83198198198198203</c:v>
                </c:pt>
                <c:pt idx="13">
                  <c:v>0.99911764705882355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4"/>
                <c:pt idx="0">
                  <c:v>COVER</c:v>
                </c:pt>
                <c:pt idx="1">
                  <c:v>LATCH</c:v>
                </c:pt>
                <c:pt idx="2">
                  <c:v>BASE/COVER</c:v>
                </c:pt>
                <c:pt idx="3">
                  <c:v>FLOAT</c:v>
                </c:pt>
                <c:pt idx="4">
                  <c:v>SEPARATOR</c:v>
                </c:pt>
                <c:pt idx="5">
                  <c:v>F/ADAPTER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F/ADAPTER</c:v>
                </c:pt>
                <c:pt idx="12">
                  <c:v>M2 CONN</c:v>
                </c:pt>
                <c:pt idx="13">
                  <c:v>SPACER A,C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0.48590297154931683</c:v>
                </c:pt>
                <c:pt idx="1">
                  <c:v>0.48590297154931683</c:v>
                </c:pt>
                <c:pt idx="2">
                  <c:v>0.48590297154931683</c:v>
                </c:pt>
                <c:pt idx="3">
                  <c:v>0.48590297154931683</c:v>
                </c:pt>
                <c:pt idx="4">
                  <c:v>0.48590297154931683</c:v>
                </c:pt>
                <c:pt idx="5">
                  <c:v>0.48590297154931683</c:v>
                </c:pt>
                <c:pt idx="6">
                  <c:v>0.48590297154931683</c:v>
                </c:pt>
                <c:pt idx="7">
                  <c:v>0.48590297154931683</c:v>
                </c:pt>
                <c:pt idx="8">
                  <c:v>0.48590297154931683</c:v>
                </c:pt>
                <c:pt idx="9">
                  <c:v>0.48590297154931683</c:v>
                </c:pt>
                <c:pt idx="10">
                  <c:v>0.48590297154931683</c:v>
                </c:pt>
                <c:pt idx="11">
                  <c:v>0.48590297154931683</c:v>
                </c:pt>
                <c:pt idx="12">
                  <c:v>0.48590297154931683</c:v>
                </c:pt>
                <c:pt idx="13">
                  <c:v>0.48590297154931683</c:v>
                </c:pt>
                <c:pt idx="14">
                  <c:v>0.48590297154931683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700352"/>
        <c:axId val="473735168"/>
      </c:lineChart>
      <c:catAx>
        <c:axId val="29770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35168"/>
        <c:crosses val="autoZero"/>
        <c:auto val="1"/>
        <c:lblAlgn val="ctr"/>
        <c:lblOffset val="100"/>
        <c:noMultiLvlLbl val="0"/>
      </c:catAx>
      <c:valAx>
        <c:axId val="473735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9770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698304"/>
        <c:axId val="47373747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698304"/>
        <c:axId val="473737472"/>
      </c:lineChart>
      <c:catAx>
        <c:axId val="29769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473737472"/>
        <c:crosses val="autoZero"/>
        <c:auto val="1"/>
        <c:lblAlgn val="ctr"/>
        <c:lblOffset val="100"/>
        <c:noMultiLvlLbl val="0"/>
      </c:catAx>
      <c:valAx>
        <c:axId val="4737374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976983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4687</c:v>
                </c:pt>
                <c:pt idx="1">
                  <c:v>2651</c:v>
                </c:pt>
                <c:pt idx="2">
                  <c:v>3254</c:v>
                </c:pt>
                <c:pt idx="3">
                  <c:v>2218</c:v>
                </c:pt>
                <c:pt idx="4">
                  <c:v>16892</c:v>
                </c:pt>
                <c:pt idx="6">
                  <c:v>764</c:v>
                </c:pt>
                <c:pt idx="9">
                  <c:v>4548</c:v>
                </c:pt>
                <c:pt idx="10">
                  <c:v>11028</c:v>
                </c:pt>
                <c:pt idx="11">
                  <c:v>2214</c:v>
                </c:pt>
                <c:pt idx="12">
                  <c:v>905</c:v>
                </c:pt>
                <c:pt idx="13">
                  <c:v>3217</c:v>
                </c:pt>
                <c:pt idx="14">
                  <c:v>11914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4690</c:v>
                </c:pt>
                <c:pt idx="1">
                  <c:v>2651</c:v>
                </c:pt>
                <c:pt idx="2">
                  <c:v>3255</c:v>
                </c:pt>
                <c:pt idx="3">
                  <c:v>2220</c:v>
                </c:pt>
                <c:pt idx="4">
                  <c:v>16900</c:v>
                </c:pt>
                <c:pt idx="5">
                  <c:v>540</c:v>
                </c:pt>
                <c:pt idx="6">
                  <c:v>770</c:v>
                </c:pt>
                <c:pt idx="7">
                  <c:v>990</c:v>
                </c:pt>
                <c:pt idx="8">
                  <c:v>542</c:v>
                </c:pt>
                <c:pt idx="9">
                  <c:v>4550</c:v>
                </c:pt>
                <c:pt idx="10">
                  <c:v>11030</c:v>
                </c:pt>
                <c:pt idx="11">
                  <c:v>2220</c:v>
                </c:pt>
                <c:pt idx="12">
                  <c:v>910</c:v>
                </c:pt>
                <c:pt idx="13">
                  <c:v>3220</c:v>
                </c:pt>
                <c:pt idx="14">
                  <c:v>11920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21600"/>
        <c:axId val="473740352"/>
      </c:lineChart>
      <c:catAx>
        <c:axId val="3001216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3740352"/>
        <c:crosses val="autoZero"/>
        <c:auto val="1"/>
        <c:lblAlgn val="ctr"/>
        <c:lblOffset val="100"/>
        <c:noMultiLvlLbl val="0"/>
      </c:catAx>
      <c:valAx>
        <c:axId val="4737403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12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100% 83% 100% 58% 100% 0% 25% 0% 0% 100% 100% 62% 21% 75%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0.99936034115138594</c:v>
                </c:pt>
                <c:pt idx="1">
                  <c:v>0.83333333333333337</c:v>
                </c:pt>
                <c:pt idx="2">
                  <c:v>0.99969278033794162</c:v>
                </c:pt>
                <c:pt idx="3">
                  <c:v>0.58280780780780783</c:v>
                </c:pt>
                <c:pt idx="4">
                  <c:v>0.99952662721893493</c:v>
                </c:pt>
                <c:pt idx="5">
                  <c:v>0</c:v>
                </c:pt>
                <c:pt idx="6">
                  <c:v>0.24805194805194805</c:v>
                </c:pt>
                <c:pt idx="7">
                  <c:v>0</c:v>
                </c:pt>
                <c:pt idx="8">
                  <c:v>0</c:v>
                </c:pt>
                <c:pt idx="9">
                  <c:v>0.99956043956043961</c:v>
                </c:pt>
                <c:pt idx="10">
                  <c:v>0.99981867633726196</c:v>
                </c:pt>
                <c:pt idx="11">
                  <c:v>0.62331081081081086</c:v>
                </c:pt>
                <c:pt idx="12">
                  <c:v>0.2071886446886447</c:v>
                </c:pt>
                <c:pt idx="13">
                  <c:v>0.7493012422360249</c:v>
                </c:pt>
                <c:pt idx="14">
                  <c:v>0.95785095078299787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0.61332024015450215</c:v>
                </c:pt>
                <c:pt idx="1">
                  <c:v>0.61332024015450215</c:v>
                </c:pt>
                <c:pt idx="2">
                  <c:v>0.61332024015450215</c:v>
                </c:pt>
                <c:pt idx="3">
                  <c:v>0.61332024015450215</c:v>
                </c:pt>
                <c:pt idx="4">
                  <c:v>0.61332024015450215</c:v>
                </c:pt>
                <c:pt idx="5">
                  <c:v>0.61332024015450215</c:v>
                </c:pt>
                <c:pt idx="6">
                  <c:v>0.61332024015450215</c:v>
                </c:pt>
                <c:pt idx="7">
                  <c:v>0.61332024015450215</c:v>
                </c:pt>
                <c:pt idx="8">
                  <c:v>0.61332024015450215</c:v>
                </c:pt>
                <c:pt idx="9">
                  <c:v>0.61332024015450215</c:v>
                </c:pt>
                <c:pt idx="10">
                  <c:v>0.61332024015450215</c:v>
                </c:pt>
                <c:pt idx="11">
                  <c:v>0.61332024015450215</c:v>
                </c:pt>
                <c:pt idx="12">
                  <c:v>0</c:v>
                </c:pt>
                <c:pt idx="13">
                  <c:v>0.61332024015450215</c:v>
                </c:pt>
                <c:pt idx="14">
                  <c:v>0.61332024015450215</c:v>
                </c:pt>
                <c:pt idx="15">
                  <c:v>0.61332024015450215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30816"/>
        <c:axId val="473742080"/>
      </c:lineChart>
      <c:catAx>
        <c:axId val="30013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42080"/>
        <c:crosses val="autoZero"/>
        <c:auto val="1"/>
        <c:lblAlgn val="ctr"/>
        <c:lblOffset val="100"/>
        <c:noMultiLvlLbl val="0"/>
      </c:catAx>
      <c:valAx>
        <c:axId val="473742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130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0">
                  <c:v>4687</c:v>
                </c:pt>
                <c:pt idx="1">
                  <c:v>2651</c:v>
                </c:pt>
                <c:pt idx="2">
                  <c:v>3254</c:v>
                </c:pt>
                <c:pt idx="3">
                  <c:v>2218</c:v>
                </c:pt>
                <c:pt idx="4">
                  <c:v>16892</c:v>
                </c:pt>
                <c:pt idx="6">
                  <c:v>764</c:v>
                </c:pt>
                <c:pt idx="9">
                  <c:v>4548</c:v>
                </c:pt>
                <c:pt idx="10">
                  <c:v>11028</c:v>
                </c:pt>
                <c:pt idx="11">
                  <c:v>2214</c:v>
                </c:pt>
                <c:pt idx="12">
                  <c:v>905</c:v>
                </c:pt>
                <c:pt idx="13">
                  <c:v>3217</c:v>
                </c:pt>
                <c:pt idx="14">
                  <c:v>11914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4690</c:v>
                </c:pt>
                <c:pt idx="1">
                  <c:v>2651</c:v>
                </c:pt>
                <c:pt idx="2">
                  <c:v>3255</c:v>
                </c:pt>
                <c:pt idx="3">
                  <c:v>2220</c:v>
                </c:pt>
                <c:pt idx="4">
                  <c:v>16900</c:v>
                </c:pt>
                <c:pt idx="5">
                  <c:v>540</c:v>
                </c:pt>
                <c:pt idx="6">
                  <c:v>770</c:v>
                </c:pt>
                <c:pt idx="7">
                  <c:v>990</c:v>
                </c:pt>
                <c:pt idx="8">
                  <c:v>542</c:v>
                </c:pt>
                <c:pt idx="9">
                  <c:v>4550</c:v>
                </c:pt>
                <c:pt idx="10">
                  <c:v>11030</c:v>
                </c:pt>
                <c:pt idx="11">
                  <c:v>2220</c:v>
                </c:pt>
                <c:pt idx="12">
                  <c:v>910</c:v>
                </c:pt>
                <c:pt idx="13">
                  <c:v>3220</c:v>
                </c:pt>
                <c:pt idx="14">
                  <c:v>11920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31840"/>
        <c:axId val="509764736"/>
      </c:lineChart>
      <c:catAx>
        <c:axId val="300131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64736"/>
        <c:crosses val="autoZero"/>
        <c:auto val="1"/>
        <c:lblAlgn val="ctr"/>
        <c:lblOffset val="100"/>
        <c:noMultiLvlLbl val="0"/>
      </c:catAx>
      <c:valAx>
        <c:axId val="509764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131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"/>
                <c:pt idx="0">
                  <c:v>100% 83% 100% 58% 100% 0% 25% 0% 0% 100% 100% 62% 21% 75%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0.99936034115138594</c:v>
                </c:pt>
                <c:pt idx="1">
                  <c:v>0.83333333333333337</c:v>
                </c:pt>
                <c:pt idx="2">
                  <c:v>0.99969278033794162</c:v>
                </c:pt>
                <c:pt idx="3">
                  <c:v>0.58280780780780783</c:v>
                </c:pt>
                <c:pt idx="4">
                  <c:v>0.99952662721893493</c:v>
                </c:pt>
                <c:pt idx="5">
                  <c:v>0</c:v>
                </c:pt>
                <c:pt idx="6">
                  <c:v>0.24805194805194805</c:v>
                </c:pt>
                <c:pt idx="7">
                  <c:v>0</c:v>
                </c:pt>
                <c:pt idx="8">
                  <c:v>0</c:v>
                </c:pt>
                <c:pt idx="9">
                  <c:v>0.99956043956043961</c:v>
                </c:pt>
                <c:pt idx="10">
                  <c:v>0.99981867633726196</c:v>
                </c:pt>
                <c:pt idx="11">
                  <c:v>0.62331081081081086</c:v>
                </c:pt>
                <c:pt idx="12">
                  <c:v>0.2071886446886447</c:v>
                </c:pt>
                <c:pt idx="13">
                  <c:v>0.7493012422360249</c:v>
                </c:pt>
                <c:pt idx="14">
                  <c:v>0.95785095078299787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M2 CONN</c:v>
                </c:pt>
                <c:pt idx="13">
                  <c:v>BASE</c:v>
                </c:pt>
                <c:pt idx="14">
                  <c:v>ADAPTER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0.61332024015450215</c:v>
                </c:pt>
                <c:pt idx="1">
                  <c:v>0.61332024015450215</c:v>
                </c:pt>
                <c:pt idx="2">
                  <c:v>0.61332024015450215</c:v>
                </c:pt>
                <c:pt idx="3">
                  <c:v>0.61332024015450215</c:v>
                </c:pt>
                <c:pt idx="4">
                  <c:v>0.61332024015450215</c:v>
                </c:pt>
                <c:pt idx="5">
                  <c:v>0.61332024015450215</c:v>
                </c:pt>
                <c:pt idx="6">
                  <c:v>0.61332024015450215</c:v>
                </c:pt>
                <c:pt idx="7">
                  <c:v>0.61332024015450215</c:v>
                </c:pt>
                <c:pt idx="8">
                  <c:v>0.61332024015450215</c:v>
                </c:pt>
                <c:pt idx="9">
                  <c:v>0.61332024015450215</c:v>
                </c:pt>
                <c:pt idx="10">
                  <c:v>0.61332024015450215</c:v>
                </c:pt>
                <c:pt idx="11">
                  <c:v>0.61332024015450215</c:v>
                </c:pt>
                <c:pt idx="12">
                  <c:v>0</c:v>
                </c:pt>
                <c:pt idx="13">
                  <c:v>0.61332024015450215</c:v>
                </c:pt>
                <c:pt idx="14">
                  <c:v>0.61332024015450215</c:v>
                </c:pt>
                <c:pt idx="15">
                  <c:v>0.61332024015450215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32352"/>
        <c:axId val="509766464"/>
      </c:lineChart>
      <c:catAx>
        <c:axId val="30013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09766464"/>
        <c:crosses val="autoZero"/>
        <c:auto val="1"/>
        <c:lblAlgn val="ctr"/>
        <c:lblOffset val="100"/>
        <c:noMultiLvlLbl val="0"/>
      </c:catAx>
      <c:valAx>
        <c:axId val="5097664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132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132864"/>
        <c:axId val="5097687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132864"/>
        <c:axId val="509768768"/>
      </c:lineChart>
      <c:catAx>
        <c:axId val="30013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509768768"/>
        <c:crosses val="autoZero"/>
        <c:auto val="1"/>
        <c:lblAlgn val="ctr"/>
        <c:lblOffset val="100"/>
        <c:noMultiLvlLbl val="0"/>
      </c:catAx>
      <c:valAx>
        <c:axId val="5097687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01328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5154</c:v>
                </c:pt>
                <c:pt idx="1">
                  <c:v>1135</c:v>
                </c:pt>
                <c:pt idx="2">
                  <c:v>1094</c:v>
                </c:pt>
                <c:pt idx="3">
                  <c:v>1774</c:v>
                </c:pt>
                <c:pt idx="4">
                  <c:v>17050</c:v>
                </c:pt>
                <c:pt idx="6">
                  <c:v>1207</c:v>
                </c:pt>
                <c:pt idx="7">
                  <c:v>8464</c:v>
                </c:pt>
                <c:pt idx="9">
                  <c:v>2775</c:v>
                </c:pt>
                <c:pt idx="10">
                  <c:v>9460</c:v>
                </c:pt>
                <c:pt idx="11">
                  <c:v>1533</c:v>
                </c:pt>
                <c:pt idx="12">
                  <c:v>2690</c:v>
                </c:pt>
                <c:pt idx="13">
                  <c:v>2944</c:v>
                </c:pt>
                <c:pt idx="14">
                  <c:v>1320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1140</c:v>
                </c:pt>
                <c:pt idx="2">
                  <c:v>1095</c:v>
                </c:pt>
                <c:pt idx="3">
                  <c:v>1780</c:v>
                </c:pt>
                <c:pt idx="4">
                  <c:v>17050</c:v>
                </c:pt>
                <c:pt idx="5">
                  <c:v>540</c:v>
                </c:pt>
                <c:pt idx="6">
                  <c:v>1210</c:v>
                </c:pt>
                <c:pt idx="7">
                  <c:v>8470</c:v>
                </c:pt>
                <c:pt idx="8">
                  <c:v>2780</c:v>
                </c:pt>
                <c:pt idx="9">
                  <c:v>2780</c:v>
                </c:pt>
                <c:pt idx="10">
                  <c:v>9460</c:v>
                </c:pt>
                <c:pt idx="11">
                  <c:v>1540</c:v>
                </c:pt>
                <c:pt idx="12">
                  <c:v>2690</c:v>
                </c:pt>
                <c:pt idx="13">
                  <c:v>2950</c:v>
                </c:pt>
                <c:pt idx="14">
                  <c:v>1320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783104"/>
        <c:axId val="509771072"/>
      </c:lineChart>
      <c:catAx>
        <c:axId val="300783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09771072"/>
        <c:crosses val="autoZero"/>
        <c:auto val="1"/>
        <c:lblAlgn val="ctr"/>
        <c:lblOffset val="100"/>
        <c:noMultiLvlLbl val="0"/>
      </c:catAx>
      <c:valAx>
        <c:axId val="509771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783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"/>
                <c:pt idx="0">
                  <c:v>100% 41% 42% 46% 100% 0% 42% 83% 0% 83% 92% 25% 71% 62%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0.99883720930232556</c:v>
                </c:pt>
                <c:pt idx="1">
                  <c:v>0.41483918128654973</c:v>
                </c:pt>
                <c:pt idx="2">
                  <c:v>0.4162861491628615</c:v>
                </c:pt>
                <c:pt idx="3">
                  <c:v>0.45678838951310857</c:v>
                </c:pt>
                <c:pt idx="4">
                  <c:v>1</c:v>
                </c:pt>
                <c:pt idx="5">
                  <c:v>0</c:v>
                </c:pt>
                <c:pt idx="6">
                  <c:v>0.41563360881542699</c:v>
                </c:pt>
                <c:pt idx="7">
                  <c:v>0.83274301456119637</c:v>
                </c:pt>
                <c:pt idx="8">
                  <c:v>0</c:v>
                </c:pt>
                <c:pt idx="9">
                  <c:v>0.83183453237410077</c:v>
                </c:pt>
                <c:pt idx="10">
                  <c:v>0.91666666666666663</c:v>
                </c:pt>
                <c:pt idx="11">
                  <c:v>0.24886363636363637</c:v>
                </c:pt>
                <c:pt idx="12">
                  <c:v>0.70833333333333337</c:v>
                </c:pt>
                <c:pt idx="13">
                  <c:v>0.62372881355932208</c:v>
                </c:pt>
                <c:pt idx="14">
                  <c:v>0.33333333333333331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0.5465258578847908</c:v>
                </c:pt>
                <c:pt idx="1">
                  <c:v>0.5465258578847908</c:v>
                </c:pt>
                <c:pt idx="2">
                  <c:v>0.5465258578847908</c:v>
                </c:pt>
                <c:pt idx="3">
                  <c:v>0.5465258578847908</c:v>
                </c:pt>
                <c:pt idx="4">
                  <c:v>0.5465258578847908</c:v>
                </c:pt>
                <c:pt idx="5">
                  <c:v>0.5465258578847908</c:v>
                </c:pt>
                <c:pt idx="6">
                  <c:v>0.5465258578847908</c:v>
                </c:pt>
                <c:pt idx="7">
                  <c:v>0.5465258578847908</c:v>
                </c:pt>
                <c:pt idx="8">
                  <c:v>0.5465258578847908</c:v>
                </c:pt>
                <c:pt idx="9">
                  <c:v>0.5465258578847908</c:v>
                </c:pt>
                <c:pt idx="10">
                  <c:v>0.5465258578847908</c:v>
                </c:pt>
                <c:pt idx="11">
                  <c:v>0.5465258578847908</c:v>
                </c:pt>
                <c:pt idx="12">
                  <c:v>0.5465258578847908</c:v>
                </c:pt>
                <c:pt idx="13">
                  <c:v>0.5465258578847908</c:v>
                </c:pt>
                <c:pt idx="14">
                  <c:v>0.5465258578847908</c:v>
                </c:pt>
                <c:pt idx="15">
                  <c:v>0.5465258578847908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785152"/>
        <c:axId val="473711744"/>
      </c:lineChart>
      <c:catAx>
        <c:axId val="30078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11744"/>
        <c:crosses val="autoZero"/>
        <c:auto val="1"/>
        <c:lblAlgn val="ctr"/>
        <c:lblOffset val="100"/>
        <c:noMultiLvlLbl val="0"/>
      </c:catAx>
      <c:valAx>
        <c:axId val="4737117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78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0">
                  <c:v>5154</c:v>
                </c:pt>
                <c:pt idx="1">
                  <c:v>1135</c:v>
                </c:pt>
                <c:pt idx="2">
                  <c:v>1094</c:v>
                </c:pt>
                <c:pt idx="3">
                  <c:v>1774</c:v>
                </c:pt>
                <c:pt idx="4">
                  <c:v>17050</c:v>
                </c:pt>
                <c:pt idx="6">
                  <c:v>1207</c:v>
                </c:pt>
                <c:pt idx="7">
                  <c:v>8464</c:v>
                </c:pt>
                <c:pt idx="9">
                  <c:v>2775</c:v>
                </c:pt>
                <c:pt idx="10">
                  <c:v>9460</c:v>
                </c:pt>
                <c:pt idx="11">
                  <c:v>1533</c:v>
                </c:pt>
                <c:pt idx="12">
                  <c:v>2690</c:v>
                </c:pt>
                <c:pt idx="13">
                  <c:v>2944</c:v>
                </c:pt>
                <c:pt idx="14">
                  <c:v>1320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5160</c:v>
                </c:pt>
                <c:pt idx="1">
                  <c:v>1140</c:v>
                </c:pt>
                <c:pt idx="2">
                  <c:v>1095</c:v>
                </c:pt>
                <c:pt idx="3">
                  <c:v>1780</c:v>
                </c:pt>
                <c:pt idx="4">
                  <c:v>17050</c:v>
                </c:pt>
                <c:pt idx="5">
                  <c:v>540</c:v>
                </c:pt>
                <c:pt idx="6">
                  <c:v>1210</c:v>
                </c:pt>
                <c:pt idx="7">
                  <c:v>8470</c:v>
                </c:pt>
                <c:pt idx="8">
                  <c:v>2780</c:v>
                </c:pt>
                <c:pt idx="9">
                  <c:v>2780</c:v>
                </c:pt>
                <c:pt idx="10">
                  <c:v>9460</c:v>
                </c:pt>
                <c:pt idx="11">
                  <c:v>1540</c:v>
                </c:pt>
                <c:pt idx="12">
                  <c:v>2690</c:v>
                </c:pt>
                <c:pt idx="13">
                  <c:v>2950</c:v>
                </c:pt>
                <c:pt idx="14">
                  <c:v>1320</c:v>
                </c:pt>
                <c:pt idx="15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994560"/>
        <c:axId val="473714048"/>
      </c:lineChart>
      <c:catAx>
        <c:axId val="3009945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73714048"/>
        <c:crosses val="autoZero"/>
        <c:auto val="1"/>
        <c:lblAlgn val="ctr"/>
        <c:lblOffset val="100"/>
        <c:noMultiLvlLbl val="0"/>
      </c:catAx>
      <c:valAx>
        <c:axId val="4737140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0994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"/>
                <c:pt idx="0">
                  <c:v>100% 41% 42% 46% 100% 0% 42% 83% 0% 83% 92% 25% 71% 62% 33%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0.99883720930232556</c:v>
                </c:pt>
                <c:pt idx="1">
                  <c:v>0.41483918128654973</c:v>
                </c:pt>
                <c:pt idx="2">
                  <c:v>0.4162861491628615</c:v>
                </c:pt>
                <c:pt idx="3">
                  <c:v>0.45678838951310857</c:v>
                </c:pt>
                <c:pt idx="4">
                  <c:v>1</c:v>
                </c:pt>
                <c:pt idx="5">
                  <c:v>0</c:v>
                </c:pt>
                <c:pt idx="6">
                  <c:v>0.41563360881542699</c:v>
                </c:pt>
                <c:pt idx="7">
                  <c:v>0.83274301456119637</c:v>
                </c:pt>
                <c:pt idx="8">
                  <c:v>0</c:v>
                </c:pt>
                <c:pt idx="9">
                  <c:v>0.83183453237410077</c:v>
                </c:pt>
                <c:pt idx="10">
                  <c:v>0.91666666666666663</c:v>
                </c:pt>
                <c:pt idx="11">
                  <c:v>0.24886363636363637</c:v>
                </c:pt>
                <c:pt idx="12">
                  <c:v>0.70833333333333337</c:v>
                </c:pt>
                <c:pt idx="13">
                  <c:v>0.62372881355932208</c:v>
                </c:pt>
                <c:pt idx="14">
                  <c:v>0.33333333333333331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3">
                  <c:v>BASE</c:v>
                </c:pt>
                <c:pt idx="14">
                  <c:v>BOTTOM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0.5465258578847908</c:v>
                </c:pt>
                <c:pt idx="1">
                  <c:v>0.5465258578847908</c:v>
                </c:pt>
                <c:pt idx="2">
                  <c:v>0.5465258578847908</c:v>
                </c:pt>
                <c:pt idx="3">
                  <c:v>0.5465258578847908</c:v>
                </c:pt>
                <c:pt idx="4">
                  <c:v>0.5465258578847908</c:v>
                </c:pt>
                <c:pt idx="5">
                  <c:v>0.5465258578847908</c:v>
                </c:pt>
                <c:pt idx="6">
                  <c:v>0.5465258578847908</c:v>
                </c:pt>
                <c:pt idx="7">
                  <c:v>0.5465258578847908</c:v>
                </c:pt>
                <c:pt idx="8">
                  <c:v>0.5465258578847908</c:v>
                </c:pt>
                <c:pt idx="9">
                  <c:v>0.5465258578847908</c:v>
                </c:pt>
                <c:pt idx="10">
                  <c:v>0.5465258578847908</c:v>
                </c:pt>
                <c:pt idx="11">
                  <c:v>0.5465258578847908</c:v>
                </c:pt>
                <c:pt idx="12">
                  <c:v>0.5465258578847908</c:v>
                </c:pt>
                <c:pt idx="13">
                  <c:v>0.5465258578847908</c:v>
                </c:pt>
                <c:pt idx="14">
                  <c:v>0.5465258578847908</c:v>
                </c:pt>
                <c:pt idx="15">
                  <c:v>0.5465258578847908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996096"/>
        <c:axId val="473715776"/>
      </c:lineChart>
      <c:catAx>
        <c:axId val="30099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73715776"/>
        <c:crosses val="autoZero"/>
        <c:auto val="1"/>
        <c:lblAlgn val="ctr"/>
        <c:lblOffset val="100"/>
        <c:noMultiLvlLbl val="0"/>
      </c:catAx>
      <c:valAx>
        <c:axId val="4737157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099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997632"/>
        <c:axId val="4737180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997632"/>
        <c:axId val="473718080"/>
      </c:lineChart>
      <c:catAx>
        <c:axId val="300997632"/>
        <c:scaling>
          <c:orientation val="minMax"/>
        </c:scaling>
        <c:delete val="0"/>
        <c:axPos val="b"/>
        <c:majorTickMark val="out"/>
        <c:minorTickMark val="none"/>
        <c:tickLblPos val="nextTo"/>
        <c:crossAx val="473718080"/>
        <c:crosses val="autoZero"/>
        <c:auto val="1"/>
        <c:lblAlgn val="ctr"/>
        <c:lblOffset val="100"/>
        <c:noMultiLvlLbl val="0"/>
      </c:catAx>
      <c:valAx>
        <c:axId val="4737180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09976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680</c:v>
                </c:pt>
                <c:pt idx="4">
                  <c:v>7992</c:v>
                </c:pt>
                <c:pt idx="6">
                  <c:v>380</c:v>
                </c:pt>
                <c:pt idx="7">
                  <c:v>6700</c:v>
                </c:pt>
                <c:pt idx="10">
                  <c:v>5364</c:v>
                </c:pt>
                <c:pt idx="11">
                  <c:v>2377</c:v>
                </c:pt>
                <c:pt idx="13">
                  <c:v>1803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1780</c:v>
                </c:pt>
                <c:pt idx="4">
                  <c:v>17050</c:v>
                </c:pt>
                <c:pt idx="5">
                  <c:v>540</c:v>
                </c:pt>
                <c:pt idx="6">
                  <c:v>380</c:v>
                </c:pt>
                <c:pt idx="7">
                  <c:v>6700</c:v>
                </c:pt>
                <c:pt idx="8">
                  <c:v>2780</c:v>
                </c:pt>
                <c:pt idx="9">
                  <c:v>2780</c:v>
                </c:pt>
                <c:pt idx="10">
                  <c:v>5370</c:v>
                </c:pt>
                <c:pt idx="11">
                  <c:v>2380</c:v>
                </c:pt>
                <c:pt idx="12">
                  <c:v>2950</c:v>
                </c:pt>
                <c:pt idx="13">
                  <c:v>1810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314048"/>
        <c:axId val="546154752"/>
      </c:lineChart>
      <c:catAx>
        <c:axId val="3013140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46154752"/>
        <c:crosses val="autoZero"/>
        <c:auto val="1"/>
        <c:lblAlgn val="ctr"/>
        <c:lblOffset val="100"/>
        <c:noMultiLvlLbl val="0"/>
      </c:catAx>
      <c:valAx>
        <c:axId val="5461547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314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17% 0% 0% 0% 18% 0% 17% 38% 0% 0% 37% 33% 0% 37%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0.17577712609970675</c:v>
                </c:pt>
                <c:pt idx="5">
                  <c:v>0</c:v>
                </c:pt>
                <c:pt idx="6">
                  <c:v>0.16666666666666666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0.37458100558659213</c:v>
                </c:pt>
                <c:pt idx="11">
                  <c:v>0.33291316526610643</c:v>
                </c:pt>
                <c:pt idx="12">
                  <c:v>0</c:v>
                </c:pt>
                <c:pt idx="13">
                  <c:v>0.37354972375690609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0.13101029026950964</c:v>
                </c:pt>
                <c:pt idx="1">
                  <c:v>0.13101029026950964</c:v>
                </c:pt>
                <c:pt idx="2">
                  <c:v>0.13101029026950964</c:v>
                </c:pt>
                <c:pt idx="3">
                  <c:v>0.13101029026950964</c:v>
                </c:pt>
                <c:pt idx="4">
                  <c:v>0.13101029026950964</c:v>
                </c:pt>
                <c:pt idx="5">
                  <c:v>0.13101029026950964</c:v>
                </c:pt>
                <c:pt idx="6">
                  <c:v>0.13101029026950964</c:v>
                </c:pt>
                <c:pt idx="7">
                  <c:v>0.13101029026950964</c:v>
                </c:pt>
                <c:pt idx="8">
                  <c:v>0.13101029026950964</c:v>
                </c:pt>
                <c:pt idx="9">
                  <c:v>0.13101029026950964</c:v>
                </c:pt>
                <c:pt idx="10">
                  <c:v>0.13101029026950964</c:v>
                </c:pt>
                <c:pt idx="11">
                  <c:v>0.13101029026950964</c:v>
                </c:pt>
                <c:pt idx="12">
                  <c:v>0.13101029026950964</c:v>
                </c:pt>
                <c:pt idx="13">
                  <c:v>0.13101029026950964</c:v>
                </c:pt>
                <c:pt idx="14">
                  <c:v>0.13101029026950964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315584"/>
        <c:axId val="546156480"/>
      </c:lineChart>
      <c:catAx>
        <c:axId val="30131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46156480"/>
        <c:crosses val="autoZero"/>
        <c:auto val="1"/>
        <c:lblAlgn val="ctr"/>
        <c:lblOffset val="100"/>
        <c:noMultiLvlLbl val="0"/>
      </c:catAx>
      <c:valAx>
        <c:axId val="5461564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315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680</c:v>
                </c:pt>
                <c:pt idx="4">
                  <c:v>7992</c:v>
                </c:pt>
                <c:pt idx="6">
                  <c:v>380</c:v>
                </c:pt>
                <c:pt idx="7">
                  <c:v>6700</c:v>
                </c:pt>
                <c:pt idx="10">
                  <c:v>5364</c:v>
                </c:pt>
                <c:pt idx="11">
                  <c:v>2377</c:v>
                </c:pt>
                <c:pt idx="13">
                  <c:v>1803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1780</c:v>
                </c:pt>
                <c:pt idx="4">
                  <c:v>17050</c:v>
                </c:pt>
                <c:pt idx="5">
                  <c:v>540</c:v>
                </c:pt>
                <c:pt idx="6">
                  <c:v>380</c:v>
                </c:pt>
                <c:pt idx="7">
                  <c:v>6700</c:v>
                </c:pt>
                <c:pt idx="8">
                  <c:v>2780</c:v>
                </c:pt>
                <c:pt idx="9">
                  <c:v>2780</c:v>
                </c:pt>
                <c:pt idx="10">
                  <c:v>5370</c:v>
                </c:pt>
                <c:pt idx="11">
                  <c:v>2380</c:v>
                </c:pt>
                <c:pt idx="12">
                  <c:v>2950</c:v>
                </c:pt>
                <c:pt idx="13">
                  <c:v>1810</c:v>
                </c:pt>
                <c:pt idx="14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316096"/>
        <c:axId val="546158784"/>
      </c:lineChart>
      <c:catAx>
        <c:axId val="3013160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46158784"/>
        <c:crosses val="autoZero"/>
        <c:auto val="1"/>
        <c:lblAlgn val="ctr"/>
        <c:lblOffset val="100"/>
        <c:noMultiLvlLbl val="0"/>
      </c:catAx>
      <c:valAx>
        <c:axId val="54615878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131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17% 0% 0% 0% 18% 0% 17% 38% 0% 0% 37% 33% 0% 37%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0.17577712609970675</c:v>
                </c:pt>
                <c:pt idx="5">
                  <c:v>0</c:v>
                </c:pt>
                <c:pt idx="6">
                  <c:v>0.16666666666666666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0.37458100558659213</c:v>
                </c:pt>
                <c:pt idx="11">
                  <c:v>0.33291316526610643</c:v>
                </c:pt>
                <c:pt idx="12">
                  <c:v>0</c:v>
                </c:pt>
                <c:pt idx="13">
                  <c:v>0.37354972375690609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4">
                  <c:v>SEPARATOR</c:v>
                </c:pt>
                <c:pt idx="5">
                  <c:v>F/ADAPTER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BASE</c:v>
                </c:pt>
                <c:pt idx="13">
                  <c:v>ACTUATOR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0.13101029026950964</c:v>
                </c:pt>
                <c:pt idx="1">
                  <c:v>0.13101029026950964</c:v>
                </c:pt>
                <c:pt idx="2">
                  <c:v>0.13101029026950964</c:v>
                </c:pt>
                <c:pt idx="3">
                  <c:v>0.13101029026950964</c:v>
                </c:pt>
                <c:pt idx="4">
                  <c:v>0.13101029026950964</c:v>
                </c:pt>
                <c:pt idx="5">
                  <c:v>0.13101029026950964</c:v>
                </c:pt>
                <c:pt idx="6">
                  <c:v>0.13101029026950964</c:v>
                </c:pt>
                <c:pt idx="7">
                  <c:v>0.13101029026950964</c:v>
                </c:pt>
                <c:pt idx="8">
                  <c:v>0.13101029026950964</c:v>
                </c:pt>
                <c:pt idx="9">
                  <c:v>0.13101029026950964</c:v>
                </c:pt>
                <c:pt idx="10">
                  <c:v>0.13101029026950964</c:v>
                </c:pt>
                <c:pt idx="11">
                  <c:v>0.13101029026950964</c:v>
                </c:pt>
                <c:pt idx="12">
                  <c:v>0.13101029026950964</c:v>
                </c:pt>
                <c:pt idx="13">
                  <c:v>0.13101029026950964</c:v>
                </c:pt>
                <c:pt idx="14">
                  <c:v>0.13101029026950964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317120"/>
        <c:axId val="553377792"/>
      </c:lineChart>
      <c:catAx>
        <c:axId val="30131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53377792"/>
        <c:crosses val="autoZero"/>
        <c:auto val="1"/>
        <c:lblAlgn val="ctr"/>
        <c:lblOffset val="100"/>
        <c:noMultiLvlLbl val="0"/>
      </c:catAx>
      <c:valAx>
        <c:axId val="5533777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131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0995584"/>
        <c:axId val="5533800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995584"/>
        <c:axId val="553380096"/>
      </c:lineChart>
      <c:catAx>
        <c:axId val="30099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553380096"/>
        <c:crosses val="autoZero"/>
        <c:auto val="1"/>
        <c:lblAlgn val="ctr"/>
        <c:lblOffset val="100"/>
        <c:noMultiLvlLbl val="0"/>
      </c:catAx>
      <c:valAx>
        <c:axId val="553380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09955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3">
                  <c:v>3546</c:v>
                </c:pt>
                <c:pt idx="4">
                  <c:v>16146</c:v>
                </c:pt>
                <c:pt idx="6">
                  <c:v>2703</c:v>
                </c:pt>
                <c:pt idx="7">
                  <c:v>13152</c:v>
                </c:pt>
                <c:pt idx="10">
                  <c:v>10984</c:v>
                </c:pt>
                <c:pt idx="12">
                  <c:v>2168</c:v>
                </c:pt>
                <c:pt idx="14">
                  <c:v>29816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3550</c:v>
                </c:pt>
                <c:pt idx="4">
                  <c:v>16150</c:v>
                </c:pt>
                <c:pt idx="5">
                  <c:v>540</c:v>
                </c:pt>
                <c:pt idx="6">
                  <c:v>2710</c:v>
                </c:pt>
                <c:pt idx="7">
                  <c:v>13160</c:v>
                </c:pt>
                <c:pt idx="8">
                  <c:v>2780</c:v>
                </c:pt>
                <c:pt idx="9">
                  <c:v>2780</c:v>
                </c:pt>
                <c:pt idx="10">
                  <c:v>10990</c:v>
                </c:pt>
                <c:pt idx="11">
                  <c:v>2380</c:v>
                </c:pt>
                <c:pt idx="12">
                  <c:v>2170</c:v>
                </c:pt>
                <c:pt idx="13">
                  <c:v>1810</c:v>
                </c:pt>
                <c:pt idx="14">
                  <c:v>29900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177792"/>
        <c:axId val="553382976"/>
      </c:lineChart>
      <c:catAx>
        <c:axId val="3021777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53382976"/>
        <c:crosses val="autoZero"/>
        <c:auto val="1"/>
        <c:lblAlgn val="ctr"/>
        <c:lblOffset val="100"/>
        <c:noMultiLvlLbl val="0"/>
      </c:catAx>
      <c:valAx>
        <c:axId val="553382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177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0% 29% 100% 0% 58% 100% 0% 0% 100% 0% 50%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0.29133802816901411</c:v>
                </c:pt>
                <c:pt idx="4">
                  <c:v>0.99975232198142416</c:v>
                </c:pt>
                <c:pt idx="5">
                  <c:v>0</c:v>
                </c:pt>
                <c:pt idx="6">
                  <c:v>0.58182656826568269</c:v>
                </c:pt>
                <c:pt idx="7">
                  <c:v>0.99939209726443767</c:v>
                </c:pt>
                <c:pt idx="8">
                  <c:v>0</c:v>
                </c:pt>
                <c:pt idx="9">
                  <c:v>0</c:v>
                </c:pt>
                <c:pt idx="10">
                  <c:v>0.99945404913557778</c:v>
                </c:pt>
                <c:pt idx="11">
                  <c:v>0</c:v>
                </c:pt>
                <c:pt idx="12">
                  <c:v>0.49953917050691243</c:v>
                </c:pt>
                <c:pt idx="13">
                  <c:v>0</c:v>
                </c:pt>
                <c:pt idx="14">
                  <c:v>0.83099219620958753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0.34681962876884243</c:v>
                </c:pt>
                <c:pt idx="1">
                  <c:v>0.34681962876884243</c:v>
                </c:pt>
                <c:pt idx="2">
                  <c:v>0.34681962876884243</c:v>
                </c:pt>
                <c:pt idx="3">
                  <c:v>0.34681962876884243</c:v>
                </c:pt>
                <c:pt idx="4">
                  <c:v>0.34681962876884243</c:v>
                </c:pt>
                <c:pt idx="5">
                  <c:v>0.34681962876884243</c:v>
                </c:pt>
                <c:pt idx="6">
                  <c:v>0.34681962876884243</c:v>
                </c:pt>
                <c:pt idx="7">
                  <c:v>0.34681962876884243</c:v>
                </c:pt>
                <c:pt idx="8">
                  <c:v>0.34681962876884243</c:v>
                </c:pt>
                <c:pt idx="9">
                  <c:v>0.34681962876884243</c:v>
                </c:pt>
                <c:pt idx="10">
                  <c:v>0.34681962876884243</c:v>
                </c:pt>
                <c:pt idx="11">
                  <c:v>0.34681962876884243</c:v>
                </c:pt>
                <c:pt idx="12">
                  <c:v>0.34681962876884243</c:v>
                </c:pt>
                <c:pt idx="13">
                  <c:v>0.34681962876884243</c:v>
                </c:pt>
                <c:pt idx="14">
                  <c:v>0.34681962876884243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57664"/>
        <c:axId val="553384704"/>
      </c:lineChart>
      <c:catAx>
        <c:axId val="30225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53384704"/>
        <c:crosses val="autoZero"/>
        <c:auto val="1"/>
        <c:lblAlgn val="ctr"/>
        <c:lblOffset val="100"/>
        <c:noMultiLvlLbl val="0"/>
      </c:catAx>
      <c:valAx>
        <c:axId val="553384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257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'26'!$L$6:$L$20</c:f>
              <c:numCache>
                <c:formatCode>_(* #,##0_);_(* \(#,##0\);_(* "-"_);_(@_)</c:formatCode>
                <c:ptCount val="15"/>
                <c:pt idx="3">
                  <c:v>3546</c:v>
                </c:pt>
                <c:pt idx="4">
                  <c:v>16146</c:v>
                </c:pt>
                <c:pt idx="6">
                  <c:v>2703</c:v>
                </c:pt>
                <c:pt idx="7">
                  <c:v>13152</c:v>
                </c:pt>
                <c:pt idx="10">
                  <c:v>10984</c:v>
                </c:pt>
                <c:pt idx="12">
                  <c:v>2168</c:v>
                </c:pt>
                <c:pt idx="14">
                  <c:v>29816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3550</c:v>
                </c:pt>
                <c:pt idx="4">
                  <c:v>16150</c:v>
                </c:pt>
                <c:pt idx="5">
                  <c:v>540</c:v>
                </c:pt>
                <c:pt idx="6">
                  <c:v>2710</c:v>
                </c:pt>
                <c:pt idx="7">
                  <c:v>13160</c:v>
                </c:pt>
                <c:pt idx="8">
                  <c:v>2780</c:v>
                </c:pt>
                <c:pt idx="9">
                  <c:v>2780</c:v>
                </c:pt>
                <c:pt idx="10">
                  <c:v>10990</c:v>
                </c:pt>
                <c:pt idx="11">
                  <c:v>2380</c:v>
                </c:pt>
                <c:pt idx="12">
                  <c:v>2170</c:v>
                </c:pt>
                <c:pt idx="13">
                  <c:v>1810</c:v>
                </c:pt>
                <c:pt idx="14">
                  <c:v>29900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58176"/>
        <c:axId val="907093120"/>
      </c:lineChart>
      <c:catAx>
        <c:axId val="3022581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907093120"/>
        <c:crosses val="autoZero"/>
        <c:auto val="1"/>
        <c:lblAlgn val="ctr"/>
        <c:lblOffset val="100"/>
        <c:noMultiLvlLbl val="0"/>
      </c:catAx>
      <c:valAx>
        <c:axId val="907093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258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'26'!$AD$6:$AD$20</c:f>
              <c:strCache>
                <c:ptCount val="1"/>
                <c:pt idx="0">
                  <c:v>0% 0% 0% 29% 100% 0% 58% 100% 0% 0% 100% 0% 50% 0% 83%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0.29133802816901411</c:v>
                </c:pt>
                <c:pt idx="4">
                  <c:v>0.99975232198142416</c:v>
                </c:pt>
                <c:pt idx="5">
                  <c:v>0</c:v>
                </c:pt>
                <c:pt idx="6">
                  <c:v>0.58182656826568269</c:v>
                </c:pt>
                <c:pt idx="7">
                  <c:v>0.99939209726443767</c:v>
                </c:pt>
                <c:pt idx="8">
                  <c:v>0</c:v>
                </c:pt>
                <c:pt idx="9">
                  <c:v>0</c:v>
                </c:pt>
                <c:pt idx="10">
                  <c:v>0.99945404913557778</c:v>
                </c:pt>
                <c:pt idx="11">
                  <c:v>0</c:v>
                </c:pt>
                <c:pt idx="12">
                  <c:v>0.49953917050691243</c:v>
                </c:pt>
                <c:pt idx="13">
                  <c:v>0</c:v>
                </c:pt>
                <c:pt idx="14">
                  <c:v>0.83099219620958753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2">
                  <c:v>BOTTOM</c:v>
                </c:pt>
                <c:pt idx="13">
                  <c:v>ACTUATOR</c:v>
                </c:pt>
              </c:strCache>
            </c:strRef>
          </c:cat>
          <c:val>
            <c:numRef>
              <c:f>'26'!$AE$6:$AE$20</c:f>
              <c:numCache>
                <c:formatCode>0%</c:formatCode>
                <c:ptCount val="15"/>
                <c:pt idx="0">
                  <c:v>0.34681962876884243</c:v>
                </c:pt>
                <c:pt idx="1">
                  <c:v>0.34681962876884243</c:v>
                </c:pt>
                <c:pt idx="2">
                  <c:v>0.34681962876884243</c:v>
                </c:pt>
                <c:pt idx="3">
                  <c:v>0.34681962876884243</c:v>
                </c:pt>
                <c:pt idx="4">
                  <c:v>0.34681962876884243</c:v>
                </c:pt>
                <c:pt idx="5">
                  <c:v>0.34681962876884243</c:v>
                </c:pt>
                <c:pt idx="6">
                  <c:v>0.34681962876884243</c:v>
                </c:pt>
                <c:pt idx="7">
                  <c:v>0.34681962876884243</c:v>
                </c:pt>
                <c:pt idx="8">
                  <c:v>0.34681962876884243</c:v>
                </c:pt>
                <c:pt idx="9">
                  <c:v>0.34681962876884243</c:v>
                </c:pt>
                <c:pt idx="10">
                  <c:v>0.34681962876884243</c:v>
                </c:pt>
                <c:pt idx="11">
                  <c:v>0.34681962876884243</c:v>
                </c:pt>
                <c:pt idx="12">
                  <c:v>0.34681962876884243</c:v>
                </c:pt>
                <c:pt idx="13">
                  <c:v>0.34681962876884243</c:v>
                </c:pt>
                <c:pt idx="14">
                  <c:v>0.34681962876884243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59200"/>
        <c:axId val="907094848"/>
      </c:lineChart>
      <c:catAx>
        <c:axId val="3022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907094848"/>
        <c:crosses val="autoZero"/>
        <c:auto val="1"/>
        <c:lblAlgn val="ctr"/>
        <c:lblOffset val="100"/>
        <c:noMultiLvlLbl val="0"/>
      </c:catAx>
      <c:valAx>
        <c:axId val="9070948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2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257152"/>
        <c:axId val="9070971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57152"/>
        <c:axId val="907097152"/>
      </c:lineChart>
      <c:catAx>
        <c:axId val="30225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907097152"/>
        <c:crosses val="autoZero"/>
        <c:auto val="1"/>
        <c:lblAlgn val="ctr"/>
        <c:lblOffset val="100"/>
        <c:noMultiLvlLbl val="0"/>
      </c:catAx>
      <c:valAx>
        <c:axId val="9070971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22571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3">
                  <c:v>9086</c:v>
                </c:pt>
                <c:pt idx="4">
                  <c:v>16782</c:v>
                </c:pt>
                <c:pt idx="6">
                  <c:v>1845</c:v>
                </c:pt>
                <c:pt idx="7">
                  <c:v>11068</c:v>
                </c:pt>
                <c:pt idx="10">
                  <c:v>11682</c:v>
                </c:pt>
                <c:pt idx="11">
                  <c:v>416</c:v>
                </c:pt>
                <c:pt idx="12">
                  <c:v>2996</c:v>
                </c:pt>
                <c:pt idx="13">
                  <c:v>3767</c:v>
                </c:pt>
                <c:pt idx="14">
                  <c:v>42972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9090</c:v>
                </c:pt>
                <c:pt idx="4">
                  <c:v>16790</c:v>
                </c:pt>
                <c:pt idx="5">
                  <c:v>540</c:v>
                </c:pt>
                <c:pt idx="6">
                  <c:v>1850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11690</c:v>
                </c:pt>
                <c:pt idx="11">
                  <c:v>416</c:v>
                </c:pt>
                <c:pt idx="12">
                  <c:v>3000</c:v>
                </c:pt>
                <c:pt idx="13">
                  <c:v>3770</c:v>
                </c:pt>
                <c:pt idx="14">
                  <c:v>43000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501376"/>
        <c:axId val="553361408"/>
      </c:lineChart>
      <c:catAx>
        <c:axId val="3025013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53361408"/>
        <c:crosses val="autoZero"/>
        <c:auto val="1"/>
        <c:lblAlgn val="ctr"/>
        <c:lblOffset val="100"/>
        <c:noMultiLvlLbl val="0"/>
      </c:catAx>
      <c:valAx>
        <c:axId val="5533614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50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0% 0% 0% 67% 100% 0% 33% 100% 0% 0% 100% 13% 79%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0.66637330399706629</c:v>
                </c:pt>
                <c:pt idx="4">
                  <c:v>0.99952352590827875</c:v>
                </c:pt>
                <c:pt idx="5">
                  <c:v>0</c:v>
                </c:pt>
                <c:pt idx="6">
                  <c:v>0.33243243243243242</c:v>
                </c:pt>
                <c:pt idx="7">
                  <c:v>0.99981933152664859</c:v>
                </c:pt>
                <c:pt idx="8">
                  <c:v>0</c:v>
                </c:pt>
                <c:pt idx="9">
                  <c:v>0</c:v>
                </c:pt>
                <c:pt idx="10">
                  <c:v>0.99931565440547476</c:v>
                </c:pt>
                <c:pt idx="11">
                  <c:v>0.125</c:v>
                </c:pt>
                <c:pt idx="12">
                  <c:v>0.79061111111111115</c:v>
                </c:pt>
                <c:pt idx="13">
                  <c:v>0.87430371352785152</c:v>
                </c:pt>
                <c:pt idx="14">
                  <c:v>0.99934883720930234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0.45244852734121099</c:v>
                </c:pt>
                <c:pt idx="1">
                  <c:v>0.45244852734121099</c:v>
                </c:pt>
                <c:pt idx="2">
                  <c:v>0.45244852734121099</c:v>
                </c:pt>
                <c:pt idx="3">
                  <c:v>0.45244852734121099</c:v>
                </c:pt>
                <c:pt idx="4">
                  <c:v>0.45244852734121099</c:v>
                </c:pt>
                <c:pt idx="5">
                  <c:v>0.45244852734121099</c:v>
                </c:pt>
                <c:pt idx="6">
                  <c:v>0.45244852734121099</c:v>
                </c:pt>
                <c:pt idx="7">
                  <c:v>0.45244852734121099</c:v>
                </c:pt>
                <c:pt idx="8">
                  <c:v>0.45244852734121099</c:v>
                </c:pt>
                <c:pt idx="9">
                  <c:v>0.45244852734121099</c:v>
                </c:pt>
                <c:pt idx="10">
                  <c:v>0.45244852734121099</c:v>
                </c:pt>
                <c:pt idx="11">
                  <c:v>0.45244852734121099</c:v>
                </c:pt>
                <c:pt idx="12">
                  <c:v>0.45244852734121099</c:v>
                </c:pt>
                <c:pt idx="13">
                  <c:v>0.45244852734121099</c:v>
                </c:pt>
                <c:pt idx="14">
                  <c:v>0.45244852734121099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514688"/>
        <c:axId val="553363136"/>
      </c:lineChart>
      <c:catAx>
        <c:axId val="30251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53363136"/>
        <c:crosses val="autoZero"/>
        <c:auto val="1"/>
        <c:lblAlgn val="ctr"/>
        <c:lblOffset val="100"/>
        <c:noMultiLvlLbl val="0"/>
      </c:catAx>
      <c:valAx>
        <c:axId val="5533631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51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3">
                  <c:v>9086</c:v>
                </c:pt>
                <c:pt idx="4">
                  <c:v>16782</c:v>
                </c:pt>
                <c:pt idx="6">
                  <c:v>1845</c:v>
                </c:pt>
                <c:pt idx="7">
                  <c:v>11068</c:v>
                </c:pt>
                <c:pt idx="10">
                  <c:v>11682</c:v>
                </c:pt>
                <c:pt idx="11">
                  <c:v>416</c:v>
                </c:pt>
                <c:pt idx="12">
                  <c:v>2996</c:v>
                </c:pt>
                <c:pt idx="13">
                  <c:v>3767</c:v>
                </c:pt>
                <c:pt idx="14">
                  <c:v>42972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9090</c:v>
                </c:pt>
                <c:pt idx="4">
                  <c:v>16790</c:v>
                </c:pt>
                <c:pt idx="5">
                  <c:v>540</c:v>
                </c:pt>
                <c:pt idx="6">
                  <c:v>1850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11690</c:v>
                </c:pt>
                <c:pt idx="11">
                  <c:v>416</c:v>
                </c:pt>
                <c:pt idx="12">
                  <c:v>3000</c:v>
                </c:pt>
                <c:pt idx="13">
                  <c:v>3770</c:v>
                </c:pt>
                <c:pt idx="14">
                  <c:v>43000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515712"/>
        <c:axId val="553365440"/>
      </c:lineChart>
      <c:catAx>
        <c:axId val="3025157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553365440"/>
        <c:crosses val="autoZero"/>
        <c:auto val="1"/>
        <c:lblAlgn val="ctr"/>
        <c:lblOffset val="100"/>
        <c:noMultiLvlLbl val="0"/>
      </c:catAx>
      <c:valAx>
        <c:axId val="5533654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51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0% 0% 0% 67% 100% 0% 33% 100% 0% 0% 100% 13% 79% 87%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0.66637330399706629</c:v>
                </c:pt>
                <c:pt idx="4">
                  <c:v>0.99952352590827875</c:v>
                </c:pt>
                <c:pt idx="5">
                  <c:v>0</c:v>
                </c:pt>
                <c:pt idx="6">
                  <c:v>0.33243243243243242</c:v>
                </c:pt>
                <c:pt idx="7">
                  <c:v>0.99981933152664859</c:v>
                </c:pt>
                <c:pt idx="8">
                  <c:v>0</c:v>
                </c:pt>
                <c:pt idx="9">
                  <c:v>0</c:v>
                </c:pt>
                <c:pt idx="10">
                  <c:v>0.99931565440547476</c:v>
                </c:pt>
                <c:pt idx="11">
                  <c:v>0.125</c:v>
                </c:pt>
                <c:pt idx="12">
                  <c:v>0.79061111111111115</c:v>
                </c:pt>
                <c:pt idx="13">
                  <c:v>0.87430371352785152</c:v>
                </c:pt>
                <c:pt idx="14">
                  <c:v>0.99934883720930234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STOPPER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0.45244852734121099</c:v>
                </c:pt>
                <c:pt idx="1">
                  <c:v>0.45244852734121099</c:v>
                </c:pt>
                <c:pt idx="2">
                  <c:v>0.45244852734121099</c:v>
                </c:pt>
                <c:pt idx="3">
                  <c:v>0.45244852734121099</c:v>
                </c:pt>
                <c:pt idx="4">
                  <c:v>0.45244852734121099</c:v>
                </c:pt>
                <c:pt idx="5">
                  <c:v>0.45244852734121099</c:v>
                </c:pt>
                <c:pt idx="6">
                  <c:v>0.45244852734121099</c:v>
                </c:pt>
                <c:pt idx="7">
                  <c:v>0.45244852734121099</c:v>
                </c:pt>
                <c:pt idx="8">
                  <c:v>0.45244852734121099</c:v>
                </c:pt>
                <c:pt idx="9">
                  <c:v>0.45244852734121099</c:v>
                </c:pt>
                <c:pt idx="10">
                  <c:v>0.45244852734121099</c:v>
                </c:pt>
                <c:pt idx="11">
                  <c:v>0.45244852734121099</c:v>
                </c:pt>
                <c:pt idx="12">
                  <c:v>0.45244852734121099</c:v>
                </c:pt>
                <c:pt idx="13">
                  <c:v>0.45244852734121099</c:v>
                </c:pt>
                <c:pt idx="14">
                  <c:v>0.45244852734121099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516224"/>
        <c:axId val="553367168"/>
      </c:lineChart>
      <c:catAx>
        <c:axId val="30251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553367168"/>
        <c:crosses val="autoZero"/>
        <c:auto val="1"/>
        <c:lblAlgn val="ctr"/>
        <c:lblOffset val="100"/>
        <c:noMultiLvlLbl val="0"/>
      </c:catAx>
      <c:valAx>
        <c:axId val="5533671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516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516736"/>
        <c:axId val="28262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516736"/>
        <c:axId val="2826240"/>
      </c:lineChart>
      <c:catAx>
        <c:axId val="30251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826240"/>
        <c:crosses val="autoZero"/>
        <c:auto val="1"/>
        <c:lblAlgn val="ctr"/>
        <c:lblOffset val="100"/>
        <c:noMultiLvlLbl val="0"/>
      </c:catAx>
      <c:valAx>
        <c:axId val="2826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25167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3">
                  <c:v>9662</c:v>
                </c:pt>
                <c:pt idx="4">
                  <c:v>15458</c:v>
                </c:pt>
                <c:pt idx="6">
                  <c:v>4725</c:v>
                </c:pt>
                <c:pt idx="10">
                  <c:v>10692</c:v>
                </c:pt>
                <c:pt idx="12">
                  <c:v>4722</c:v>
                </c:pt>
                <c:pt idx="13">
                  <c:v>2262</c:v>
                </c:pt>
                <c:pt idx="14">
                  <c:v>44600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9670</c:v>
                </c:pt>
                <c:pt idx="4">
                  <c:v>15460</c:v>
                </c:pt>
                <c:pt idx="5">
                  <c:v>540</c:v>
                </c:pt>
                <c:pt idx="6">
                  <c:v>4730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10700</c:v>
                </c:pt>
                <c:pt idx="11">
                  <c:v>416</c:v>
                </c:pt>
                <c:pt idx="12">
                  <c:v>4730</c:v>
                </c:pt>
                <c:pt idx="13">
                  <c:v>2270</c:v>
                </c:pt>
                <c:pt idx="14">
                  <c:v>44600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970368"/>
        <c:axId val="2829120"/>
      </c:lineChart>
      <c:catAx>
        <c:axId val="3029703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29120"/>
        <c:crosses val="autoZero"/>
        <c:auto val="1"/>
        <c:lblAlgn val="ctr"/>
        <c:lblOffset val="100"/>
        <c:noMultiLvlLbl val="0"/>
      </c:catAx>
      <c:valAx>
        <c:axId val="28291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2970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0% 79% 100% 0% 96% 0% 0% 0% 100% 0% 100%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0.79101172009651832</c:v>
                </c:pt>
                <c:pt idx="4">
                  <c:v>0.99987063389391984</c:v>
                </c:pt>
                <c:pt idx="5">
                  <c:v>0</c:v>
                </c:pt>
                <c:pt idx="6">
                  <c:v>0.95732029598308666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0.99925233644859812</c:v>
                </c:pt>
                <c:pt idx="11">
                  <c:v>0</c:v>
                </c:pt>
                <c:pt idx="12">
                  <c:v>0.99830866807610996</c:v>
                </c:pt>
                <c:pt idx="13">
                  <c:v>0.58127753303964758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0.42180274583585864</c:v>
                </c:pt>
                <c:pt idx="1">
                  <c:v>0.42180274583585864</c:v>
                </c:pt>
                <c:pt idx="2">
                  <c:v>0.42180274583585864</c:v>
                </c:pt>
                <c:pt idx="3">
                  <c:v>0.42180274583585864</c:v>
                </c:pt>
                <c:pt idx="4">
                  <c:v>0.42180274583585864</c:v>
                </c:pt>
                <c:pt idx="5">
                  <c:v>0.42180274583585864</c:v>
                </c:pt>
                <c:pt idx="6">
                  <c:v>0.42180274583585864</c:v>
                </c:pt>
                <c:pt idx="7">
                  <c:v>0.42180274583585864</c:v>
                </c:pt>
                <c:pt idx="8">
                  <c:v>0.42180274583585864</c:v>
                </c:pt>
                <c:pt idx="9">
                  <c:v>0.42180274583585864</c:v>
                </c:pt>
                <c:pt idx="10">
                  <c:v>0.42180274583585864</c:v>
                </c:pt>
                <c:pt idx="11">
                  <c:v>0.42180274583585864</c:v>
                </c:pt>
                <c:pt idx="12">
                  <c:v>0.42180274583585864</c:v>
                </c:pt>
                <c:pt idx="13">
                  <c:v>0.42180274583585864</c:v>
                </c:pt>
                <c:pt idx="14">
                  <c:v>0.42180274583585864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972416"/>
        <c:axId val="2830848"/>
      </c:lineChart>
      <c:catAx>
        <c:axId val="30297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830848"/>
        <c:crosses val="autoZero"/>
        <c:auto val="1"/>
        <c:lblAlgn val="ctr"/>
        <c:lblOffset val="100"/>
        <c:noMultiLvlLbl val="0"/>
      </c:catAx>
      <c:valAx>
        <c:axId val="28308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2972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'28'!$L$6:$L$20</c:f>
              <c:numCache>
                <c:formatCode>_(* #,##0_);_(* \(#,##0\);_(* "-"_);_(@_)</c:formatCode>
                <c:ptCount val="15"/>
                <c:pt idx="3">
                  <c:v>9662</c:v>
                </c:pt>
                <c:pt idx="4">
                  <c:v>15458</c:v>
                </c:pt>
                <c:pt idx="6">
                  <c:v>4725</c:v>
                </c:pt>
                <c:pt idx="10">
                  <c:v>10692</c:v>
                </c:pt>
                <c:pt idx="12">
                  <c:v>4722</c:v>
                </c:pt>
                <c:pt idx="13">
                  <c:v>2262</c:v>
                </c:pt>
                <c:pt idx="14">
                  <c:v>44600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9670</c:v>
                </c:pt>
                <c:pt idx="4">
                  <c:v>15460</c:v>
                </c:pt>
                <c:pt idx="5">
                  <c:v>540</c:v>
                </c:pt>
                <c:pt idx="6">
                  <c:v>4730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10700</c:v>
                </c:pt>
                <c:pt idx="11">
                  <c:v>416</c:v>
                </c:pt>
                <c:pt idx="12">
                  <c:v>4730</c:v>
                </c:pt>
                <c:pt idx="13">
                  <c:v>2270</c:v>
                </c:pt>
                <c:pt idx="14">
                  <c:v>44600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76032"/>
        <c:axId val="2833152"/>
      </c:lineChart>
      <c:catAx>
        <c:axId val="3032760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833152"/>
        <c:crosses val="autoZero"/>
        <c:auto val="1"/>
        <c:lblAlgn val="ctr"/>
        <c:lblOffset val="100"/>
        <c:noMultiLvlLbl val="0"/>
      </c:catAx>
      <c:valAx>
        <c:axId val="28331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3276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'28'!$AD$6:$AD$20</c:f>
              <c:strCache>
                <c:ptCount val="1"/>
                <c:pt idx="0">
                  <c:v>0% 0% 0% 79% 100% 0% 96% 0% 0% 0% 100% 0% 100% 58%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0.79101172009651832</c:v>
                </c:pt>
                <c:pt idx="4">
                  <c:v>0.99987063389391984</c:v>
                </c:pt>
                <c:pt idx="5">
                  <c:v>0</c:v>
                </c:pt>
                <c:pt idx="6">
                  <c:v>0.95732029598308666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0.99925233644859812</c:v>
                </c:pt>
                <c:pt idx="11">
                  <c:v>0</c:v>
                </c:pt>
                <c:pt idx="12">
                  <c:v>0.99830866807610996</c:v>
                </c:pt>
                <c:pt idx="13">
                  <c:v>0.58127753303964758</c:v>
                </c:pt>
                <c:pt idx="14">
                  <c:v>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'28'!$D$6:$D$20</c:f>
              <c:strCache>
                <c:ptCount val="14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'28'!$AE$6:$AE$20</c:f>
              <c:numCache>
                <c:formatCode>0%</c:formatCode>
                <c:ptCount val="15"/>
                <c:pt idx="0">
                  <c:v>0.42180274583585864</c:v>
                </c:pt>
                <c:pt idx="1">
                  <c:v>0.42180274583585864</c:v>
                </c:pt>
                <c:pt idx="2">
                  <c:v>0.42180274583585864</c:v>
                </c:pt>
                <c:pt idx="3">
                  <c:v>0.42180274583585864</c:v>
                </c:pt>
                <c:pt idx="4">
                  <c:v>0.42180274583585864</c:v>
                </c:pt>
                <c:pt idx="5">
                  <c:v>0.42180274583585864</c:v>
                </c:pt>
                <c:pt idx="6">
                  <c:v>0.42180274583585864</c:v>
                </c:pt>
                <c:pt idx="7">
                  <c:v>0.42180274583585864</c:v>
                </c:pt>
                <c:pt idx="8">
                  <c:v>0.42180274583585864</c:v>
                </c:pt>
                <c:pt idx="9">
                  <c:v>0.42180274583585864</c:v>
                </c:pt>
                <c:pt idx="10">
                  <c:v>0.42180274583585864</c:v>
                </c:pt>
                <c:pt idx="11">
                  <c:v>0.42180274583585864</c:v>
                </c:pt>
                <c:pt idx="12">
                  <c:v>0.42180274583585864</c:v>
                </c:pt>
                <c:pt idx="13">
                  <c:v>0.42180274583585864</c:v>
                </c:pt>
                <c:pt idx="14">
                  <c:v>0.42180274583585864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77568"/>
        <c:axId val="2318912"/>
      </c:lineChart>
      <c:catAx>
        <c:axId val="30327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18912"/>
        <c:crosses val="autoZero"/>
        <c:auto val="1"/>
        <c:lblAlgn val="ctr"/>
        <c:lblOffset val="100"/>
        <c:noMultiLvlLbl val="0"/>
      </c:catAx>
      <c:valAx>
        <c:axId val="23189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3277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278080"/>
        <c:axId val="23212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78080"/>
        <c:axId val="2321216"/>
      </c:lineChart>
      <c:catAx>
        <c:axId val="30327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321216"/>
        <c:crosses val="autoZero"/>
        <c:auto val="1"/>
        <c:lblAlgn val="ctr"/>
        <c:lblOffset val="100"/>
        <c:noMultiLvlLbl val="0"/>
      </c:catAx>
      <c:valAx>
        <c:axId val="2321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32780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4">
                  <c:v>2390</c:v>
                </c:pt>
                <c:pt idx="6">
                  <c:v>2140</c:v>
                </c:pt>
                <c:pt idx="10">
                  <c:v>1740</c:v>
                </c:pt>
                <c:pt idx="11">
                  <c:v>3768</c:v>
                </c:pt>
                <c:pt idx="13">
                  <c:v>7600</c:v>
                </c:pt>
                <c:pt idx="15">
                  <c:v>38336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9670</c:v>
                </c:pt>
                <c:pt idx="4">
                  <c:v>2390</c:v>
                </c:pt>
                <c:pt idx="5">
                  <c:v>540</c:v>
                </c:pt>
                <c:pt idx="6">
                  <c:v>2140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1740</c:v>
                </c:pt>
                <c:pt idx="11">
                  <c:v>3770</c:v>
                </c:pt>
                <c:pt idx="12">
                  <c:v>416</c:v>
                </c:pt>
                <c:pt idx="13">
                  <c:v>7600</c:v>
                </c:pt>
                <c:pt idx="14">
                  <c:v>2270</c:v>
                </c:pt>
                <c:pt idx="15">
                  <c:v>38340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023552"/>
        <c:axId val="2324096"/>
      </c:lineChart>
      <c:catAx>
        <c:axId val="3040235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24096"/>
        <c:crosses val="autoZero"/>
        <c:auto val="1"/>
        <c:lblAlgn val="ctr"/>
        <c:lblOffset val="100"/>
        <c:noMultiLvlLbl val="0"/>
      </c:catAx>
      <c:valAx>
        <c:axId val="23240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402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0% 0% 0% 0% 33% 0% 54% 0% 0% 0% 21% 75% 0% 75%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  <c:pt idx="6">
                  <c:v>0.54166666666666663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0.74960212201591514</c:v>
                </c:pt>
                <c:pt idx="12">
                  <c:v>0</c:v>
                </c:pt>
                <c:pt idx="13">
                  <c:v>0.75</c:v>
                </c:pt>
                <c:pt idx="14">
                  <c:v>0</c:v>
                </c:pt>
                <c:pt idx="15">
                  <c:v>0.99989567031820548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0.23885540837783026</c:v>
                </c:pt>
                <c:pt idx="1">
                  <c:v>0.23885540837783026</c:v>
                </c:pt>
                <c:pt idx="2">
                  <c:v>0.23885540837783026</c:v>
                </c:pt>
                <c:pt idx="3">
                  <c:v>0.23885540837783026</c:v>
                </c:pt>
                <c:pt idx="4">
                  <c:v>0.23885540837783026</c:v>
                </c:pt>
                <c:pt idx="5">
                  <c:v>0.23885540837783026</c:v>
                </c:pt>
                <c:pt idx="6">
                  <c:v>0.23885540837783026</c:v>
                </c:pt>
                <c:pt idx="7">
                  <c:v>0.23885540837783026</c:v>
                </c:pt>
                <c:pt idx="8">
                  <c:v>0.23885540837783026</c:v>
                </c:pt>
                <c:pt idx="9">
                  <c:v>0.23885540837783026</c:v>
                </c:pt>
                <c:pt idx="10">
                  <c:v>0.23885540837783026</c:v>
                </c:pt>
                <c:pt idx="11">
                  <c:v>0.23885540837783026</c:v>
                </c:pt>
                <c:pt idx="12">
                  <c:v>0.23885540837783026</c:v>
                </c:pt>
                <c:pt idx="13">
                  <c:v>0.23885540837783026</c:v>
                </c:pt>
                <c:pt idx="14">
                  <c:v>0.23885540837783026</c:v>
                </c:pt>
                <c:pt idx="15">
                  <c:v>0.23885540837783026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025088"/>
        <c:axId val="2325824"/>
      </c:lineChart>
      <c:catAx>
        <c:axId val="30402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25824"/>
        <c:crosses val="autoZero"/>
        <c:auto val="1"/>
        <c:lblAlgn val="ctr"/>
        <c:lblOffset val="100"/>
        <c:noMultiLvlLbl val="0"/>
      </c:catAx>
      <c:valAx>
        <c:axId val="23258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402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4">
                  <c:v>2390</c:v>
                </c:pt>
                <c:pt idx="6">
                  <c:v>2140</c:v>
                </c:pt>
                <c:pt idx="10">
                  <c:v>1740</c:v>
                </c:pt>
                <c:pt idx="11">
                  <c:v>3768</c:v>
                </c:pt>
                <c:pt idx="13">
                  <c:v>7600</c:v>
                </c:pt>
                <c:pt idx="15">
                  <c:v>38336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680</c:v>
                </c:pt>
                <c:pt idx="1">
                  <c:v>1140</c:v>
                </c:pt>
                <c:pt idx="2">
                  <c:v>1095</c:v>
                </c:pt>
                <c:pt idx="3">
                  <c:v>9670</c:v>
                </c:pt>
                <c:pt idx="4">
                  <c:v>2390</c:v>
                </c:pt>
                <c:pt idx="5">
                  <c:v>540</c:v>
                </c:pt>
                <c:pt idx="6">
                  <c:v>2140</c:v>
                </c:pt>
                <c:pt idx="7">
                  <c:v>11070</c:v>
                </c:pt>
                <c:pt idx="8">
                  <c:v>2780</c:v>
                </c:pt>
                <c:pt idx="9">
                  <c:v>2780</c:v>
                </c:pt>
                <c:pt idx="10">
                  <c:v>1740</c:v>
                </c:pt>
                <c:pt idx="11">
                  <c:v>3770</c:v>
                </c:pt>
                <c:pt idx="12">
                  <c:v>416</c:v>
                </c:pt>
                <c:pt idx="13">
                  <c:v>7600</c:v>
                </c:pt>
                <c:pt idx="14">
                  <c:v>2270</c:v>
                </c:pt>
                <c:pt idx="15">
                  <c:v>38340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181248"/>
        <c:axId val="4032192"/>
      </c:lineChart>
      <c:catAx>
        <c:axId val="3041812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032192"/>
        <c:crosses val="autoZero"/>
        <c:auto val="1"/>
        <c:lblAlgn val="ctr"/>
        <c:lblOffset val="100"/>
        <c:noMultiLvlLbl val="0"/>
      </c:catAx>
      <c:valAx>
        <c:axId val="40321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4181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0% 0% 0% 0% 33% 0% 54% 0% 0% 0% 21% 75% 0% 75% 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</c:v>
                </c:pt>
                <c:pt idx="6">
                  <c:v>0.54166666666666663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0.74960212201591514</c:v>
                </c:pt>
                <c:pt idx="12">
                  <c:v>0</c:v>
                </c:pt>
                <c:pt idx="13">
                  <c:v>0.75</c:v>
                </c:pt>
                <c:pt idx="14">
                  <c:v>0</c:v>
                </c:pt>
                <c:pt idx="15">
                  <c:v>0.99989567031820548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5"/>
                <c:pt idx="0">
                  <c:v>COVER</c:v>
                </c:pt>
                <c:pt idx="2">
                  <c:v>BASE/COVER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LATCH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BODY</c:v>
                </c:pt>
                <c:pt idx="12">
                  <c:v>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0.23885540837783026</c:v>
                </c:pt>
                <c:pt idx="1">
                  <c:v>0.23885540837783026</c:v>
                </c:pt>
                <c:pt idx="2">
                  <c:v>0.23885540837783026</c:v>
                </c:pt>
                <c:pt idx="3">
                  <c:v>0.23885540837783026</c:v>
                </c:pt>
                <c:pt idx="4">
                  <c:v>0.23885540837783026</c:v>
                </c:pt>
                <c:pt idx="5">
                  <c:v>0.23885540837783026</c:v>
                </c:pt>
                <c:pt idx="6">
                  <c:v>0.23885540837783026</c:v>
                </c:pt>
                <c:pt idx="7">
                  <c:v>0.23885540837783026</c:v>
                </c:pt>
                <c:pt idx="8">
                  <c:v>0.23885540837783026</c:v>
                </c:pt>
                <c:pt idx="9">
                  <c:v>0.23885540837783026</c:v>
                </c:pt>
                <c:pt idx="10">
                  <c:v>0.23885540837783026</c:v>
                </c:pt>
                <c:pt idx="11">
                  <c:v>0.23885540837783026</c:v>
                </c:pt>
                <c:pt idx="12">
                  <c:v>0.23885540837783026</c:v>
                </c:pt>
                <c:pt idx="13">
                  <c:v>0.23885540837783026</c:v>
                </c:pt>
                <c:pt idx="14">
                  <c:v>0.23885540837783026</c:v>
                </c:pt>
                <c:pt idx="15">
                  <c:v>0.23885540837783026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182272"/>
        <c:axId val="4033920"/>
      </c:lineChart>
      <c:catAx>
        <c:axId val="30418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033920"/>
        <c:crosses val="autoZero"/>
        <c:auto val="1"/>
        <c:lblAlgn val="ctr"/>
        <c:lblOffset val="100"/>
        <c:noMultiLvlLbl val="0"/>
      </c:catAx>
      <c:valAx>
        <c:axId val="40339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418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3278592"/>
        <c:axId val="40362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78592"/>
        <c:axId val="4036224"/>
      </c:lineChart>
      <c:catAx>
        <c:axId val="303278592"/>
        <c:scaling>
          <c:orientation val="minMax"/>
        </c:scaling>
        <c:delete val="0"/>
        <c:axPos val="b"/>
        <c:majorTickMark val="out"/>
        <c:minorTickMark val="none"/>
        <c:tickLblPos val="nextTo"/>
        <c:crossAx val="4036224"/>
        <c:crosses val="autoZero"/>
        <c:auto val="1"/>
        <c:lblAlgn val="ctr"/>
        <c:lblOffset val="100"/>
        <c:noMultiLvlLbl val="0"/>
      </c:catAx>
      <c:valAx>
        <c:axId val="40362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32785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78</c:v>
                </c:pt>
                <c:pt idx="4">
                  <c:v>1112</c:v>
                </c:pt>
                <c:pt idx="7">
                  <c:v>1265</c:v>
                </c:pt>
                <c:pt idx="10">
                  <c:v>2510</c:v>
                </c:pt>
                <c:pt idx="12">
                  <c:v>5610</c:v>
                </c:pt>
                <c:pt idx="14">
                  <c:v>6084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80</c:v>
                </c:pt>
                <c:pt idx="3">
                  <c:v>80</c:v>
                </c:pt>
                <c:pt idx="4">
                  <c:v>1112</c:v>
                </c:pt>
                <c:pt idx="5">
                  <c:v>540</c:v>
                </c:pt>
                <c:pt idx="6">
                  <c:v>2140</c:v>
                </c:pt>
                <c:pt idx="7">
                  <c:v>1270</c:v>
                </c:pt>
                <c:pt idx="8">
                  <c:v>2780</c:v>
                </c:pt>
                <c:pt idx="9">
                  <c:v>2780</c:v>
                </c:pt>
                <c:pt idx="10">
                  <c:v>2510</c:v>
                </c:pt>
                <c:pt idx="11">
                  <c:v>416</c:v>
                </c:pt>
                <c:pt idx="12">
                  <c:v>5610</c:v>
                </c:pt>
                <c:pt idx="13">
                  <c:v>2270</c:v>
                </c:pt>
                <c:pt idx="14">
                  <c:v>6090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42752"/>
        <c:axId val="2933312"/>
      </c:lineChart>
      <c:catAx>
        <c:axId val="306442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33312"/>
        <c:crosses val="autoZero"/>
        <c:auto val="1"/>
        <c:lblAlgn val="ctr"/>
        <c:lblOffset val="100"/>
        <c:noMultiLvlLbl val="0"/>
      </c:catAx>
      <c:valAx>
        <c:axId val="29333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44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4% 0% 13% 0% 0% 29% 0% 0% 33% 0% 33% 0% 25%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4.0624999999999994E-2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  <c:pt idx="6">
                  <c:v>0</c:v>
                </c:pt>
                <c:pt idx="7">
                  <c:v>0.29051837270341208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0.2497536945812808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9.1504248930090626E-2</c:v>
                </c:pt>
                <c:pt idx="1">
                  <c:v>9.1504248930090626E-2</c:v>
                </c:pt>
                <c:pt idx="2">
                  <c:v>9.1504248930090626E-2</c:v>
                </c:pt>
                <c:pt idx="3">
                  <c:v>9.1504248930090626E-2</c:v>
                </c:pt>
                <c:pt idx="4">
                  <c:v>9.1504248930090626E-2</c:v>
                </c:pt>
                <c:pt idx="5">
                  <c:v>9.1504248930090626E-2</c:v>
                </c:pt>
                <c:pt idx="6">
                  <c:v>9.1504248930090626E-2</c:v>
                </c:pt>
                <c:pt idx="7">
                  <c:v>9.1504248930090626E-2</c:v>
                </c:pt>
                <c:pt idx="8">
                  <c:v>9.1504248930090626E-2</c:v>
                </c:pt>
                <c:pt idx="9">
                  <c:v>9.1504248930090626E-2</c:v>
                </c:pt>
                <c:pt idx="10">
                  <c:v>9.1504248930090626E-2</c:v>
                </c:pt>
                <c:pt idx="11">
                  <c:v>9.1504248930090626E-2</c:v>
                </c:pt>
                <c:pt idx="12">
                  <c:v>9.1504248930090626E-2</c:v>
                </c:pt>
                <c:pt idx="13">
                  <c:v>9.1504248930090626E-2</c:v>
                </c:pt>
                <c:pt idx="14">
                  <c:v>9.1504248930090626E-2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44800"/>
        <c:axId val="2935040"/>
      </c:lineChart>
      <c:catAx>
        <c:axId val="30644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35040"/>
        <c:crosses val="autoZero"/>
        <c:auto val="1"/>
        <c:lblAlgn val="ctr"/>
        <c:lblOffset val="100"/>
        <c:noMultiLvlLbl val="0"/>
      </c:catAx>
      <c:valAx>
        <c:axId val="29350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444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78</c:v>
                </c:pt>
                <c:pt idx="4">
                  <c:v>1112</c:v>
                </c:pt>
                <c:pt idx="7">
                  <c:v>1265</c:v>
                </c:pt>
                <c:pt idx="10">
                  <c:v>2510</c:v>
                </c:pt>
                <c:pt idx="12">
                  <c:v>5610</c:v>
                </c:pt>
                <c:pt idx="14">
                  <c:v>6084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80</c:v>
                </c:pt>
                <c:pt idx="3">
                  <c:v>80</c:v>
                </c:pt>
                <c:pt idx="4">
                  <c:v>1112</c:v>
                </c:pt>
                <c:pt idx="5">
                  <c:v>540</c:v>
                </c:pt>
                <c:pt idx="6">
                  <c:v>2140</c:v>
                </c:pt>
                <c:pt idx="7">
                  <c:v>1270</c:v>
                </c:pt>
                <c:pt idx="8">
                  <c:v>2780</c:v>
                </c:pt>
                <c:pt idx="9">
                  <c:v>2780</c:v>
                </c:pt>
                <c:pt idx="10">
                  <c:v>2510</c:v>
                </c:pt>
                <c:pt idx="11">
                  <c:v>416</c:v>
                </c:pt>
                <c:pt idx="12">
                  <c:v>5610</c:v>
                </c:pt>
                <c:pt idx="13">
                  <c:v>2270</c:v>
                </c:pt>
                <c:pt idx="14">
                  <c:v>6090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45312"/>
        <c:axId val="2937344"/>
      </c:lineChart>
      <c:catAx>
        <c:axId val="3064453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37344"/>
        <c:crosses val="autoZero"/>
        <c:auto val="1"/>
        <c:lblAlgn val="ctr"/>
        <c:lblOffset val="100"/>
        <c:noMultiLvlLbl val="0"/>
      </c:catAx>
      <c:valAx>
        <c:axId val="2937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445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4% 0% 13% 0% 0% 29% 0% 0% 33% 0% 33% 0% 25%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4.0624999999999994E-2</c:v>
                </c:pt>
                <c:pt idx="3">
                  <c:v>0</c:v>
                </c:pt>
                <c:pt idx="4">
                  <c:v>0.125</c:v>
                </c:pt>
                <c:pt idx="5">
                  <c:v>0</c:v>
                </c:pt>
                <c:pt idx="6">
                  <c:v>0</c:v>
                </c:pt>
                <c:pt idx="7">
                  <c:v>0.29051837270341208</c:v>
                </c:pt>
                <c:pt idx="8">
                  <c:v>0</c:v>
                </c:pt>
                <c:pt idx="9">
                  <c:v>0</c:v>
                </c:pt>
                <c:pt idx="10">
                  <c:v>0.33333333333333331</c:v>
                </c:pt>
                <c:pt idx="11">
                  <c:v>0</c:v>
                </c:pt>
                <c:pt idx="12">
                  <c:v>0.33333333333333331</c:v>
                </c:pt>
                <c:pt idx="13">
                  <c:v>0</c:v>
                </c:pt>
                <c:pt idx="14">
                  <c:v>0.2497536945812808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F/ADAPTER</c:v>
                </c:pt>
                <c:pt idx="6">
                  <c:v>FLOAT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9.1504248930090626E-2</c:v>
                </c:pt>
                <c:pt idx="1">
                  <c:v>9.1504248930090626E-2</c:v>
                </c:pt>
                <c:pt idx="2">
                  <c:v>9.1504248930090626E-2</c:v>
                </c:pt>
                <c:pt idx="3">
                  <c:v>9.1504248930090626E-2</c:v>
                </c:pt>
                <c:pt idx="4">
                  <c:v>9.1504248930090626E-2</c:v>
                </c:pt>
                <c:pt idx="5">
                  <c:v>9.1504248930090626E-2</c:v>
                </c:pt>
                <c:pt idx="6">
                  <c:v>9.1504248930090626E-2</c:v>
                </c:pt>
                <c:pt idx="7">
                  <c:v>9.1504248930090626E-2</c:v>
                </c:pt>
                <c:pt idx="8">
                  <c:v>9.1504248930090626E-2</c:v>
                </c:pt>
                <c:pt idx="9">
                  <c:v>9.1504248930090626E-2</c:v>
                </c:pt>
                <c:pt idx="10">
                  <c:v>9.1504248930090626E-2</c:v>
                </c:pt>
                <c:pt idx="11">
                  <c:v>9.1504248930090626E-2</c:v>
                </c:pt>
                <c:pt idx="12">
                  <c:v>9.1504248930090626E-2</c:v>
                </c:pt>
                <c:pt idx="13">
                  <c:v>9.1504248930090626E-2</c:v>
                </c:pt>
                <c:pt idx="14">
                  <c:v>9.1504248930090626E-2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048448"/>
        <c:axId val="2939072"/>
      </c:lineChart>
      <c:catAx>
        <c:axId val="30704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39072"/>
        <c:crosses val="autoZero"/>
        <c:auto val="1"/>
        <c:lblAlgn val="ctr"/>
        <c:lblOffset val="100"/>
        <c:noMultiLvlLbl val="0"/>
      </c:catAx>
      <c:valAx>
        <c:axId val="29390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7048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8.3288140825454257E-2</c:v>
                </c:pt>
                <c:pt idx="4">
                  <c:v>0.22197048398054128</c:v>
                </c:pt>
                <c:pt idx="5">
                  <c:v>0.51405229953087495</c:v>
                </c:pt>
                <c:pt idx="6">
                  <c:v>0.61055983542184455</c:v>
                </c:pt>
                <c:pt idx="7">
                  <c:v>0.50511826207481836</c:v>
                </c:pt>
                <c:pt idx="8">
                  <c:v>0.52214395061728391</c:v>
                </c:pt>
                <c:pt idx="9">
                  <c:v>0.44699954246731688</c:v>
                </c:pt>
                <c:pt idx="11">
                  <c:v>0.35814376046368707</c:v>
                </c:pt>
                <c:pt idx="12">
                  <c:v>0.43036466400329004</c:v>
                </c:pt>
                <c:pt idx="13">
                  <c:v>0.41371133780230418</c:v>
                </c:pt>
                <c:pt idx="14">
                  <c:v>0.46614808256339813</c:v>
                </c:pt>
                <c:pt idx="15">
                  <c:v>0.41091730543534272</c:v>
                </c:pt>
                <c:pt idx="16">
                  <c:v>0.48298259854643288</c:v>
                </c:pt>
                <c:pt idx="18">
                  <c:v>0.41891714237882133</c:v>
                </c:pt>
                <c:pt idx="19">
                  <c:v>0.48590297154931683</c:v>
                </c:pt>
                <c:pt idx="20">
                  <c:v>0.61332024015450215</c:v>
                </c:pt>
                <c:pt idx="21">
                  <c:v>0.5465258578847908</c:v>
                </c:pt>
                <c:pt idx="22">
                  <c:v>0.13101029026950964</c:v>
                </c:pt>
                <c:pt idx="25">
                  <c:v>0.34681962876884243</c:v>
                </c:pt>
                <c:pt idx="26">
                  <c:v>0.45244852734121099</c:v>
                </c:pt>
                <c:pt idx="27">
                  <c:v>0.42180274583585864</c:v>
                </c:pt>
                <c:pt idx="28">
                  <c:v>0.23885540837783026</c:v>
                </c:pt>
                <c:pt idx="29">
                  <c:v>9.1504248930090626E-2</c:v>
                </c:pt>
                <c:pt idx="31">
                  <c:v>0.29720991371688266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7048960"/>
        <c:axId val="4653389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048960"/>
        <c:axId val="465338944"/>
      </c:lineChart>
      <c:catAx>
        <c:axId val="307048960"/>
        <c:scaling>
          <c:orientation val="minMax"/>
        </c:scaling>
        <c:delete val="0"/>
        <c:axPos val="b"/>
        <c:majorTickMark val="out"/>
        <c:minorTickMark val="none"/>
        <c:tickLblPos val="nextTo"/>
        <c:crossAx val="465338944"/>
        <c:crosses val="autoZero"/>
        <c:auto val="1"/>
        <c:lblAlgn val="ctr"/>
        <c:lblOffset val="100"/>
        <c:noMultiLvlLbl val="0"/>
      </c:catAx>
      <c:valAx>
        <c:axId val="465338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70489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10" sqref="AF10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401" t="s">
        <v>186</v>
      </c>
      <c r="B1" s="401"/>
      <c r="C1" s="401"/>
      <c r="D1" s="401"/>
      <c r="E1" s="401"/>
      <c r="F1" s="401"/>
      <c r="G1" s="401"/>
      <c r="H1" s="401"/>
    </row>
    <row r="2" spans="1:33" ht="21.75" customHeight="1" thickBot="1">
      <c r="A2" s="96" t="s">
        <v>59</v>
      </c>
      <c r="B2" s="98" t="s">
        <v>74</v>
      </c>
      <c r="C2" s="99" t="s">
        <v>75</v>
      </c>
      <c r="D2" s="99" t="s">
        <v>76</v>
      </c>
      <c r="E2" s="99" t="s">
        <v>77</v>
      </c>
      <c r="F2" s="99" t="s">
        <v>78</v>
      </c>
      <c r="G2" s="99" t="s">
        <v>79</v>
      </c>
      <c r="H2" s="99" t="s">
        <v>80</v>
      </c>
      <c r="I2" s="99" t="s">
        <v>81</v>
      </c>
      <c r="J2" s="99" t="s">
        <v>82</v>
      </c>
      <c r="K2" s="99" t="s">
        <v>83</v>
      </c>
      <c r="L2" s="99" t="s">
        <v>84</v>
      </c>
      <c r="M2" s="99" t="s">
        <v>85</v>
      </c>
      <c r="N2" s="99" t="s">
        <v>86</v>
      </c>
      <c r="O2" s="99" t="s">
        <v>87</v>
      </c>
      <c r="P2" s="99" t="s">
        <v>88</v>
      </c>
      <c r="Q2" s="99" t="s">
        <v>89</v>
      </c>
      <c r="R2" s="99" t="s">
        <v>90</v>
      </c>
      <c r="S2" s="99" t="s">
        <v>91</v>
      </c>
      <c r="T2" s="99" t="s">
        <v>92</v>
      </c>
      <c r="U2" s="99" t="s">
        <v>93</v>
      </c>
      <c r="V2" s="99" t="s">
        <v>94</v>
      </c>
      <c r="W2" s="99" t="s">
        <v>95</v>
      </c>
      <c r="X2" s="99" t="s">
        <v>96</v>
      </c>
      <c r="Y2" s="99" t="s">
        <v>97</v>
      </c>
      <c r="Z2" s="99" t="s">
        <v>98</v>
      </c>
      <c r="AA2" s="99" t="s">
        <v>99</v>
      </c>
      <c r="AB2" s="99" t="s">
        <v>100</v>
      </c>
      <c r="AC2" s="99" t="s">
        <v>101</v>
      </c>
      <c r="AD2" s="99" t="s">
        <v>102</v>
      </c>
      <c r="AE2" s="99" t="s">
        <v>103</v>
      </c>
      <c r="AF2" s="100" t="s">
        <v>104</v>
      </c>
      <c r="AG2" s="96" t="s">
        <v>106</v>
      </c>
    </row>
    <row r="3" spans="1:33" ht="21.75" customHeight="1">
      <c r="A3" s="116" t="s">
        <v>60</v>
      </c>
      <c r="B3" s="111">
        <f>'01'!AD6</f>
        <v>0</v>
      </c>
      <c r="C3" s="111"/>
      <c r="D3" s="104"/>
      <c r="E3" s="104"/>
      <c r="F3" s="104">
        <f>'05'!AD6</f>
        <v>0</v>
      </c>
      <c r="G3" s="104">
        <f>'06'!AD6</f>
        <v>0.87403314917127073</v>
      </c>
      <c r="H3" s="104">
        <f>'07'!AD6</f>
        <v>0.99844357976653697</v>
      </c>
      <c r="I3" s="104">
        <f>'08'!AD6</f>
        <v>0.99961904761904763</v>
      </c>
      <c r="J3" s="104">
        <f>'09'!AD6</f>
        <v>1</v>
      </c>
      <c r="K3" s="104">
        <f>'10'!AD6</f>
        <v>0.25</v>
      </c>
      <c r="L3" s="104"/>
      <c r="M3" s="104">
        <f>'12'!AD6</f>
        <v>0</v>
      </c>
      <c r="N3" s="122">
        <f>'13'!AD6</f>
        <v>0</v>
      </c>
      <c r="O3" s="104">
        <f>'14'!AD6</f>
        <v>0</v>
      </c>
      <c r="P3" s="104">
        <f>'15'!AD6</f>
        <v>0</v>
      </c>
      <c r="Q3" s="104">
        <f>'16'!AD6</f>
        <v>0</v>
      </c>
      <c r="R3" s="104">
        <f>'17'!AD6</f>
        <v>0</v>
      </c>
      <c r="S3" s="104"/>
      <c r="T3" s="104">
        <f>'19'!AD6</f>
        <v>0</v>
      </c>
      <c r="U3" s="104">
        <f>'20'!AD6</f>
        <v>0</v>
      </c>
      <c r="V3" s="104">
        <f>'21'!AD6</f>
        <v>0.99936034115138594</v>
      </c>
      <c r="W3" s="122">
        <f>'22'!AD6</f>
        <v>0.99883720930232556</v>
      </c>
      <c r="X3" s="104">
        <f>'23'!AD6</f>
        <v>0.16666666666666666</v>
      </c>
      <c r="Y3" s="104"/>
      <c r="Z3" s="104"/>
      <c r="AA3" s="104">
        <f>'26'!AD6</f>
        <v>0</v>
      </c>
      <c r="AB3" s="104">
        <f>'27'!AD6</f>
        <v>0</v>
      </c>
      <c r="AC3" s="104">
        <f>'28'!AD6</f>
        <v>0</v>
      </c>
      <c r="AD3" s="104">
        <f>'29'!AD6</f>
        <v>0</v>
      </c>
      <c r="AE3" s="104">
        <f>'30'!AD6</f>
        <v>0</v>
      </c>
      <c r="AF3" s="105"/>
      <c r="AG3" s="107">
        <f>SUM(B3:AF3)/31</f>
        <v>0.20280516108636237</v>
      </c>
    </row>
    <row r="4" spans="1:33" ht="21.75" customHeight="1">
      <c r="A4" s="117" t="s">
        <v>61</v>
      </c>
      <c r="B4" s="112">
        <f>'01'!AD7</f>
        <v>0</v>
      </c>
      <c r="C4" s="112"/>
      <c r="D4" s="81"/>
      <c r="E4" s="81"/>
      <c r="F4" s="81">
        <f>'05'!AD7</f>
        <v>0</v>
      </c>
      <c r="G4" s="81">
        <f>'06'!AD7</f>
        <v>0.58333333333333337</v>
      </c>
      <c r="H4" s="81">
        <f>'07'!AD7</f>
        <v>0.58079710144927543</v>
      </c>
      <c r="I4" s="81">
        <f>'08'!AD7</f>
        <v>0.24930795847750864</v>
      </c>
      <c r="J4" s="81">
        <f>'09'!AD7</f>
        <v>0</v>
      </c>
      <c r="K4" s="81">
        <f>'10'!AD7</f>
        <v>0</v>
      </c>
      <c r="L4" s="81"/>
      <c r="M4" s="81">
        <f>'12'!AD7</f>
        <v>0</v>
      </c>
      <c r="N4" s="81">
        <f>'13'!AD7</f>
        <v>0</v>
      </c>
      <c r="O4" s="81">
        <f>'14'!AD7</f>
        <v>0</v>
      </c>
      <c r="P4" s="81">
        <f>'15'!AD7</f>
        <v>0.87287162162162168</v>
      </c>
      <c r="Q4" s="81">
        <f>'16'!AD7</f>
        <v>0.99955555555555553</v>
      </c>
      <c r="R4" s="81">
        <f>'17'!AD7</f>
        <v>0</v>
      </c>
      <c r="S4" s="81"/>
      <c r="T4" s="81">
        <f>'19'!AD7</f>
        <v>0.87427385892116183</v>
      </c>
      <c r="U4" s="81">
        <f>'20'!AD7</f>
        <v>0.79050458715596328</v>
      </c>
      <c r="V4" s="81">
        <f>'21'!AD7</f>
        <v>0.83333333333333337</v>
      </c>
      <c r="W4" s="81">
        <f>'22'!AD7</f>
        <v>0.41483918128654973</v>
      </c>
      <c r="X4" s="81">
        <f>'23'!AD7</f>
        <v>0</v>
      </c>
      <c r="Y4" s="81"/>
      <c r="Z4" s="81"/>
      <c r="AA4" s="81">
        <f>'26'!AD7</f>
        <v>0</v>
      </c>
      <c r="AB4" s="81">
        <f>'27'!AD7</f>
        <v>0</v>
      </c>
      <c r="AC4" s="81">
        <f>'28'!AD7</f>
        <v>0</v>
      </c>
      <c r="AD4" s="81">
        <f>'29'!AD7</f>
        <v>0</v>
      </c>
      <c r="AE4" s="81">
        <f>'30'!AD7</f>
        <v>0</v>
      </c>
      <c r="AF4" s="82"/>
      <c r="AG4" s="83">
        <f t="shared" ref="AG4:AG18" si="0">SUM(B4:AF4)/31</f>
        <v>0.19996182358497747</v>
      </c>
    </row>
    <row r="5" spans="1:33" ht="21.75" customHeight="1">
      <c r="A5" s="118" t="s">
        <v>62</v>
      </c>
      <c r="B5" s="113">
        <f>'01'!AD8</f>
        <v>0</v>
      </c>
      <c r="C5" s="113"/>
      <c r="D5" s="84"/>
      <c r="E5" s="84"/>
      <c r="F5" s="84">
        <f>'05'!AD8</f>
        <v>0.87463327745180219</v>
      </c>
      <c r="G5" s="84">
        <f>'06'!AD8</f>
        <v>1</v>
      </c>
      <c r="H5" s="84">
        <f>'07'!AD8</f>
        <v>0.37442748091603056</v>
      </c>
      <c r="I5" s="84">
        <f>'08'!AD8</f>
        <v>0.95794177732379993</v>
      </c>
      <c r="J5" s="84">
        <f>'09'!AD8</f>
        <v>1</v>
      </c>
      <c r="K5" s="84">
        <f>'10'!AD8</f>
        <v>0.99934354485776811</v>
      </c>
      <c r="L5" s="84"/>
      <c r="M5" s="84">
        <f>'12'!AD8</f>
        <v>0.66496598639455784</v>
      </c>
      <c r="N5" s="84">
        <f>'13'!AD8</f>
        <v>1</v>
      </c>
      <c r="O5" s="84">
        <f>'14'!AD8</f>
        <v>0.99940652818991094</v>
      </c>
      <c r="P5" s="84">
        <f>'15'!AD8</f>
        <v>0.9985074626865672</v>
      </c>
      <c r="Q5" s="84">
        <f>'16'!AD8</f>
        <v>1</v>
      </c>
      <c r="R5" s="84">
        <f>'17'!AD8</f>
        <v>0.8309968847352025</v>
      </c>
      <c r="S5" s="84"/>
      <c r="T5" s="84">
        <f>'19'!AD8</f>
        <v>0.91485148514851478</v>
      </c>
      <c r="U5" s="84">
        <f>'20'!AD8</f>
        <v>0.99822485207100586</v>
      </c>
      <c r="V5" s="84">
        <f>'21'!AD8</f>
        <v>0.99969278033794162</v>
      </c>
      <c r="W5" s="123">
        <f>'22'!AD8</f>
        <v>0.4162861491628615</v>
      </c>
      <c r="X5" s="84">
        <f>'23'!AD8</f>
        <v>0</v>
      </c>
      <c r="Y5" s="84"/>
      <c r="Z5" s="84"/>
      <c r="AA5" s="84">
        <f>'26'!AD8</f>
        <v>0</v>
      </c>
      <c r="AB5" s="84">
        <f>'27'!AD8</f>
        <v>0</v>
      </c>
      <c r="AC5" s="84">
        <f>'28'!AD8</f>
        <v>0</v>
      </c>
      <c r="AD5" s="84">
        <f>'29'!AD8</f>
        <v>0</v>
      </c>
      <c r="AE5" s="84">
        <f>'30'!AD8</f>
        <v>4.0624999999999994E-2</v>
      </c>
      <c r="AF5" s="85"/>
      <c r="AG5" s="86">
        <f t="shared" si="0"/>
        <v>0.45386784546051495</v>
      </c>
    </row>
    <row r="6" spans="1:33" ht="21.75" customHeight="1">
      <c r="A6" s="119" t="s">
        <v>63</v>
      </c>
      <c r="B6" s="114">
        <f>'01'!AD9</f>
        <v>0</v>
      </c>
      <c r="C6" s="114"/>
      <c r="D6" s="87"/>
      <c r="E6" s="87"/>
      <c r="F6" s="87">
        <f>'05'!AD9</f>
        <v>0</v>
      </c>
      <c r="G6" s="87">
        <f>'06'!AD9</f>
        <v>0.41509009009009012</v>
      </c>
      <c r="H6" s="87">
        <f>'07'!AD9</f>
        <v>0.41641716566866271</v>
      </c>
      <c r="I6" s="87">
        <f>'08'!AD9</f>
        <v>0</v>
      </c>
      <c r="J6" s="87">
        <f>'09'!AD9</f>
        <v>0.5</v>
      </c>
      <c r="K6" s="87">
        <f>'10'!AD9</f>
        <v>0.29166666666666669</v>
      </c>
      <c r="L6" s="87"/>
      <c r="M6" s="87">
        <f>'12'!AD9</f>
        <v>0</v>
      </c>
      <c r="N6" s="87">
        <f>'13'!AD9</f>
        <v>0</v>
      </c>
      <c r="O6" s="87">
        <f>'14'!AD9</f>
        <v>0</v>
      </c>
      <c r="P6" s="87">
        <f>'15'!AD9</f>
        <v>0</v>
      </c>
      <c r="Q6" s="87">
        <f>'16'!AD9</f>
        <v>0</v>
      </c>
      <c r="R6" s="87">
        <f>'17'!AD9</f>
        <v>0.75</v>
      </c>
      <c r="S6" s="87"/>
      <c r="T6" s="87">
        <f>'19'!AD9</f>
        <v>0</v>
      </c>
      <c r="U6" s="87">
        <f>'20'!AD9</f>
        <v>0</v>
      </c>
      <c r="V6" s="87">
        <f>'21'!AD9</f>
        <v>0.58280780780780783</v>
      </c>
      <c r="W6" s="87">
        <f>'22'!AD9</f>
        <v>0.45678838951310857</v>
      </c>
      <c r="X6" s="87">
        <f>'23'!AD9</f>
        <v>0</v>
      </c>
      <c r="Y6" s="87"/>
      <c r="Z6" s="87"/>
      <c r="AA6" s="87">
        <f>'26'!AD9</f>
        <v>0.29133802816901411</v>
      </c>
      <c r="AB6" s="87">
        <f>'27'!AD9</f>
        <v>0.66637330399706629</v>
      </c>
      <c r="AC6" s="87">
        <f>'28'!AD9</f>
        <v>0.79101172009651832</v>
      </c>
      <c r="AD6" s="87">
        <f>'29'!AD9</f>
        <v>0</v>
      </c>
      <c r="AE6" s="87">
        <f>'30'!AD9</f>
        <v>0</v>
      </c>
      <c r="AF6" s="88"/>
      <c r="AG6" s="89">
        <f t="shared" si="0"/>
        <v>0.16649977974222371</v>
      </c>
    </row>
    <row r="7" spans="1:33" ht="21.75" customHeight="1">
      <c r="A7" s="119" t="s">
        <v>64</v>
      </c>
      <c r="B7" s="114">
        <f>'01'!AD10</f>
        <v>0</v>
      </c>
      <c r="C7" s="114"/>
      <c r="D7" s="87"/>
      <c r="E7" s="87"/>
      <c r="F7" s="87">
        <f>'05'!AD10</f>
        <v>0.54166666666666663</v>
      </c>
      <c r="G7" s="87">
        <f>'06'!AD10</f>
        <v>0.80007222824124224</v>
      </c>
      <c r="H7" s="87">
        <f>'07'!AD10</f>
        <v>0.99987684729064041</v>
      </c>
      <c r="I7" s="87">
        <f>'08'!AD10</f>
        <v>0.99975062344139654</v>
      </c>
      <c r="J7" s="87">
        <f>'09'!AD10</f>
        <v>0</v>
      </c>
      <c r="K7" s="87">
        <f>'10'!AD10</f>
        <v>0.29166666666666669</v>
      </c>
      <c r="L7" s="87"/>
      <c r="M7" s="87">
        <f>'12'!AD10</f>
        <v>0</v>
      </c>
      <c r="N7" s="87">
        <f>'13'!AD10</f>
        <v>0.49954128440366974</v>
      </c>
      <c r="O7" s="87">
        <f>'14'!AD10</f>
        <v>1</v>
      </c>
      <c r="P7" s="87">
        <f>'15'!AD10</f>
        <v>0.99964622641509437</v>
      </c>
      <c r="Q7" s="87">
        <f>'16'!AD10</f>
        <v>0.99975698663426493</v>
      </c>
      <c r="R7" s="87">
        <f>'17'!AD10</f>
        <v>0.99950217797137519</v>
      </c>
      <c r="S7" s="87"/>
      <c r="T7" s="87">
        <f>'19'!AD10</f>
        <v>0.58280423280423288</v>
      </c>
      <c r="U7" s="87">
        <f>'20'!AD10</f>
        <v>0.87475247524752475</v>
      </c>
      <c r="V7" s="87">
        <f>'21'!AD10</f>
        <v>0.99952662721893493</v>
      </c>
      <c r="W7" s="87">
        <f>'22'!AD10</f>
        <v>1</v>
      </c>
      <c r="X7" s="87">
        <f>'23'!AD10</f>
        <v>0.17577712609970675</v>
      </c>
      <c r="Y7" s="87"/>
      <c r="Z7" s="87"/>
      <c r="AA7" s="87">
        <f>'26'!AD10</f>
        <v>0.99975232198142416</v>
      </c>
      <c r="AB7" s="87">
        <f>'27'!AD10</f>
        <v>0.99952352590827875</v>
      </c>
      <c r="AC7" s="87">
        <f>'28'!AD10</f>
        <v>0.99987063389391984</v>
      </c>
      <c r="AD7" s="87">
        <f>'29'!AD10</f>
        <v>0.33333333333333331</v>
      </c>
      <c r="AE7" s="87">
        <f>'30'!AD10</f>
        <v>0.125</v>
      </c>
      <c r="AF7" s="88"/>
      <c r="AG7" s="89">
        <f t="shared" si="0"/>
        <v>0.49102645110381837</v>
      </c>
    </row>
    <row r="8" spans="1:33" ht="21.75" customHeight="1">
      <c r="A8" s="119" t="s">
        <v>65</v>
      </c>
      <c r="B8" s="114">
        <f>'01'!AD11</f>
        <v>0.41666666666666669</v>
      </c>
      <c r="C8" s="114"/>
      <c r="D8" s="87"/>
      <c r="E8" s="87"/>
      <c r="F8" s="87">
        <f>'05'!AD11</f>
        <v>0</v>
      </c>
      <c r="G8" s="87">
        <f>'06'!AD11</f>
        <v>0.95794455713319815</v>
      </c>
      <c r="H8" s="87">
        <f>'07'!AD11</f>
        <v>0.99943820224719104</v>
      </c>
      <c r="I8" s="87">
        <f>'08'!AD11</f>
        <v>0.49900662251655631</v>
      </c>
      <c r="J8" s="87">
        <f>'09'!AD11</f>
        <v>0.83333333333333337</v>
      </c>
      <c r="K8" s="87">
        <f>'10'!AD11</f>
        <v>0.99884297520661158</v>
      </c>
      <c r="L8" s="87"/>
      <c r="M8" s="87">
        <f>'12'!AD11</f>
        <v>0.91666666666666663</v>
      </c>
      <c r="N8" s="87">
        <f>'13'!AD11</f>
        <v>0.99946428571428569</v>
      </c>
      <c r="O8" s="87">
        <f>'14'!AD11</f>
        <v>0.99933222036727876</v>
      </c>
      <c r="P8" s="87">
        <f>'15'!AD11</f>
        <v>0.16666666666666666</v>
      </c>
      <c r="Q8" s="87">
        <f>'16'!AD11</f>
        <v>0</v>
      </c>
      <c r="R8" s="87">
        <f>'17'!AD11</f>
        <v>0</v>
      </c>
      <c r="S8" s="87"/>
      <c r="T8" s="87">
        <f>'19'!AD11</f>
        <v>0</v>
      </c>
      <c r="U8" s="87">
        <f>'20'!AD11</f>
        <v>0</v>
      </c>
      <c r="V8" s="87">
        <f>'21'!AD11</f>
        <v>0</v>
      </c>
      <c r="W8" s="87">
        <f>'22'!AD11</f>
        <v>0</v>
      </c>
      <c r="X8" s="87">
        <f>'23'!AD11</f>
        <v>0</v>
      </c>
      <c r="Y8" s="87"/>
      <c r="Z8" s="87"/>
      <c r="AA8" s="87">
        <f>'26'!AD11</f>
        <v>0</v>
      </c>
      <c r="AB8" s="87">
        <f>'27'!AD11</f>
        <v>0</v>
      </c>
      <c r="AC8" s="87">
        <f>'28'!AD11</f>
        <v>0</v>
      </c>
      <c r="AD8" s="87">
        <f>'29'!AD11</f>
        <v>0</v>
      </c>
      <c r="AE8" s="87">
        <f>'30'!AD11</f>
        <v>0</v>
      </c>
      <c r="AF8" s="88"/>
      <c r="AG8" s="89">
        <f t="shared" si="0"/>
        <v>0.25120523214575663</v>
      </c>
    </row>
    <row r="9" spans="1:33" ht="21.75" customHeight="1">
      <c r="A9" s="119" t="s">
        <v>66</v>
      </c>
      <c r="B9" s="114">
        <f>'01'!AD12</f>
        <v>0</v>
      </c>
      <c r="C9" s="114"/>
      <c r="D9" s="87"/>
      <c r="E9" s="87"/>
      <c r="F9" s="87">
        <f>'05'!AD12</f>
        <v>0</v>
      </c>
      <c r="G9" s="87">
        <f>'06'!AD12</f>
        <v>0</v>
      </c>
      <c r="H9" s="87">
        <f>'07'!AD12</f>
        <v>0</v>
      </c>
      <c r="I9" s="87">
        <f>'08'!AD12</f>
        <v>0</v>
      </c>
      <c r="J9" s="87">
        <f>'09'!AD12</f>
        <v>0.25</v>
      </c>
      <c r="K9" s="87">
        <f>'10'!AD12</f>
        <v>0.75</v>
      </c>
      <c r="L9" s="87"/>
      <c r="M9" s="87">
        <f>'12'!AD12</f>
        <v>0.58333333333333337</v>
      </c>
      <c r="N9" s="87">
        <f>'13'!AD12</f>
        <v>0.125</v>
      </c>
      <c r="O9" s="87">
        <f>'14'!AD12</f>
        <v>0</v>
      </c>
      <c r="P9" s="87">
        <f>'15'!AD12</f>
        <v>0.70641891891891895</v>
      </c>
      <c r="Q9" s="87">
        <f>'16'!AD12</f>
        <v>0.24965753424657533</v>
      </c>
      <c r="R9" s="87">
        <f>'17'!AD12</f>
        <v>0.70805984555984558</v>
      </c>
      <c r="S9" s="87"/>
      <c r="T9" s="87">
        <f>'19'!AD12</f>
        <v>0.74951298701298696</v>
      </c>
      <c r="U9" s="87">
        <f>'20'!AD12</f>
        <v>0.79475108225108215</v>
      </c>
      <c r="V9" s="87">
        <f>'21'!AD12</f>
        <v>0.24805194805194805</v>
      </c>
      <c r="W9" s="87">
        <f>'22'!AD12</f>
        <v>0.41563360881542699</v>
      </c>
      <c r="X9" s="87">
        <f>'23'!AD12</f>
        <v>0.16666666666666666</v>
      </c>
      <c r="Y9" s="87"/>
      <c r="Z9" s="87"/>
      <c r="AA9" s="87">
        <f>'26'!AD12</f>
        <v>0.58182656826568269</v>
      </c>
      <c r="AB9" s="87">
        <f>'27'!AD12</f>
        <v>0.33243243243243242</v>
      </c>
      <c r="AC9" s="87">
        <f>'28'!AD12</f>
        <v>0.95732029598308666</v>
      </c>
      <c r="AD9" s="87">
        <f>'29'!AD12</f>
        <v>0.54166666666666663</v>
      </c>
      <c r="AE9" s="87">
        <f>'30'!AD12</f>
        <v>0</v>
      </c>
      <c r="AF9" s="88"/>
      <c r="AG9" s="89">
        <f t="shared" si="0"/>
        <v>0.26323651252273078</v>
      </c>
    </row>
    <row r="10" spans="1:33" ht="21.75" customHeight="1">
      <c r="A10" s="119" t="s">
        <v>67</v>
      </c>
      <c r="B10" s="114">
        <f>'01'!AD13</f>
        <v>0</v>
      </c>
      <c r="C10" s="114"/>
      <c r="D10" s="87"/>
      <c r="E10" s="87"/>
      <c r="F10" s="87">
        <f>'05'!AD13</f>
        <v>0</v>
      </c>
      <c r="G10" s="87">
        <f>'06'!AD13</f>
        <v>0.87460496613995486</v>
      </c>
      <c r="H10" s="87">
        <f>'07'!AD13</f>
        <v>0.99907918968692444</v>
      </c>
      <c r="I10" s="87">
        <f>'08'!AD13</f>
        <v>0.95755656872678152</v>
      </c>
      <c r="J10" s="87">
        <f>'09'!AD13</f>
        <v>1</v>
      </c>
      <c r="K10" s="87">
        <f>'10'!AD13</f>
        <v>0.99926199261992621</v>
      </c>
      <c r="L10" s="87"/>
      <c r="M10" s="87">
        <f>'12'!AD13</f>
        <v>0</v>
      </c>
      <c r="N10" s="87">
        <f>'13'!AD13</f>
        <v>0.58333333333333337</v>
      </c>
      <c r="O10" s="87">
        <f>'14'!AD13</f>
        <v>0.58310457516339875</v>
      </c>
      <c r="P10" s="87">
        <f>'15'!AD13</f>
        <v>0.41630747126436785</v>
      </c>
      <c r="Q10" s="87">
        <f>'16'!AD13</f>
        <v>0</v>
      </c>
      <c r="R10" s="87">
        <f>'17'!AD13</f>
        <v>0.95757575757575764</v>
      </c>
      <c r="S10" s="87"/>
      <c r="T10" s="87">
        <f>'19'!AD13</f>
        <v>0.24848484848484848</v>
      </c>
      <c r="U10" s="87">
        <f>'20'!AD13</f>
        <v>0</v>
      </c>
      <c r="V10" s="87">
        <f>'21'!AD13</f>
        <v>0</v>
      </c>
      <c r="W10" s="87">
        <f>'22'!AD13</f>
        <v>0.83274301456119637</v>
      </c>
      <c r="X10" s="87">
        <f>'23'!AD13</f>
        <v>0.375</v>
      </c>
      <c r="Y10" s="87"/>
      <c r="Z10" s="87"/>
      <c r="AA10" s="87">
        <f>'26'!AD13</f>
        <v>0.99939209726443767</v>
      </c>
      <c r="AB10" s="87">
        <f>'27'!AD13</f>
        <v>0.99981933152664859</v>
      </c>
      <c r="AC10" s="87">
        <f>'28'!AD13</f>
        <v>0</v>
      </c>
      <c r="AD10" s="87">
        <f>'29'!AD13</f>
        <v>0</v>
      </c>
      <c r="AE10" s="87">
        <f>'30'!AD13</f>
        <v>0.29051837270341208</v>
      </c>
      <c r="AF10" s="88"/>
      <c r="AG10" s="89">
        <f t="shared" si="0"/>
        <v>0.35860585545325763</v>
      </c>
    </row>
    <row r="11" spans="1:33" ht="21.75" customHeight="1">
      <c r="A11" s="118" t="s">
        <v>68</v>
      </c>
      <c r="B11" s="113">
        <f>'01'!AD14</f>
        <v>0</v>
      </c>
      <c r="C11" s="113"/>
      <c r="D11" s="84"/>
      <c r="E11" s="84"/>
      <c r="F11" s="84">
        <f>'05'!AD14</f>
        <v>0.16666666666666666</v>
      </c>
      <c r="G11" s="84">
        <f>'06'!AD14</f>
        <v>0</v>
      </c>
      <c r="H11" s="84">
        <f>'07'!AD14</f>
        <v>0.33333333333333331</v>
      </c>
      <c r="I11" s="84">
        <f>'08'!AD14</f>
        <v>0.41522988505747127</v>
      </c>
      <c r="J11" s="84">
        <f>'09'!AD14</f>
        <v>0.41666666666666669</v>
      </c>
      <c r="K11" s="84">
        <f>'10'!AD14</f>
        <v>0</v>
      </c>
      <c r="L11" s="84"/>
      <c r="M11" s="84">
        <f>'12'!AD14</f>
        <v>0.5</v>
      </c>
      <c r="N11" s="84">
        <f>'13'!AD14</f>
        <v>0.5</v>
      </c>
      <c r="O11" s="84">
        <f>'14'!AD14</f>
        <v>0.25</v>
      </c>
      <c r="P11" s="84">
        <f>'15'!AD14</f>
        <v>0</v>
      </c>
      <c r="Q11" s="84">
        <f>'16'!AD14</f>
        <v>0</v>
      </c>
      <c r="R11" s="84">
        <f>'17'!AD14</f>
        <v>0</v>
      </c>
      <c r="S11" s="84"/>
      <c r="T11" s="84">
        <f>'19'!AD14</f>
        <v>0</v>
      </c>
      <c r="U11" s="84">
        <f>'20'!AD14</f>
        <v>0</v>
      </c>
      <c r="V11" s="84">
        <f>'21'!AD14</f>
        <v>0</v>
      </c>
      <c r="W11" s="84">
        <f>'22'!AD14</f>
        <v>0</v>
      </c>
      <c r="X11" s="84">
        <f>'23'!AD14</f>
        <v>0</v>
      </c>
      <c r="Y11" s="84"/>
      <c r="Z11" s="84"/>
      <c r="AA11" s="84">
        <f>'26'!AD14</f>
        <v>0</v>
      </c>
      <c r="AB11" s="84">
        <f>'27'!AD14</f>
        <v>0</v>
      </c>
      <c r="AC11" s="84">
        <f>'28'!AD14</f>
        <v>0</v>
      </c>
      <c r="AD11" s="84">
        <f>'29'!AD14</f>
        <v>0</v>
      </c>
      <c r="AE11" s="84">
        <f>'30'!AD14</f>
        <v>0</v>
      </c>
      <c r="AF11" s="85"/>
      <c r="AG11" s="86">
        <f t="shared" si="0"/>
        <v>8.3286985539488323E-2</v>
      </c>
    </row>
    <row r="12" spans="1:33" ht="21.75" customHeight="1">
      <c r="A12" s="118" t="s">
        <v>69</v>
      </c>
      <c r="B12" s="113">
        <f>'01'!AD15</f>
        <v>0</v>
      </c>
      <c r="C12" s="113"/>
      <c r="D12" s="84"/>
      <c r="E12" s="84"/>
      <c r="F12" s="84">
        <f>'05'!AD15</f>
        <v>0</v>
      </c>
      <c r="G12" s="84">
        <f>'06'!AD15</f>
        <v>0.20833333333333334</v>
      </c>
      <c r="H12" s="84">
        <f>'07'!AD15</f>
        <v>0.83315621679064833</v>
      </c>
      <c r="I12" s="84">
        <f>'08'!AD15</f>
        <v>0</v>
      </c>
      <c r="J12" s="84">
        <f>'09'!AD15+'09'!AD16</f>
        <v>0.54166666666666663</v>
      </c>
      <c r="K12" s="84">
        <f>'10'!AD15</f>
        <v>0.16666666666666666</v>
      </c>
      <c r="L12" s="84"/>
      <c r="M12" s="84">
        <f>'12'!AD15</f>
        <v>0.16666666666666666</v>
      </c>
      <c r="N12" s="84">
        <f>'13'!AD15</f>
        <v>0</v>
      </c>
      <c r="O12" s="84">
        <f>'14'!AD15</f>
        <v>0</v>
      </c>
      <c r="P12" s="84">
        <f>'15'!AD15</f>
        <v>0</v>
      </c>
      <c r="Q12" s="84">
        <f>'16'!AD15</f>
        <v>0</v>
      </c>
      <c r="R12" s="84">
        <f>'17'!AD15</f>
        <v>0</v>
      </c>
      <c r="S12" s="84"/>
      <c r="T12" s="84">
        <f>'19'!AD15</f>
        <v>0.87280640668523679</v>
      </c>
      <c r="U12" s="84">
        <f>'20'!AD15</f>
        <v>0.99955947136563872</v>
      </c>
      <c r="V12" s="84">
        <f>'21'!AD15</f>
        <v>0.99956043956043961</v>
      </c>
      <c r="W12" s="84">
        <f>'22'!AD15</f>
        <v>0.83183453237410077</v>
      </c>
      <c r="X12" s="84">
        <f>'23'!AD15</f>
        <v>0</v>
      </c>
      <c r="Y12" s="84"/>
      <c r="Z12" s="84"/>
      <c r="AA12" s="84">
        <f>'26'!AD15</f>
        <v>0</v>
      </c>
      <c r="AB12" s="84">
        <f>'27'!AD15</f>
        <v>0</v>
      </c>
      <c r="AC12" s="84">
        <f>'28'!AD15</f>
        <v>0</v>
      </c>
      <c r="AD12" s="84">
        <f>'29'!AD15</f>
        <v>0</v>
      </c>
      <c r="AE12" s="84">
        <f>'30'!AD15</f>
        <v>0</v>
      </c>
      <c r="AF12" s="85"/>
      <c r="AG12" s="86">
        <f t="shared" si="0"/>
        <v>0.18129840000352895</v>
      </c>
    </row>
    <row r="13" spans="1:33" ht="21.75" customHeight="1">
      <c r="A13" s="118" t="s">
        <v>70</v>
      </c>
      <c r="B13" s="113">
        <f>'01'!AD16</f>
        <v>0</v>
      </c>
      <c r="C13" s="113"/>
      <c r="D13" s="84"/>
      <c r="E13" s="84"/>
      <c r="F13" s="84">
        <f>'05'!AD16</f>
        <v>0.54064945226917061</v>
      </c>
      <c r="G13" s="84">
        <f>'06'!AD16</f>
        <v>0.20833333333333334</v>
      </c>
      <c r="H13" s="84">
        <f>'07'!AD16</f>
        <v>0.70809199318569005</v>
      </c>
      <c r="I13" s="84">
        <f>'08'!AD16</f>
        <v>1</v>
      </c>
      <c r="J13" s="84">
        <f>'09'!AD17</f>
        <v>0.99928888888888889</v>
      </c>
      <c r="K13" s="84">
        <f>'10'!AD16+'10'!AD17</f>
        <v>0.95754462432544618</v>
      </c>
      <c r="L13" s="84"/>
      <c r="M13" s="84">
        <f>'12'!AD16</f>
        <v>0.99979166666666663</v>
      </c>
      <c r="N13" s="84">
        <f>'13'!AD16</f>
        <v>1</v>
      </c>
      <c r="O13" s="84">
        <f>'14'!AD16</f>
        <v>0.99983050847457622</v>
      </c>
      <c r="P13" s="84">
        <f>'15'!AD16</f>
        <v>0.99966159052453474</v>
      </c>
      <c r="Q13" s="84">
        <f>'16'!AD16</f>
        <v>0.99983036471586095</v>
      </c>
      <c r="R13" s="84">
        <f>'17'!AD16</f>
        <v>1</v>
      </c>
      <c r="S13" s="84"/>
      <c r="T13" s="84">
        <f>'19'!AD16</f>
        <v>0.74978005865102637</v>
      </c>
      <c r="U13" s="84">
        <f>'20'!AD16</f>
        <v>0.99965247610773245</v>
      </c>
      <c r="V13" s="84">
        <f>'21'!AD16</f>
        <v>0.99981867633726196</v>
      </c>
      <c r="W13" s="84">
        <f>'22'!AD16</f>
        <v>0.91666666666666663</v>
      </c>
      <c r="X13" s="84">
        <f>'23'!AD16</f>
        <v>0.37458100558659213</v>
      </c>
      <c r="Y13" s="84"/>
      <c r="Z13" s="84"/>
      <c r="AA13" s="84">
        <f>'26'!AD16</f>
        <v>0.99945404913557778</v>
      </c>
      <c r="AB13" s="84">
        <f>'27'!AD16</f>
        <v>0.99931565440547476</v>
      </c>
      <c r="AC13" s="84">
        <f>'28'!AD16</f>
        <v>0.99925233644859812</v>
      </c>
      <c r="AD13" s="84">
        <f>'29'!AD16+'29'!AD17</f>
        <v>0.95793545534924851</v>
      </c>
      <c r="AE13" s="84">
        <f>'30'!AD16</f>
        <v>0.33333333333333331</v>
      </c>
      <c r="AF13" s="85"/>
      <c r="AG13" s="86">
        <f t="shared" si="0"/>
        <v>0.6046068430453444</v>
      </c>
    </row>
    <row r="14" spans="1:33" ht="21.75" customHeight="1">
      <c r="A14" s="118" t="s">
        <v>71</v>
      </c>
      <c r="B14" s="113">
        <f>'01'!AD17</f>
        <v>0</v>
      </c>
      <c r="C14" s="113"/>
      <c r="D14" s="84"/>
      <c r="E14" s="84"/>
      <c r="F14" s="84">
        <f>'05'!AD17</f>
        <v>0</v>
      </c>
      <c r="G14" s="84">
        <f>'06'!AD17</f>
        <v>0</v>
      </c>
      <c r="H14" s="84">
        <f>'07'!AD17</f>
        <v>0</v>
      </c>
      <c r="I14" s="84">
        <f>'08'!AD17</f>
        <v>0</v>
      </c>
      <c r="J14" s="84">
        <f>'09'!AD18</f>
        <v>0.58287037037037037</v>
      </c>
      <c r="K14" s="84">
        <f>'10'!AD18</f>
        <v>0</v>
      </c>
      <c r="L14" s="84"/>
      <c r="M14" s="84">
        <f>'12'!AD17</f>
        <v>0</v>
      </c>
      <c r="N14" s="84">
        <f>'13'!AD17</f>
        <v>0.16666666666666666</v>
      </c>
      <c r="O14" s="84">
        <f>'14'!AD17</f>
        <v>0</v>
      </c>
      <c r="P14" s="84">
        <f>'15'!AD17</f>
        <v>0</v>
      </c>
      <c r="Q14" s="84">
        <f>'16'!AD17</f>
        <v>0</v>
      </c>
      <c r="R14" s="84">
        <f>'17'!AD17</f>
        <v>0</v>
      </c>
      <c r="S14" s="84"/>
      <c r="T14" s="84">
        <f>'19'!AD17</f>
        <v>0</v>
      </c>
      <c r="U14" s="84">
        <f>'20'!AD17</f>
        <v>0</v>
      </c>
      <c r="V14" s="84">
        <f>'21'!AD17</f>
        <v>0.62331081081081086</v>
      </c>
      <c r="W14" s="84">
        <f>'22'!AD17+'22'!AD18</f>
        <v>0.95719696969696977</v>
      </c>
      <c r="X14" s="84">
        <f>'23'!AD17</f>
        <v>0.33291316526610643</v>
      </c>
      <c r="Y14" s="84"/>
      <c r="Z14" s="84"/>
      <c r="AA14" s="84">
        <f>'26'!AD17</f>
        <v>0</v>
      </c>
      <c r="AB14" s="84">
        <f>'27'!AD17</f>
        <v>0.125</v>
      </c>
      <c r="AC14" s="84">
        <f>'28'!AD17</f>
        <v>0</v>
      </c>
      <c r="AD14" s="84">
        <f>'29'!AD18</f>
        <v>0</v>
      </c>
      <c r="AE14" s="84">
        <f>'30'!AD17</f>
        <v>0</v>
      </c>
      <c r="AF14" s="85"/>
      <c r="AG14" s="86">
        <f t="shared" si="0"/>
        <v>8.9934128477771755E-2</v>
      </c>
    </row>
    <row r="15" spans="1:33" ht="21.75" customHeight="1">
      <c r="A15" s="119" t="s">
        <v>72</v>
      </c>
      <c r="B15" s="114">
        <f>'01'!AD18</f>
        <v>0.41648629148629152</v>
      </c>
      <c r="C15" s="114"/>
      <c r="D15" s="87"/>
      <c r="E15" s="87"/>
      <c r="F15" s="87">
        <f>'05'!AD18</f>
        <v>0.87377336448598131</v>
      </c>
      <c r="G15" s="87">
        <f>'06'!AD18</f>
        <v>0.99834024896265561</v>
      </c>
      <c r="H15" s="87">
        <f>'07'!AD18</f>
        <v>0.91560816012317159</v>
      </c>
      <c r="I15" s="87">
        <f>'08'!AD18</f>
        <v>0.99882121807465618</v>
      </c>
      <c r="J15" s="87">
        <f>'09'!AD19</f>
        <v>0.70833333333333337</v>
      </c>
      <c r="K15" s="87">
        <f>'10'!AD19</f>
        <v>1</v>
      </c>
      <c r="L15" s="87"/>
      <c r="M15" s="87">
        <f>'12'!AD18</f>
        <v>0.99906542056074765</v>
      </c>
      <c r="N15" s="87">
        <f>'13'!AD18</f>
        <v>0.58250296559905101</v>
      </c>
      <c r="O15" s="87">
        <f>'14'!AD18</f>
        <v>0.37454268292682924</v>
      </c>
      <c r="P15" s="87">
        <f>'15'!AD18</f>
        <v>0.83333333333333337</v>
      </c>
      <c r="Q15" s="87">
        <f>'16'!AD18</f>
        <v>0.99859154929577465</v>
      </c>
      <c r="R15" s="87">
        <f>'17'!AD18</f>
        <v>0.99958333333333338</v>
      </c>
      <c r="S15" s="87"/>
      <c r="T15" s="87">
        <f>'19'!AD18</f>
        <v>0.29139710412815772</v>
      </c>
      <c r="U15" s="87">
        <f>'20'!AD18</f>
        <v>0.83198198198198203</v>
      </c>
      <c r="V15" s="87">
        <f>'21'!AD18+'21'!AD19</f>
        <v>0.95648988692466963</v>
      </c>
      <c r="W15" s="87">
        <f>'22'!AD19</f>
        <v>0.62372881355932208</v>
      </c>
      <c r="X15" s="87">
        <f>'23'!AD18</f>
        <v>0</v>
      </c>
      <c r="Y15" s="87"/>
      <c r="Z15" s="87"/>
      <c r="AA15" s="87">
        <f>'26'!AD18</f>
        <v>0.49953917050691243</v>
      </c>
      <c r="AB15" s="87">
        <f>'27'!AD18</f>
        <v>0.79061111111111115</v>
      </c>
      <c r="AC15" s="87">
        <f>'28'!AD18</f>
        <v>0.99830866807610996</v>
      </c>
      <c r="AD15" s="87">
        <f>'29'!AD19</f>
        <v>0.75</v>
      </c>
      <c r="AE15" s="87">
        <f>'30'!AD18</f>
        <v>0.33333333333333331</v>
      </c>
      <c r="AF15" s="88"/>
      <c r="AG15" s="89">
        <f t="shared" si="0"/>
        <v>0.54110877326247608</v>
      </c>
    </row>
    <row r="16" spans="1:33" ht="21.75" customHeight="1">
      <c r="A16" s="119" t="s">
        <v>73</v>
      </c>
      <c r="B16" s="114">
        <f>'01'!AD19</f>
        <v>0.41616915422885575</v>
      </c>
      <c r="C16" s="114"/>
      <c r="D16" s="87"/>
      <c r="E16" s="87"/>
      <c r="F16" s="87">
        <f>'05'!AD19</f>
        <v>0.33216783216783213</v>
      </c>
      <c r="G16" s="87">
        <f>'06'!AD19</f>
        <v>0.79069925322471146</v>
      </c>
      <c r="H16" s="87">
        <f>'07'!AD19</f>
        <v>0.99972826086956523</v>
      </c>
      <c r="I16" s="87">
        <f>'08'!AD19</f>
        <v>0.49954022988505747</v>
      </c>
      <c r="J16" s="87">
        <f>'09'!AD20</f>
        <v>0</v>
      </c>
      <c r="K16" s="87">
        <f>'10'!AD20</f>
        <v>0</v>
      </c>
      <c r="L16" s="87"/>
      <c r="M16" s="87">
        <f>'12'!AD19</f>
        <v>0.54166666666666663</v>
      </c>
      <c r="N16" s="87">
        <f>'13'!AD19</f>
        <v>0.99896142433234425</v>
      </c>
      <c r="O16" s="87">
        <f>'14'!AD19</f>
        <v>0.99945355191256835</v>
      </c>
      <c r="P16" s="87">
        <f>'15'!AD19</f>
        <v>0.99880794701986753</v>
      </c>
      <c r="Q16" s="87">
        <f>'16'!AD19</f>
        <v>0.91636759108210974</v>
      </c>
      <c r="R16" s="87">
        <f>'17'!AD19</f>
        <v>0.99902097902097897</v>
      </c>
      <c r="S16" s="87"/>
      <c r="T16" s="87">
        <f>'19'!AD19</f>
        <v>0.99984615384615383</v>
      </c>
      <c r="U16" s="87">
        <f>'20'!AD19</f>
        <v>0.99911764705882355</v>
      </c>
      <c r="V16" s="87">
        <f>'21'!AD20</f>
        <v>0.95785095078299787</v>
      </c>
      <c r="W16" s="87">
        <f>'22'!AD20</f>
        <v>0.33333333333333331</v>
      </c>
      <c r="X16" s="87">
        <f>'23'!AD19</f>
        <v>0.37354972375690609</v>
      </c>
      <c r="Y16" s="87"/>
      <c r="Z16" s="87"/>
      <c r="AA16" s="87">
        <f>'26'!AD19</f>
        <v>0</v>
      </c>
      <c r="AB16" s="87">
        <f>'27'!AD19</f>
        <v>0.87430371352785152</v>
      </c>
      <c r="AC16" s="87">
        <f>'28'!AD19</f>
        <v>0.58127753303964758</v>
      </c>
      <c r="AD16" s="87">
        <f>'29'!AD20</f>
        <v>0</v>
      </c>
      <c r="AE16" s="87">
        <f>'30'!AD19</f>
        <v>0</v>
      </c>
      <c r="AF16" s="88"/>
      <c r="AG16" s="89">
        <f t="shared" si="0"/>
        <v>0.43909232083084743</v>
      </c>
    </row>
    <row r="17" spans="1:33" ht="21.75" customHeight="1" thickBot="1">
      <c r="A17" s="120" t="s">
        <v>111</v>
      </c>
      <c r="B17" s="115">
        <f>'01'!AD20</f>
        <v>0</v>
      </c>
      <c r="C17" s="115"/>
      <c r="D17" s="90"/>
      <c r="E17" s="90"/>
      <c r="F17" s="90">
        <f>'05'!AD20</f>
        <v>0</v>
      </c>
      <c r="G17" s="90">
        <f>'06'!AD20</f>
        <v>0</v>
      </c>
      <c r="H17" s="90">
        <f>'07'!AD20</f>
        <v>0</v>
      </c>
      <c r="I17" s="90">
        <f>'08'!AD20</f>
        <v>0</v>
      </c>
      <c r="J17" s="90">
        <f>'09'!AD21</f>
        <v>0</v>
      </c>
      <c r="K17" s="90">
        <f>'10'!AD21</f>
        <v>0</v>
      </c>
      <c r="L17" s="90"/>
      <c r="M17" s="90">
        <f>'12'!AD20</f>
        <v>0</v>
      </c>
      <c r="N17" s="90">
        <f>'13'!AD20</f>
        <v>0</v>
      </c>
      <c r="O17" s="90">
        <f>'14'!AD20</f>
        <v>0</v>
      </c>
      <c r="P17" s="90">
        <f>'15'!AD20</f>
        <v>0</v>
      </c>
      <c r="Q17" s="90">
        <f>'16'!AD20</f>
        <v>0</v>
      </c>
      <c r="R17" s="90">
        <f>'17'!AD20</f>
        <v>0</v>
      </c>
      <c r="S17" s="90"/>
      <c r="T17" s="90">
        <f>'19'!AD20</f>
        <v>0</v>
      </c>
      <c r="U17" s="90">
        <f>'20'!AD20</f>
        <v>0</v>
      </c>
      <c r="V17" s="90">
        <f>'21'!AD21</f>
        <v>0</v>
      </c>
      <c r="W17" s="90">
        <f>'22'!AD21</f>
        <v>0</v>
      </c>
      <c r="X17" s="90">
        <f>'23'!AD20</f>
        <v>0</v>
      </c>
      <c r="Y17" s="90"/>
      <c r="Z17" s="90"/>
      <c r="AA17" s="90">
        <f>'26'!AD20</f>
        <v>0.83099219620958753</v>
      </c>
      <c r="AB17" s="90">
        <f>'27'!AD20</f>
        <v>0.99934883720930234</v>
      </c>
      <c r="AC17" s="90">
        <f>'28'!AD20</f>
        <v>1</v>
      </c>
      <c r="AD17" s="90">
        <f>'29'!AD21</f>
        <v>0.99989567031820548</v>
      </c>
      <c r="AE17" s="90">
        <f>'30'!AD20</f>
        <v>0.2497536945812808</v>
      </c>
      <c r="AF17" s="91"/>
      <c r="AG17" s="92">
        <f t="shared" si="0"/>
        <v>0.13161259349414117</v>
      </c>
    </row>
    <row r="18" spans="1:33" s="93" customFormat="1" ht="21.75" customHeight="1">
      <c r="A18" s="97" t="s">
        <v>105</v>
      </c>
      <c r="B18" s="101">
        <f>'01'!AD21</f>
        <v>8.3288140825454257E-2</v>
      </c>
      <c r="C18" s="101"/>
      <c r="D18" s="102"/>
      <c r="E18" s="102"/>
      <c r="F18" s="102">
        <f>'05'!AD21</f>
        <v>0.22197048398054128</v>
      </c>
      <c r="G18" s="102">
        <f>'06'!AD21</f>
        <v>0.51405229953087495</v>
      </c>
      <c r="H18" s="102">
        <f>'07'!AD21</f>
        <v>0.61055983542184455</v>
      </c>
      <c r="I18" s="102">
        <f>'08'!AD21</f>
        <v>0.50511826207481836</v>
      </c>
      <c r="J18" s="102">
        <f>'09'!AD22</f>
        <v>0.52214395061728391</v>
      </c>
      <c r="K18" s="102">
        <f>'10'!AD22</f>
        <v>0.44699954246731688</v>
      </c>
      <c r="L18" s="102"/>
      <c r="M18" s="102">
        <f>'12'!AD21</f>
        <v>0.35814376046368707</v>
      </c>
      <c r="N18" s="102">
        <f>'13'!AD21</f>
        <v>0.43036466400329004</v>
      </c>
      <c r="O18" s="102">
        <f>'14'!AD21</f>
        <v>0.41371133780230418</v>
      </c>
      <c r="P18" s="102">
        <f>'15'!AD21</f>
        <v>0.46614808256339813</v>
      </c>
      <c r="Q18" s="102">
        <f>'16'!AD21</f>
        <v>0.41091730543534272</v>
      </c>
      <c r="R18" s="102">
        <f>'17'!AD21</f>
        <v>0.48298259854643288</v>
      </c>
      <c r="S18" s="102"/>
      <c r="T18" s="102">
        <f>'19'!AD21</f>
        <v>0.41891714237882133</v>
      </c>
      <c r="U18" s="102">
        <f>'20'!AD21</f>
        <v>0.48590297154931683</v>
      </c>
      <c r="V18" s="102">
        <f>'21'!AD22</f>
        <v>0.61332024015450215</v>
      </c>
      <c r="W18" s="102">
        <f>'22'!AD22</f>
        <v>0.5465258578847908</v>
      </c>
      <c r="X18" s="102">
        <f>'23'!AD21</f>
        <v>0.13101029026950964</v>
      </c>
      <c r="Y18" s="102"/>
      <c r="Z18" s="102"/>
      <c r="AA18" s="102">
        <f>'26'!AD21</f>
        <v>0.34681962876884243</v>
      </c>
      <c r="AB18" s="102">
        <f>'27'!AD21</f>
        <v>0.45244852734121099</v>
      </c>
      <c r="AC18" s="102">
        <f>'28'!AD21</f>
        <v>0.42180274583585864</v>
      </c>
      <c r="AD18" s="102">
        <f>'29'!AD22</f>
        <v>0.23885540837783026</v>
      </c>
      <c r="AE18" s="102">
        <f>'30'!AD21</f>
        <v>9.1504248930090626E-2</v>
      </c>
      <c r="AF18" s="103"/>
      <c r="AG18" s="106">
        <f t="shared" si="0"/>
        <v>0.29720991371688266</v>
      </c>
    </row>
    <row r="19" spans="1:33" ht="21.75" customHeight="1" thickBot="1">
      <c r="A19" s="76" t="s">
        <v>109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34" zoomScale="72" zoomScaleNormal="72" zoomScaleSheetLayoutView="70" workbookViewId="0">
      <selection activeCell="G19" sqref="G1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02" t="s">
        <v>181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6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6" ht="27" customHeight="1">
      <c r="A6" s="108">
        <v>1</v>
      </c>
      <c r="B6" s="11" t="s">
        <v>57</v>
      </c>
      <c r="C6" s="37" t="s">
        <v>146</v>
      </c>
      <c r="D6" s="55" t="s">
        <v>159</v>
      </c>
      <c r="E6" s="57" t="s">
        <v>160</v>
      </c>
      <c r="F6" s="33" t="s">
        <v>161</v>
      </c>
      <c r="G6" s="36">
        <v>4</v>
      </c>
      <c r="H6" s="38">
        <v>25</v>
      </c>
      <c r="I6" s="7">
        <v>3000</v>
      </c>
      <c r="J6" s="5">
        <v>4520</v>
      </c>
      <c r="K6" s="15">
        <f>L6+4512</f>
        <v>4512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8.3288140825454257E-2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150</v>
      </c>
      <c r="E7" s="57" t="s">
        <v>157</v>
      </c>
      <c r="F7" s="33" t="s">
        <v>147</v>
      </c>
      <c r="G7" s="12" t="s">
        <v>141</v>
      </c>
      <c r="H7" s="13">
        <v>25</v>
      </c>
      <c r="I7" s="34">
        <v>6000</v>
      </c>
      <c r="J7" s="5">
        <v>2270</v>
      </c>
      <c r="K7" s="15">
        <f>L7+3799+2261</f>
        <v>6060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8.3288140825454257E-2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155</v>
      </c>
      <c r="E8" s="57" t="s">
        <v>154</v>
      </c>
      <c r="F8" s="33" t="s">
        <v>147</v>
      </c>
      <c r="G8" s="12">
        <v>2</v>
      </c>
      <c r="H8" s="13">
        <v>25</v>
      </c>
      <c r="I8" s="34">
        <v>11000</v>
      </c>
      <c r="J8" s="5">
        <v>8570</v>
      </c>
      <c r="K8" s="15">
        <f>L8+8570</f>
        <v>8570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8.3288140825454257E-2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165</v>
      </c>
      <c r="E9" s="57" t="s">
        <v>171</v>
      </c>
      <c r="F9" s="33" t="s">
        <v>126</v>
      </c>
      <c r="G9" s="36">
        <v>1</v>
      </c>
      <c r="H9" s="38">
        <v>25</v>
      </c>
      <c r="I9" s="7">
        <v>1200</v>
      </c>
      <c r="J9" s="5">
        <v>1363</v>
      </c>
      <c r="K9" s="15">
        <f>L9+1363</f>
        <v>1363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8.3288140825454257E-2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100000</v>
      </c>
      <c r="J10" s="14">
        <v>1000</v>
      </c>
      <c r="K10" s="15">
        <f>L10+24784+20920+19906+984</f>
        <v>66594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8.3288140825454257E-2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182</v>
      </c>
      <c r="D11" s="55" t="s">
        <v>183</v>
      </c>
      <c r="E11" s="57" t="s">
        <v>184</v>
      </c>
      <c r="F11" s="12" t="s">
        <v>185</v>
      </c>
      <c r="G11" s="12">
        <v>1</v>
      </c>
      <c r="H11" s="13">
        <v>25</v>
      </c>
      <c r="I11" s="34">
        <v>1200</v>
      </c>
      <c r="J11" s="14">
        <v>1420</v>
      </c>
      <c r="K11" s="15">
        <f>L11</f>
        <v>1420</v>
      </c>
      <c r="L11" s="15">
        <v>1420</v>
      </c>
      <c r="M11" s="16">
        <f t="shared" si="0"/>
        <v>1420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1</v>
      </c>
      <c r="AC11" s="9">
        <f t="shared" si="5"/>
        <v>0.41666666666666669</v>
      </c>
      <c r="AD11" s="10">
        <f t="shared" si="6"/>
        <v>0.41666666666666669</v>
      </c>
      <c r="AE11" s="39">
        <f t="shared" si="7"/>
        <v>8.3288140825454257E-2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121</v>
      </c>
      <c r="D12" s="55" t="s">
        <v>152</v>
      </c>
      <c r="E12" s="57" t="s">
        <v>153</v>
      </c>
      <c r="F12" s="12" t="s">
        <v>140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L12+3858+5000+5466+5494</f>
        <v>19818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8.3288140825454257E-2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121</v>
      </c>
      <c r="D13" s="55" t="s">
        <v>125</v>
      </c>
      <c r="E13" s="57" t="s">
        <v>149</v>
      </c>
      <c r="F13" s="12" t="s">
        <v>151</v>
      </c>
      <c r="G13" s="12">
        <v>1</v>
      </c>
      <c r="H13" s="13">
        <v>25</v>
      </c>
      <c r="I13" s="7">
        <v>13000</v>
      </c>
      <c r="J13" s="14">
        <v>4480</v>
      </c>
      <c r="K13" s="15">
        <f>L13+5020+4975+5310+4477</f>
        <v>19782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8.3288140825454257E-2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148</v>
      </c>
      <c r="F14" s="33" t="s">
        <v>139</v>
      </c>
      <c r="G14" s="36">
        <v>1</v>
      </c>
      <c r="H14" s="38">
        <v>25</v>
      </c>
      <c r="I14" s="7">
        <v>200</v>
      </c>
      <c r="J14" s="5">
        <v>318</v>
      </c>
      <c r="K14" s="15">
        <f>L14+318</f>
        <v>318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8.3288140825454257E-2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114</v>
      </c>
      <c r="D15" s="55" t="s">
        <v>131</v>
      </c>
      <c r="E15" s="57" t="s">
        <v>136</v>
      </c>
      <c r="F15" s="12">
        <v>8301</v>
      </c>
      <c r="G15" s="12">
        <v>1</v>
      </c>
      <c r="H15" s="13">
        <v>24</v>
      </c>
      <c r="I15" s="34">
        <v>150</v>
      </c>
      <c r="J15" s="14">
        <v>159</v>
      </c>
      <c r="K15" s="15">
        <f>L15+159</f>
        <v>159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8.3288140825454257E-2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114</v>
      </c>
      <c r="D16" s="55" t="s">
        <v>172</v>
      </c>
      <c r="E16" s="56" t="s">
        <v>173</v>
      </c>
      <c r="F16" s="12" t="s">
        <v>174</v>
      </c>
      <c r="G16" s="36">
        <v>1</v>
      </c>
      <c r="H16" s="38">
        <v>25</v>
      </c>
      <c r="I16" s="7">
        <v>1200</v>
      </c>
      <c r="J16" s="14">
        <v>1440</v>
      </c>
      <c r="K16" s="15">
        <f>L16+1435</f>
        <v>1435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8.3288140825454257E-2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158</v>
      </c>
      <c r="E17" s="57" t="s">
        <v>156</v>
      </c>
      <c r="F17" s="12" t="s">
        <v>130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8.3288140825454257E-2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121</v>
      </c>
      <c r="D18" s="55" t="s">
        <v>125</v>
      </c>
      <c r="E18" s="57" t="s">
        <v>162</v>
      </c>
      <c r="F18" s="33" t="s">
        <v>163</v>
      </c>
      <c r="G18" s="36">
        <v>1</v>
      </c>
      <c r="H18" s="38">
        <v>25</v>
      </c>
      <c r="I18" s="7">
        <v>16000</v>
      </c>
      <c r="J18" s="5">
        <v>2310</v>
      </c>
      <c r="K18" s="15">
        <f>L18+3236+5609</f>
        <v>11154</v>
      </c>
      <c r="L18" s="15">
        <f>2309</f>
        <v>2309</v>
      </c>
      <c r="M18" s="16">
        <f t="shared" si="0"/>
        <v>2309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/>
      <c r="T18" s="17"/>
      <c r="U18" s="17"/>
      <c r="V18" s="18">
        <v>14</v>
      </c>
      <c r="W18" s="19"/>
      <c r="X18" s="17"/>
      <c r="Y18" s="20"/>
      <c r="Z18" s="20"/>
      <c r="AA18" s="21"/>
      <c r="AB18" s="8">
        <f t="shared" si="4"/>
        <v>0.99956709956709955</v>
      </c>
      <c r="AC18" s="9">
        <f t="shared" si="5"/>
        <v>0.41666666666666669</v>
      </c>
      <c r="AD18" s="10">
        <f t="shared" si="6"/>
        <v>0.41648629148629152</v>
      </c>
      <c r="AE18" s="39">
        <f t="shared" si="7"/>
        <v>8.3288140825454257E-2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311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3350</v>
      </c>
      <c r="K19" s="15">
        <f>L19+3258+4398+5144+3460+6323+4564+5384+7161+2960+2789+7049+2970+3630+7299+2728+7313+2343+2949+7245+6653</f>
        <v>98966</v>
      </c>
      <c r="L19" s="15">
        <v>3346</v>
      </c>
      <c r="M19" s="16">
        <f t="shared" si="0"/>
        <v>3346</v>
      </c>
      <c r="N19" s="16">
        <v>0</v>
      </c>
      <c r="O19" s="62">
        <f t="shared" si="1"/>
        <v>0</v>
      </c>
      <c r="P19" s="42">
        <f t="shared" si="2"/>
        <v>10</v>
      </c>
      <c r="Q19" s="43">
        <f t="shared" si="3"/>
        <v>14</v>
      </c>
      <c r="R19" s="7"/>
      <c r="S19" s="6"/>
      <c r="T19" s="17"/>
      <c r="U19" s="17"/>
      <c r="V19" s="18">
        <v>14</v>
      </c>
      <c r="W19" s="19"/>
      <c r="X19" s="17"/>
      <c r="Y19" s="20"/>
      <c r="Z19" s="20"/>
      <c r="AA19" s="21"/>
      <c r="AB19" s="8">
        <f t="shared" si="4"/>
        <v>0.99880597014925376</v>
      </c>
      <c r="AC19" s="9">
        <f t="shared" si="5"/>
        <v>0.41666666666666669</v>
      </c>
      <c r="AD19" s="10">
        <f t="shared" si="6"/>
        <v>0.41616915422885575</v>
      </c>
      <c r="AE19" s="39">
        <f t="shared" si="7"/>
        <v>8.3288140825454257E-2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8.3288140825454257E-2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1105950</v>
      </c>
      <c r="J21" s="22">
        <f t="shared" si="10"/>
        <v>51330</v>
      </c>
      <c r="K21" s="23">
        <f t="shared" si="10"/>
        <v>463371</v>
      </c>
      <c r="L21" s="24">
        <f t="shared" si="10"/>
        <v>7075</v>
      </c>
      <c r="M21" s="23">
        <f t="shared" si="10"/>
        <v>7075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30</v>
      </c>
      <c r="Q21" s="46">
        <f t="shared" si="11"/>
        <v>330</v>
      </c>
      <c r="R21" s="26">
        <f t="shared" si="11"/>
        <v>0</v>
      </c>
      <c r="S21" s="27">
        <f t="shared" si="11"/>
        <v>24</v>
      </c>
      <c r="T21" s="27">
        <f t="shared" si="11"/>
        <v>0</v>
      </c>
      <c r="U21" s="27">
        <f t="shared" si="11"/>
        <v>0</v>
      </c>
      <c r="V21" s="28">
        <f t="shared" si="11"/>
        <v>28</v>
      </c>
      <c r="W21" s="29">
        <f t="shared" si="11"/>
        <v>278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0.19989153798109024</v>
      </c>
      <c r="AC21" s="4">
        <f>SUM(AC6:AC20)/15</f>
        <v>8.3333333333333329E-2</v>
      </c>
      <c r="AD21" s="4">
        <f>SUM(AD6:AD20)/15</f>
        <v>8.3288140825454257E-2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187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189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126" t="s">
        <v>46</v>
      </c>
      <c r="D50" s="126" t="s">
        <v>47</v>
      </c>
      <c r="E50" s="126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126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175</v>
      </c>
      <c r="B51" s="444"/>
      <c r="C51" s="127" t="s">
        <v>135</v>
      </c>
      <c r="D51" s="128" t="s">
        <v>145</v>
      </c>
      <c r="E51" s="127" t="s">
        <v>188</v>
      </c>
      <c r="F51" s="445" t="s">
        <v>176</v>
      </c>
      <c r="G51" s="445"/>
      <c r="H51" s="445"/>
      <c r="I51" s="445"/>
      <c r="J51" s="445"/>
      <c r="K51" s="445"/>
      <c r="L51" s="445"/>
      <c r="M51" s="446"/>
      <c r="N51" s="132" t="s">
        <v>190</v>
      </c>
      <c r="O51" s="74" t="s">
        <v>128</v>
      </c>
      <c r="P51" s="447" t="s">
        <v>192</v>
      </c>
      <c r="Q51" s="447"/>
      <c r="R51" s="447" t="s">
        <v>191</v>
      </c>
      <c r="S51" s="447"/>
      <c r="T51" s="447"/>
      <c r="U51" s="447"/>
      <c r="V51" s="445" t="s">
        <v>166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/>
      <c r="B52" s="444"/>
      <c r="C52" s="127"/>
      <c r="D52" s="128"/>
      <c r="E52" s="127"/>
      <c r="F52" s="445"/>
      <c r="G52" s="445"/>
      <c r="H52" s="445"/>
      <c r="I52" s="445"/>
      <c r="J52" s="445"/>
      <c r="K52" s="445"/>
      <c r="L52" s="445"/>
      <c r="M52" s="446"/>
      <c r="N52" s="132" t="s">
        <v>177</v>
      </c>
      <c r="O52" s="74" t="s">
        <v>144</v>
      </c>
      <c r="P52" s="448" t="s">
        <v>178</v>
      </c>
      <c r="Q52" s="449"/>
      <c r="R52" s="447" t="s">
        <v>179</v>
      </c>
      <c r="S52" s="447"/>
      <c r="T52" s="447"/>
      <c r="U52" s="447"/>
      <c r="V52" s="445" t="s">
        <v>164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/>
      <c r="B53" s="444"/>
      <c r="C53" s="127"/>
      <c r="D53" s="128"/>
      <c r="E53" s="127"/>
      <c r="F53" s="445"/>
      <c r="G53" s="445"/>
      <c r="H53" s="445"/>
      <c r="I53" s="445"/>
      <c r="J53" s="445"/>
      <c r="K53" s="445"/>
      <c r="L53" s="445"/>
      <c r="M53" s="446"/>
      <c r="N53" s="132" t="s">
        <v>194</v>
      </c>
      <c r="O53" s="74" t="s">
        <v>195</v>
      </c>
      <c r="P53" s="447" t="s">
        <v>196</v>
      </c>
      <c r="Q53" s="447"/>
      <c r="R53" s="447" t="s">
        <v>193</v>
      </c>
      <c r="S53" s="447"/>
      <c r="T53" s="447"/>
      <c r="U53" s="447"/>
      <c r="V53" s="445" t="s">
        <v>137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/>
      <c r="B54" s="444"/>
      <c r="C54" s="127"/>
      <c r="D54" s="128"/>
      <c r="E54" s="127"/>
      <c r="F54" s="445"/>
      <c r="G54" s="445"/>
      <c r="H54" s="445"/>
      <c r="I54" s="445"/>
      <c r="J54" s="445"/>
      <c r="K54" s="445"/>
      <c r="L54" s="445"/>
      <c r="M54" s="446"/>
      <c r="N54" s="132" t="s">
        <v>198</v>
      </c>
      <c r="O54" s="74" t="s">
        <v>199</v>
      </c>
      <c r="P54" s="447" t="s">
        <v>196</v>
      </c>
      <c r="Q54" s="447"/>
      <c r="R54" s="447" t="s">
        <v>197</v>
      </c>
      <c r="S54" s="447"/>
      <c r="T54" s="447"/>
      <c r="U54" s="447"/>
      <c r="V54" s="445" t="s">
        <v>137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3"/>
      <c r="B55" s="444"/>
      <c r="C55" s="127"/>
      <c r="D55" s="128"/>
      <c r="E55" s="127"/>
      <c r="F55" s="445"/>
      <c r="G55" s="445"/>
      <c r="H55" s="445"/>
      <c r="I55" s="445"/>
      <c r="J55" s="445"/>
      <c r="K55" s="445"/>
      <c r="L55" s="445"/>
      <c r="M55" s="446"/>
      <c r="N55" s="132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127"/>
      <c r="D56" s="128"/>
      <c r="E56" s="127"/>
      <c r="F56" s="445"/>
      <c r="G56" s="445"/>
      <c r="H56" s="445"/>
      <c r="I56" s="445"/>
      <c r="J56" s="445"/>
      <c r="K56" s="445"/>
      <c r="L56" s="445"/>
      <c r="M56" s="446"/>
      <c r="N56" s="132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127"/>
      <c r="D57" s="128"/>
      <c r="E57" s="127"/>
      <c r="F57" s="445"/>
      <c r="G57" s="445"/>
      <c r="H57" s="445"/>
      <c r="I57" s="445"/>
      <c r="J57" s="445"/>
      <c r="K57" s="445"/>
      <c r="L57" s="445"/>
      <c r="M57" s="446"/>
      <c r="N57" s="132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127"/>
      <c r="D58" s="128"/>
      <c r="E58" s="127"/>
      <c r="F58" s="445"/>
      <c r="G58" s="445"/>
      <c r="H58" s="445"/>
      <c r="I58" s="445"/>
      <c r="J58" s="445"/>
      <c r="K58" s="445"/>
      <c r="L58" s="445"/>
      <c r="M58" s="446"/>
      <c r="N58" s="132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128"/>
      <c r="D59" s="128"/>
      <c r="E59" s="128"/>
      <c r="F59" s="445"/>
      <c r="G59" s="445"/>
      <c r="H59" s="445"/>
      <c r="I59" s="445"/>
      <c r="J59" s="445"/>
      <c r="K59" s="445"/>
      <c r="L59" s="445"/>
      <c r="M59" s="446"/>
      <c r="N59" s="132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130"/>
      <c r="D60" s="130"/>
      <c r="E60" s="130"/>
      <c r="F60" s="452"/>
      <c r="G60" s="452"/>
      <c r="H60" s="452"/>
      <c r="I60" s="452"/>
      <c r="J60" s="452"/>
      <c r="K60" s="452"/>
      <c r="L60" s="452"/>
      <c r="M60" s="453"/>
      <c r="N60" s="129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200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131" t="s">
        <v>2</v>
      </c>
      <c r="D62" s="131" t="s">
        <v>37</v>
      </c>
      <c r="E62" s="131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131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167</v>
      </c>
      <c r="D63" s="135"/>
      <c r="E63" s="133" t="s">
        <v>168</v>
      </c>
      <c r="F63" s="464" t="s">
        <v>180</v>
      </c>
      <c r="G63" s="465"/>
      <c r="H63" s="465"/>
      <c r="I63" s="465"/>
      <c r="J63" s="465"/>
      <c r="K63" s="465" t="s">
        <v>169</v>
      </c>
      <c r="L63" s="465"/>
      <c r="M63" s="54" t="s">
        <v>170</v>
      </c>
      <c r="N63" s="465">
        <v>1</v>
      </c>
      <c r="O63" s="465"/>
      <c r="P63" s="466">
        <v>100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114</v>
      </c>
      <c r="D64" s="135"/>
      <c r="E64" s="133" t="s">
        <v>201</v>
      </c>
      <c r="F64" s="464" t="s">
        <v>202</v>
      </c>
      <c r="G64" s="465"/>
      <c r="H64" s="465"/>
      <c r="I64" s="465"/>
      <c r="J64" s="465"/>
      <c r="K64" s="465" t="s">
        <v>203</v>
      </c>
      <c r="L64" s="465"/>
      <c r="M64" s="54" t="s">
        <v>204</v>
      </c>
      <c r="N64" s="465">
        <v>4</v>
      </c>
      <c r="O64" s="465"/>
      <c r="P64" s="466">
        <v>50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205</v>
      </c>
      <c r="D65" s="135"/>
      <c r="E65" s="133" t="s">
        <v>196</v>
      </c>
      <c r="F65" s="464" t="s">
        <v>206</v>
      </c>
      <c r="G65" s="465"/>
      <c r="H65" s="465"/>
      <c r="I65" s="465"/>
      <c r="J65" s="465"/>
      <c r="K65" s="465" t="s">
        <v>207</v>
      </c>
      <c r="L65" s="465"/>
      <c r="M65" s="54" t="s">
        <v>204</v>
      </c>
      <c r="N65" s="465">
        <v>4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135"/>
      <c r="E66" s="133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135"/>
      <c r="E67" s="133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135"/>
      <c r="E68" s="133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135"/>
      <c r="E69" s="133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135"/>
      <c r="E70" s="133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208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134" t="s">
        <v>2</v>
      </c>
      <c r="D72" s="134" t="s">
        <v>37</v>
      </c>
      <c r="E72" s="134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136" t="s">
        <v>114</v>
      </c>
      <c r="D73" s="136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135" t="s">
        <v>114</v>
      </c>
      <c r="D74" s="135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135"/>
      <c r="D75" s="135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135"/>
      <c r="D76" s="135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135"/>
      <c r="D77" s="135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135"/>
      <c r="D78" s="135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135"/>
      <c r="D79" s="135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135"/>
      <c r="D80" s="135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135"/>
      <c r="D81" s="135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209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25" zoomScale="72" zoomScaleNormal="72" zoomScaleSheetLayoutView="70" workbookViewId="0">
      <selection activeCell="K67" sqref="K67:L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02" t="s">
        <v>210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6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6" ht="27" customHeight="1">
      <c r="A6" s="108">
        <v>1</v>
      </c>
      <c r="B6" s="11" t="s">
        <v>57</v>
      </c>
      <c r="C6" s="37" t="s">
        <v>146</v>
      </c>
      <c r="D6" s="55" t="s">
        <v>159</v>
      </c>
      <c r="E6" s="57" t="s">
        <v>160</v>
      </c>
      <c r="F6" s="33" t="s">
        <v>161</v>
      </c>
      <c r="G6" s="36">
        <v>4</v>
      </c>
      <c r="H6" s="38">
        <v>25</v>
      </c>
      <c r="I6" s="7">
        <v>3000</v>
      </c>
      <c r="J6" s="5">
        <v>4520</v>
      </c>
      <c r="K6" s="15">
        <f>L6+4512</f>
        <v>4512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0.22197048398054128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122</v>
      </c>
      <c r="D7" s="55" t="s">
        <v>150</v>
      </c>
      <c r="E7" s="57" t="s">
        <v>157</v>
      </c>
      <c r="F7" s="33" t="s">
        <v>147</v>
      </c>
      <c r="G7" s="12" t="s">
        <v>141</v>
      </c>
      <c r="H7" s="13">
        <v>25</v>
      </c>
      <c r="I7" s="34">
        <v>6000</v>
      </c>
      <c r="J7" s="5">
        <v>2270</v>
      </c>
      <c r="K7" s="15">
        <f>L7+3799+2261</f>
        <v>6060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0.22197048398054128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211</v>
      </c>
      <c r="E8" s="57" t="s">
        <v>212</v>
      </c>
      <c r="F8" s="33" t="s">
        <v>213</v>
      </c>
      <c r="G8" s="12">
        <v>3</v>
      </c>
      <c r="H8" s="13">
        <v>25</v>
      </c>
      <c r="I8" s="34">
        <v>20000</v>
      </c>
      <c r="J8" s="5">
        <v>11930</v>
      </c>
      <c r="K8" s="15">
        <f>L8</f>
        <v>11925</v>
      </c>
      <c r="L8" s="15">
        <f>1238*3+2737*3</f>
        <v>11925</v>
      </c>
      <c r="M8" s="16">
        <f t="shared" si="0"/>
        <v>11925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/>
      <c r="T8" s="17">
        <v>3</v>
      </c>
      <c r="U8" s="17"/>
      <c r="V8" s="18"/>
      <c r="W8" s="19"/>
      <c r="X8" s="17"/>
      <c r="Y8" s="20"/>
      <c r="Z8" s="20"/>
      <c r="AA8" s="21"/>
      <c r="AB8" s="8">
        <f t="shared" si="4"/>
        <v>0.9995808885163453</v>
      </c>
      <c r="AC8" s="9">
        <f t="shared" si="5"/>
        <v>0.875</v>
      </c>
      <c r="AD8" s="10">
        <f t="shared" si="6"/>
        <v>0.87463327745180219</v>
      </c>
      <c r="AE8" s="39">
        <f t="shared" si="7"/>
        <v>0.22197048398054128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114</v>
      </c>
      <c r="D9" s="55" t="s">
        <v>165</v>
      </c>
      <c r="E9" s="57" t="s">
        <v>171</v>
      </c>
      <c r="F9" s="33" t="s">
        <v>126</v>
      </c>
      <c r="G9" s="36">
        <v>1</v>
      </c>
      <c r="H9" s="38">
        <v>25</v>
      </c>
      <c r="I9" s="7">
        <v>1200</v>
      </c>
      <c r="J9" s="5">
        <v>1363</v>
      </c>
      <c r="K9" s="15">
        <f>L9+1363</f>
        <v>1363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0.22197048398054128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7100</v>
      </c>
      <c r="K10" s="15">
        <f>L10+24784+20920+19906+984</f>
        <v>73694</v>
      </c>
      <c r="L10" s="15">
        <f>3550*2</f>
        <v>7100</v>
      </c>
      <c r="M10" s="16">
        <f t="shared" si="0"/>
        <v>7100</v>
      </c>
      <c r="N10" s="16">
        <v>0</v>
      </c>
      <c r="O10" s="62">
        <f t="shared" si="1"/>
        <v>0</v>
      </c>
      <c r="P10" s="42">
        <f t="shared" si="2"/>
        <v>13</v>
      </c>
      <c r="Q10" s="43">
        <f t="shared" si="3"/>
        <v>11</v>
      </c>
      <c r="R10" s="7"/>
      <c r="S10" s="6">
        <v>11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0.54166666666666663</v>
      </c>
      <c r="AD10" s="10">
        <f t="shared" si="6"/>
        <v>0.54166666666666663</v>
      </c>
      <c r="AE10" s="39">
        <f t="shared" si="7"/>
        <v>0.22197048398054128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182</v>
      </c>
      <c r="D11" s="55" t="s">
        <v>183</v>
      </c>
      <c r="E11" s="57" t="s">
        <v>184</v>
      </c>
      <c r="F11" s="12" t="s">
        <v>185</v>
      </c>
      <c r="G11" s="12">
        <v>1</v>
      </c>
      <c r="H11" s="13">
        <v>25</v>
      </c>
      <c r="I11" s="34">
        <v>1200</v>
      </c>
      <c r="J11" s="14">
        <v>1420</v>
      </c>
      <c r="K11" s="15">
        <f>L11+1420</f>
        <v>1420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0.22197048398054128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121</v>
      </c>
      <c r="D12" s="55" t="s">
        <v>152</v>
      </c>
      <c r="E12" s="57" t="s">
        <v>153</v>
      </c>
      <c r="F12" s="12" t="s">
        <v>140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L12+3858+5000+5466+5494</f>
        <v>19818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0.22197048398054128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121</v>
      </c>
      <c r="D13" s="55" t="s">
        <v>125</v>
      </c>
      <c r="E13" s="57" t="s">
        <v>149</v>
      </c>
      <c r="F13" s="12" t="s">
        <v>151</v>
      </c>
      <c r="G13" s="12">
        <v>1</v>
      </c>
      <c r="H13" s="13">
        <v>25</v>
      </c>
      <c r="I13" s="7">
        <v>13000</v>
      </c>
      <c r="J13" s="14">
        <v>4480</v>
      </c>
      <c r="K13" s="15">
        <f>L13+5020+4975+5310+4477</f>
        <v>19782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0.22197048398054128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214</v>
      </c>
      <c r="F14" s="33" t="s">
        <v>215</v>
      </c>
      <c r="G14" s="36">
        <v>1</v>
      </c>
      <c r="H14" s="38">
        <v>25</v>
      </c>
      <c r="I14" s="7">
        <v>200</v>
      </c>
      <c r="J14" s="5">
        <v>105</v>
      </c>
      <c r="K14" s="15">
        <f>L14</f>
        <v>105</v>
      </c>
      <c r="L14" s="15">
        <v>105</v>
      </c>
      <c r="M14" s="16">
        <f t="shared" si="0"/>
        <v>105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 t="shared" si="7"/>
        <v>0.22197048398054128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114</v>
      </c>
      <c r="D15" s="55" t="s">
        <v>131</v>
      </c>
      <c r="E15" s="57" t="s">
        <v>136</v>
      </c>
      <c r="F15" s="12">
        <v>8301</v>
      </c>
      <c r="G15" s="12">
        <v>1</v>
      </c>
      <c r="H15" s="13">
        <v>24</v>
      </c>
      <c r="I15" s="34">
        <v>150</v>
      </c>
      <c r="J15" s="14">
        <v>159</v>
      </c>
      <c r="K15" s="15">
        <f>L15+159</f>
        <v>159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0.22197048398054128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216</v>
      </c>
      <c r="D16" s="55" t="s">
        <v>217</v>
      </c>
      <c r="E16" s="56" t="s">
        <v>218</v>
      </c>
      <c r="F16" s="12">
        <v>7301</v>
      </c>
      <c r="G16" s="36" t="s">
        <v>219</v>
      </c>
      <c r="H16" s="38">
        <v>25</v>
      </c>
      <c r="I16" s="7">
        <v>1000</v>
      </c>
      <c r="J16" s="14">
        <v>2130</v>
      </c>
      <c r="K16" s="15">
        <f>L16</f>
        <v>2126</v>
      </c>
      <c r="L16" s="15">
        <f>926+1200</f>
        <v>2126</v>
      </c>
      <c r="M16" s="16">
        <f t="shared" si="0"/>
        <v>2126</v>
      </c>
      <c r="N16" s="16">
        <v>0</v>
      </c>
      <c r="O16" s="62">
        <f t="shared" si="1"/>
        <v>0</v>
      </c>
      <c r="P16" s="42">
        <f t="shared" si="2"/>
        <v>13</v>
      </c>
      <c r="Q16" s="43">
        <f t="shared" si="3"/>
        <v>11</v>
      </c>
      <c r="R16" s="7"/>
      <c r="S16" s="6"/>
      <c r="T16" s="17"/>
      <c r="U16" s="17"/>
      <c r="V16" s="18"/>
      <c r="W16" s="19">
        <v>11</v>
      </c>
      <c r="X16" s="17"/>
      <c r="Y16" s="20"/>
      <c r="Z16" s="20"/>
      <c r="AA16" s="21"/>
      <c r="AB16" s="8">
        <f t="shared" si="4"/>
        <v>0.99812206572769957</v>
      </c>
      <c r="AC16" s="9">
        <f t="shared" si="5"/>
        <v>0.54166666666666663</v>
      </c>
      <c r="AD16" s="10">
        <f t="shared" si="6"/>
        <v>0.54064945226917061</v>
      </c>
      <c r="AE16" s="39">
        <f t="shared" si="7"/>
        <v>0.22197048398054128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158</v>
      </c>
      <c r="E17" s="57" t="s">
        <v>156</v>
      </c>
      <c r="F17" s="12" t="s">
        <v>130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0.22197048398054128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121</v>
      </c>
      <c r="D18" s="55" t="s">
        <v>125</v>
      </c>
      <c r="E18" s="57" t="s">
        <v>162</v>
      </c>
      <c r="F18" s="33" t="s">
        <v>163</v>
      </c>
      <c r="G18" s="36">
        <v>1</v>
      </c>
      <c r="H18" s="38">
        <v>25</v>
      </c>
      <c r="I18" s="7">
        <v>16000</v>
      </c>
      <c r="J18" s="5">
        <v>4280</v>
      </c>
      <c r="K18" s="15">
        <f>L18+3236+5609+2309</f>
        <v>15428</v>
      </c>
      <c r="L18" s="15">
        <f>2107+2167</f>
        <v>4274</v>
      </c>
      <c r="M18" s="16">
        <f t="shared" si="0"/>
        <v>4274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0.99859813084112148</v>
      </c>
      <c r="AC18" s="9">
        <f t="shared" si="5"/>
        <v>0.875</v>
      </c>
      <c r="AD18" s="10">
        <f t="shared" si="6"/>
        <v>0.87377336448598131</v>
      </c>
      <c r="AE18" s="39">
        <f t="shared" si="7"/>
        <v>0.22197048398054128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132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1430</v>
      </c>
      <c r="K19" s="15">
        <f>L19+3258+4398+5144+3460+6323+4564+5384+7161+2960+2789+7049+2970+3630+7299+2728+7313+2343+2949+7245+6653+3346</f>
        <v>100391</v>
      </c>
      <c r="L19" s="15">
        <v>1425</v>
      </c>
      <c r="M19" s="16">
        <f t="shared" si="0"/>
        <v>1425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0.99650349650349646</v>
      </c>
      <c r="AC19" s="9">
        <f t="shared" si="5"/>
        <v>0.33333333333333331</v>
      </c>
      <c r="AD19" s="10">
        <f t="shared" si="6"/>
        <v>0.33216783216783213</v>
      </c>
      <c r="AE19" s="39">
        <f t="shared" si="7"/>
        <v>0.22197048398054128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0.22197048398054128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1214750</v>
      </c>
      <c r="J21" s="22">
        <f t="shared" si="10"/>
        <v>61317</v>
      </c>
      <c r="K21" s="23">
        <f t="shared" si="10"/>
        <v>480003</v>
      </c>
      <c r="L21" s="24">
        <f t="shared" si="10"/>
        <v>26955</v>
      </c>
      <c r="M21" s="23">
        <f t="shared" si="10"/>
        <v>26955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80</v>
      </c>
      <c r="Q21" s="46">
        <f t="shared" si="11"/>
        <v>280</v>
      </c>
      <c r="R21" s="26">
        <f t="shared" si="11"/>
        <v>0</v>
      </c>
      <c r="S21" s="27">
        <f t="shared" si="11"/>
        <v>30</v>
      </c>
      <c r="T21" s="27">
        <f t="shared" si="11"/>
        <v>3</v>
      </c>
      <c r="U21" s="27">
        <f t="shared" si="11"/>
        <v>0</v>
      </c>
      <c r="V21" s="28">
        <f t="shared" si="11"/>
        <v>0</v>
      </c>
      <c r="W21" s="29">
        <f t="shared" si="11"/>
        <v>247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0.39952030543924422</v>
      </c>
      <c r="AC21" s="4">
        <f>SUM(AC6:AC20)/15</f>
        <v>0.22222222222222224</v>
      </c>
      <c r="AD21" s="4">
        <f>SUM(AD6:AD20)/15</f>
        <v>0.22197048398054128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220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234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138" t="s">
        <v>46</v>
      </c>
      <c r="D50" s="138" t="s">
        <v>47</v>
      </c>
      <c r="E50" s="138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138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175</v>
      </c>
      <c r="B51" s="444"/>
      <c r="C51" s="139" t="s">
        <v>222</v>
      </c>
      <c r="D51" s="140" t="s">
        <v>223</v>
      </c>
      <c r="E51" s="139" t="s">
        <v>221</v>
      </c>
      <c r="F51" s="445" t="s">
        <v>176</v>
      </c>
      <c r="G51" s="445"/>
      <c r="H51" s="445"/>
      <c r="I51" s="445"/>
      <c r="J51" s="445"/>
      <c r="K51" s="445"/>
      <c r="L51" s="445"/>
      <c r="M51" s="446"/>
      <c r="N51" s="144" t="s">
        <v>237</v>
      </c>
      <c r="O51" s="74" t="s">
        <v>238</v>
      </c>
      <c r="P51" s="447" t="s">
        <v>223</v>
      </c>
      <c r="Q51" s="447"/>
      <c r="R51" s="447" t="s">
        <v>239</v>
      </c>
      <c r="S51" s="447"/>
      <c r="T51" s="447"/>
      <c r="U51" s="447"/>
      <c r="V51" s="445" t="s">
        <v>137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225</v>
      </c>
      <c r="B52" s="444"/>
      <c r="C52" s="139" t="s">
        <v>226</v>
      </c>
      <c r="D52" s="140" t="s">
        <v>211</v>
      </c>
      <c r="E52" s="139" t="s">
        <v>224</v>
      </c>
      <c r="F52" s="445" t="s">
        <v>176</v>
      </c>
      <c r="G52" s="445"/>
      <c r="H52" s="445"/>
      <c r="I52" s="445"/>
      <c r="J52" s="445"/>
      <c r="K52" s="445"/>
      <c r="L52" s="445"/>
      <c r="M52" s="446"/>
      <c r="N52" s="144" t="s">
        <v>121</v>
      </c>
      <c r="O52" s="74" t="s">
        <v>245</v>
      </c>
      <c r="P52" s="448" t="s">
        <v>246</v>
      </c>
      <c r="Q52" s="449"/>
      <c r="R52" s="447" t="s">
        <v>240</v>
      </c>
      <c r="S52" s="447"/>
      <c r="T52" s="447"/>
      <c r="U52" s="447"/>
      <c r="V52" s="445" t="s">
        <v>137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229</v>
      </c>
      <c r="B53" s="444"/>
      <c r="C53" s="139" t="s">
        <v>230</v>
      </c>
      <c r="D53" s="140"/>
      <c r="E53" s="139" t="s">
        <v>227</v>
      </c>
      <c r="F53" s="445" t="s">
        <v>228</v>
      </c>
      <c r="G53" s="445"/>
      <c r="H53" s="445"/>
      <c r="I53" s="445"/>
      <c r="J53" s="445"/>
      <c r="K53" s="445"/>
      <c r="L53" s="445"/>
      <c r="M53" s="446"/>
      <c r="N53" s="144" t="s">
        <v>247</v>
      </c>
      <c r="O53" s="74" t="s">
        <v>248</v>
      </c>
      <c r="P53" s="447" t="s">
        <v>249</v>
      </c>
      <c r="Q53" s="447"/>
      <c r="R53" s="447" t="s">
        <v>241</v>
      </c>
      <c r="S53" s="447"/>
      <c r="T53" s="447"/>
      <c r="U53" s="447"/>
      <c r="V53" s="445" t="s">
        <v>137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232</v>
      </c>
      <c r="B54" s="444"/>
      <c r="C54" s="139" t="s">
        <v>233</v>
      </c>
      <c r="D54" s="140" t="s">
        <v>217</v>
      </c>
      <c r="E54" s="139" t="s">
        <v>231</v>
      </c>
      <c r="F54" s="445" t="s">
        <v>176</v>
      </c>
      <c r="G54" s="445"/>
      <c r="H54" s="445"/>
      <c r="I54" s="445"/>
      <c r="J54" s="445"/>
      <c r="K54" s="445"/>
      <c r="L54" s="445"/>
      <c r="M54" s="446"/>
      <c r="N54" s="144" t="s">
        <v>121</v>
      </c>
      <c r="O54" s="74" t="s">
        <v>250</v>
      </c>
      <c r="P54" s="447" t="s">
        <v>251</v>
      </c>
      <c r="Q54" s="447"/>
      <c r="R54" s="447" t="s">
        <v>242</v>
      </c>
      <c r="S54" s="447"/>
      <c r="T54" s="447"/>
      <c r="U54" s="447"/>
      <c r="V54" s="445" t="s">
        <v>137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3" t="s">
        <v>237</v>
      </c>
      <c r="B55" s="444"/>
      <c r="C55" s="139" t="s">
        <v>238</v>
      </c>
      <c r="D55" s="140" t="s">
        <v>223</v>
      </c>
      <c r="E55" s="139" t="s">
        <v>235</v>
      </c>
      <c r="F55" s="445" t="s">
        <v>236</v>
      </c>
      <c r="G55" s="445"/>
      <c r="H55" s="445"/>
      <c r="I55" s="445"/>
      <c r="J55" s="445"/>
      <c r="K55" s="445"/>
      <c r="L55" s="445"/>
      <c r="M55" s="446"/>
      <c r="N55" s="144" t="s">
        <v>252</v>
      </c>
      <c r="O55" s="74" t="s">
        <v>253</v>
      </c>
      <c r="P55" s="447" t="s">
        <v>254</v>
      </c>
      <c r="Q55" s="447"/>
      <c r="R55" s="447" t="s">
        <v>243</v>
      </c>
      <c r="S55" s="447"/>
      <c r="T55" s="447"/>
      <c r="U55" s="447"/>
      <c r="V55" s="445" t="s">
        <v>137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139"/>
      <c r="D56" s="140"/>
      <c r="E56" s="139"/>
      <c r="F56" s="445"/>
      <c r="G56" s="445"/>
      <c r="H56" s="445"/>
      <c r="I56" s="445"/>
      <c r="J56" s="445"/>
      <c r="K56" s="445"/>
      <c r="L56" s="445"/>
      <c r="M56" s="446"/>
      <c r="N56" s="144" t="s">
        <v>255</v>
      </c>
      <c r="O56" s="74" t="s">
        <v>256</v>
      </c>
      <c r="P56" s="447" t="s">
        <v>257</v>
      </c>
      <c r="Q56" s="447"/>
      <c r="R56" s="447" t="s">
        <v>244</v>
      </c>
      <c r="S56" s="447"/>
      <c r="T56" s="447"/>
      <c r="U56" s="447"/>
      <c r="V56" s="445" t="s">
        <v>137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139"/>
      <c r="D57" s="140"/>
      <c r="E57" s="139"/>
      <c r="F57" s="445"/>
      <c r="G57" s="445"/>
      <c r="H57" s="445"/>
      <c r="I57" s="445"/>
      <c r="J57" s="445"/>
      <c r="K57" s="445"/>
      <c r="L57" s="445"/>
      <c r="M57" s="446"/>
      <c r="N57" s="144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139"/>
      <c r="D58" s="140"/>
      <c r="E58" s="139"/>
      <c r="F58" s="445"/>
      <c r="G58" s="445"/>
      <c r="H58" s="445"/>
      <c r="I58" s="445"/>
      <c r="J58" s="445"/>
      <c r="K58" s="445"/>
      <c r="L58" s="445"/>
      <c r="M58" s="446"/>
      <c r="N58" s="144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140"/>
      <c r="D59" s="140"/>
      <c r="E59" s="140"/>
      <c r="F59" s="445"/>
      <c r="G59" s="445"/>
      <c r="H59" s="445"/>
      <c r="I59" s="445"/>
      <c r="J59" s="445"/>
      <c r="K59" s="445"/>
      <c r="L59" s="445"/>
      <c r="M59" s="446"/>
      <c r="N59" s="144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142"/>
      <c r="D60" s="142"/>
      <c r="E60" s="142"/>
      <c r="F60" s="452"/>
      <c r="G60" s="452"/>
      <c r="H60" s="452"/>
      <c r="I60" s="452"/>
      <c r="J60" s="452"/>
      <c r="K60" s="452"/>
      <c r="L60" s="452"/>
      <c r="M60" s="453"/>
      <c r="N60" s="141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258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143" t="s">
        <v>2</v>
      </c>
      <c r="D62" s="143" t="s">
        <v>37</v>
      </c>
      <c r="E62" s="143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143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/>
      <c r="D63" s="147"/>
      <c r="E63" s="145"/>
      <c r="F63" s="464"/>
      <c r="G63" s="465"/>
      <c r="H63" s="465"/>
      <c r="I63" s="465"/>
      <c r="J63" s="465"/>
      <c r="K63" s="465"/>
      <c r="L63" s="465"/>
      <c r="M63" s="54"/>
      <c r="N63" s="465"/>
      <c r="O63" s="465"/>
      <c r="P63" s="466"/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147"/>
      <c r="E64" s="145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147"/>
      <c r="E65" s="145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147"/>
      <c r="E66" s="145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147"/>
      <c r="E67" s="145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147"/>
      <c r="E68" s="145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147"/>
      <c r="E69" s="145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147"/>
      <c r="E70" s="145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259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146" t="s">
        <v>2</v>
      </c>
      <c r="D72" s="146" t="s">
        <v>37</v>
      </c>
      <c r="E72" s="146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148" t="s">
        <v>114</v>
      </c>
      <c r="D73" s="148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147" t="s">
        <v>114</v>
      </c>
      <c r="D74" s="147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147"/>
      <c r="D75" s="147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147"/>
      <c r="D76" s="147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147"/>
      <c r="D77" s="147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147"/>
      <c r="D78" s="147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147"/>
      <c r="D79" s="147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147"/>
      <c r="D80" s="147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147"/>
      <c r="D81" s="147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260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40" zoomScale="72" zoomScaleNormal="72" zoomScaleSheetLayoutView="70" workbookViewId="0">
      <selection activeCell="A59" sqref="A59:M5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02" t="s">
        <v>261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6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49" t="s">
        <v>17</v>
      </c>
      <c r="L5" s="149" t="s">
        <v>18</v>
      </c>
      <c r="M5" s="149" t="s">
        <v>19</v>
      </c>
      <c r="N5" s="1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6" ht="27" customHeight="1">
      <c r="A6" s="108">
        <v>1</v>
      </c>
      <c r="B6" s="11" t="s">
        <v>57</v>
      </c>
      <c r="C6" s="37" t="s">
        <v>262</v>
      </c>
      <c r="D6" s="55" t="s">
        <v>263</v>
      </c>
      <c r="E6" s="57" t="s">
        <v>264</v>
      </c>
      <c r="F6" s="33" t="s">
        <v>161</v>
      </c>
      <c r="G6" s="36">
        <v>1</v>
      </c>
      <c r="H6" s="38">
        <v>25</v>
      </c>
      <c r="I6" s="7">
        <v>10000</v>
      </c>
      <c r="J6" s="5">
        <v>3620</v>
      </c>
      <c r="K6" s="15">
        <f>L6</f>
        <v>3616</v>
      </c>
      <c r="L6" s="15">
        <f>2042+1574</f>
        <v>3616</v>
      </c>
      <c r="M6" s="16">
        <f t="shared" ref="M6:M20" si="0">L6-N6</f>
        <v>3616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21</v>
      </c>
      <c r="Q6" s="43">
        <f t="shared" ref="Q6:Q20" si="3">SUM(R6:AA6)</f>
        <v>3</v>
      </c>
      <c r="R6" s="7"/>
      <c r="S6" s="6"/>
      <c r="T6" s="17">
        <v>3</v>
      </c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0.99889502762430937</v>
      </c>
      <c r="AC6" s="9">
        <f t="shared" ref="AC6:AC20" si="5">IF(P6=0,"0",(P6/24))</f>
        <v>0.875</v>
      </c>
      <c r="AD6" s="10">
        <f t="shared" ref="AD6:AD20" si="6">AC6*AB6*(1-O6)</f>
        <v>0.87403314917127073</v>
      </c>
      <c r="AE6" s="39">
        <f t="shared" ref="AE6:AE20" si="7">$AD$21</f>
        <v>0.51405229953087495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265</v>
      </c>
      <c r="D7" s="55" t="s">
        <v>266</v>
      </c>
      <c r="E7" s="57" t="s">
        <v>267</v>
      </c>
      <c r="F7" s="33" t="s">
        <v>268</v>
      </c>
      <c r="G7" s="12" t="s">
        <v>141</v>
      </c>
      <c r="H7" s="13">
        <v>25</v>
      </c>
      <c r="I7" s="34">
        <v>2000</v>
      </c>
      <c r="J7" s="5">
        <v>2122</v>
      </c>
      <c r="K7" s="15">
        <f>L7</f>
        <v>2122</v>
      </c>
      <c r="L7" s="15">
        <f>565+1557</f>
        <v>2122</v>
      </c>
      <c r="M7" s="16">
        <f t="shared" si="0"/>
        <v>2122</v>
      </c>
      <c r="N7" s="16">
        <v>0</v>
      </c>
      <c r="O7" s="62">
        <f t="shared" si="1"/>
        <v>0</v>
      </c>
      <c r="P7" s="42">
        <f t="shared" si="2"/>
        <v>14</v>
      </c>
      <c r="Q7" s="43">
        <f t="shared" si="3"/>
        <v>10</v>
      </c>
      <c r="R7" s="7"/>
      <c r="S7" s="6"/>
      <c r="T7" s="17"/>
      <c r="U7" s="17"/>
      <c r="V7" s="18"/>
      <c r="W7" s="19">
        <v>10</v>
      </c>
      <c r="X7" s="17"/>
      <c r="Y7" s="20"/>
      <c r="Z7" s="20"/>
      <c r="AA7" s="21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9">
        <f t="shared" si="7"/>
        <v>0.51405229953087495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211</v>
      </c>
      <c r="E8" s="57" t="s">
        <v>212</v>
      </c>
      <c r="F8" s="33" t="s">
        <v>213</v>
      </c>
      <c r="G8" s="12">
        <v>3</v>
      </c>
      <c r="H8" s="13">
        <v>25</v>
      </c>
      <c r="I8" s="34">
        <v>20000</v>
      </c>
      <c r="J8" s="5">
        <v>15930</v>
      </c>
      <c r="K8" s="15">
        <f>L8+11925</f>
        <v>27855</v>
      </c>
      <c r="L8" s="15">
        <f>2718*3+2592*3</f>
        <v>15930</v>
      </c>
      <c r="M8" s="16">
        <f t="shared" si="0"/>
        <v>15930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0.51405229953087495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262</v>
      </c>
      <c r="D9" s="55" t="s">
        <v>269</v>
      </c>
      <c r="E9" s="57" t="s">
        <v>270</v>
      </c>
      <c r="F9" s="33" t="s">
        <v>271</v>
      </c>
      <c r="G9" s="36">
        <v>1</v>
      </c>
      <c r="H9" s="38">
        <v>25</v>
      </c>
      <c r="I9" s="7">
        <v>2500</v>
      </c>
      <c r="J9" s="5">
        <v>1850</v>
      </c>
      <c r="K9" s="15">
        <f>L9</f>
        <v>1843</v>
      </c>
      <c r="L9" s="15">
        <f>1843</f>
        <v>1843</v>
      </c>
      <c r="M9" s="16">
        <f t="shared" si="0"/>
        <v>1843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>
        <v>14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0.99621621621621625</v>
      </c>
      <c r="AC9" s="9">
        <f t="shared" si="5"/>
        <v>0.41666666666666669</v>
      </c>
      <c r="AD9" s="10">
        <f t="shared" si="6"/>
        <v>0.41509009009009012</v>
      </c>
      <c r="AE9" s="39">
        <f t="shared" si="7"/>
        <v>0.51405229953087495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9230</v>
      </c>
      <c r="K10" s="15">
        <f>L10+24784+20920+19906+984+7100</f>
        <v>83022</v>
      </c>
      <c r="L10" s="15">
        <f>2805*2+1859*2</f>
        <v>9328</v>
      </c>
      <c r="M10" s="16">
        <f t="shared" si="0"/>
        <v>9328</v>
      </c>
      <c r="N10" s="16">
        <v>0</v>
      </c>
      <c r="O10" s="62">
        <f t="shared" si="1"/>
        <v>0</v>
      </c>
      <c r="P10" s="42">
        <f t="shared" si="2"/>
        <v>19</v>
      </c>
      <c r="Q10" s="43">
        <f t="shared" si="3"/>
        <v>5</v>
      </c>
      <c r="R10" s="7"/>
      <c r="S10" s="6">
        <v>5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1.0106175514626219</v>
      </c>
      <c r="AC10" s="9">
        <f t="shared" si="5"/>
        <v>0.79166666666666663</v>
      </c>
      <c r="AD10" s="10">
        <f t="shared" si="6"/>
        <v>0.80007222824124224</v>
      </c>
      <c r="AE10" s="39">
        <f t="shared" si="7"/>
        <v>0.51405229953087495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272</v>
      </c>
      <c r="D11" s="55" t="s">
        <v>273</v>
      </c>
      <c r="E11" s="57" t="s">
        <v>274</v>
      </c>
      <c r="F11" s="12" t="s">
        <v>275</v>
      </c>
      <c r="G11" s="12">
        <v>1</v>
      </c>
      <c r="H11" s="13">
        <v>25</v>
      </c>
      <c r="I11" s="34">
        <v>30000</v>
      </c>
      <c r="J11" s="14">
        <v>4930</v>
      </c>
      <c r="K11" s="15">
        <f>L11</f>
        <v>4928</v>
      </c>
      <c r="L11" s="15">
        <f>2786+2142</f>
        <v>4928</v>
      </c>
      <c r="M11" s="16">
        <f t="shared" si="0"/>
        <v>4928</v>
      </c>
      <c r="N11" s="16">
        <v>0</v>
      </c>
      <c r="O11" s="62">
        <f t="shared" si="1"/>
        <v>0</v>
      </c>
      <c r="P11" s="42">
        <f t="shared" si="2"/>
        <v>23</v>
      </c>
      <c r="Q11" s="43">
        <f t="shared" si="3"/>
        <v>1</v>
      </c>
      <c r="R11" s="7"/>
      <c r="S11" s="6"/>
      <c r="T11" s="17">
        <v>1</v>
      </c>
      <c r="U11" s="17"/>
      <c r="V11" s="18"/>
      <c r="W11" s="19"/>
      <c r="X11" s="17"/>
      <c r="Y11" s="20"/>
      <c r="Z11" s="20"/>
      <c r="AA11" s="21"/>
      <c r="AB11" s="8">
        <f t="shared" si="4"/>
        <v>0.9995943204868154</v>
      </c>
      <c r="AC11" s="9">
        <f t="shared" si="5"/>
        <v>0.95833333333333337</v>
      </c>
      <c r="AD11" s="10">
        <f t="shared" si="6"/>
        <v>0.95794455713319815</v>
      </c>
      <c r="AE11" s="39">
        <f t="shared" si="7"/>
        <v>0.51405229953087495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121</v>
      </c>
      <c r="D12" s="55" t="s">
        <v>152</v>
      </c>
      <c r="E12" s="57" t="s">
        <v>153</v>
      </c>
      <c r="F12" s="12" t="s">
        <v>140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L12+3858+5000+5466+5494</f>
        <v>19818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0.51405229953087495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121</v>
      </c>
      <c r="D13" s="55" t="s">
        <v>125</v>
      </c>
      <c r="E13" s="57" t="s">
        <v>276</v>
      </c>
      <c r="F13" s="12" t="s">
        <v>277</v>
      </c>
      <c r="G13" s="12">
        <v>1</v>
      </c>
      <c r="H13" s="13">
        <v>25</v>
      </c>
      <c r="I13" s="7">
        <v>10000</v>
      </c>
      <c r="J13" s="14">
        <v>4430</v>
      </c>
      <c r="K13" s="15">
        <f>L13</f>
        <v>4428</v>
      </c>
      <c r="L13" s="15">
        <f>1630+2798</f>
        <v>4428</v>
      </c>
      <c r="M13" s="16">
        <f t="shared" si="0"/>
        <v>4428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/>
      <c r="T13" s="17">
        <v>3</v>
      </c>
      <c r="U13" s="17"/>
      <c r="V13" s="18"/>
      <c r="W13" s="19"/>
      <c r="X13" s="17"/>
      <c r="Y13" s="20"/>
      <c r="Z13" s="20"/>
      <c r="AA13" s="21"/>
      <c r="AB13" s="8">
        <f t="shared" si="4"/>
        <v>0.999548532731377</v>
      </c>
      <c r="AC13" s="9">
        <f t="shared" si="5"/>
        <v>0.875</v>
      </c>
      <c r="AD13" s="10">
        <f t="shared" si="6"/>
        <v>0.87460496613995486</v>
      </c>
      <c r="AE13" s="39">
        <f t="shared" si="7"/>
        <v>0.51405229953087495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214</v>
      </c>
      <c r="F14" s="33" t="s">
        <v>215</v>
      </c>
      <c r="G14" s="36">
        <v>1</v>
      </c>
      <c r="H14" s="38">
        <v>25</v>
      </c>
      <c r="I14" s="7">
        <v>200</v>
      </c>
      <c r="J14" s="5">
        <v>105</v>
      </c>
      <c r="K14" s="15">
        <f>L14+105</f>
        <v>105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0.51405229953087495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278</v>
      </c>
      <c r="D15" s="55" t="s">
        <v>279</v>
      </c>
      <c r="E15" s="57" t="s">
        <v>280</v>
      </c>
      <c r="F15" s="12">
        <v>8301</v>
      </c>
      <c r="G15" s="12">
        <v>1</v>
      </c>
      <c r="H15" s="13">
        <v>24</v>
      </c>
      <c r="I15" s="34">
        <v>500</v>
      </c>
      <c r="J15" s="14">
        <v>623</v>
      </c>
      <c r="K15" s="15">
        <f>L15</f>
        <v>623</v>
      </c>
      <c r="L15" s="15">
        <f>623</f>
        <v>623</v>
      </c>
      <c r="M15" s="16">
        <f t="shared" si="0"/>
        <v>623</v>
      </c>
      <c r="N15" s="16">
        <v>0</v>
      </c>
      <c r="O15" s="62">
        <f t="shared" si="1"/>
        <v>0</v>
      </c>
      <c r="P15" s="42">
        <f t="shared" si="2"/>
        <v>5</v>
      </c>
      <c r="Q15" s="43">
        <f t="shared" si="3"/>
        <v>19</v>
      </c>
      <c r="R15" s="7"/>
      <c r="S15" s="6"/>
      <c r="T15" s="17"/>
      <c r="U15" s="17"/>
      <c r="V15" s="18"/>
      <c r="W15" s="19">
        <v>19</v>
      </c>
      <c r="X15" s="17"/>
      <c r="Y15" s="20"/>
      <c r="Z15" s="20"/>
      <c r="AA15" s="21"/>
      <c r="AB15" s="8">
        <f t="shared" si="4"/>
        <v>1</v>
      </c>
      <c r="AC15" s="9">
        <f t="shared" si="5"/>
        <v>0.20833333333333334</v>
      </c>
      <c r="AD15" s="10">
        <f t="shared" si="6"/>
        <v>0.20833333333333334</v>
      </c>
      <c r="AE15" s="39">
        <f t="shared" si="7"/>
        <v>0.51405229953087495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278</v>
      </c>
      <c r="D16" s="55" t="s">
        <v>281</v>
      </c>
      <c r="E16" s="56" t="s">
        <v>282</v>
      </c>
      <c r="F16" s="12">
        <v>7301</v>
      </c>
      <c r="G16" s="36">
        <v>1</v>
      </c>
      <c r="H16" s="38">
        <v>25</v>
      </c>
      <c r="I16" s="7">
        <v>500</v>
      </c>
      <c r="J16" s="14">
        <v>607</v>
      </c>
      <c r="K16" s="15">
        <f>L16</f>
        <v>607</v>
      </c>
      <c r="L16" s="15">
        <v>607</v>
      </c>
      <c r="M16" s="16">
        <f t="shared" si="0"/>
        <v>607</v>
      </c>
      <c r="N16" s="16">
        <v>0</v>
      </c>
      <c r="O16" s="62">
        <f t="shared" si="1"/>
        <v>0</v>
      </c>
      <c r="P16" s="42">
        <f t="shared" si="2"/>
        <v>5</v>
      </c>
      <c r="Q16" s="43">
        <f t="shared" si="3"/>
        <v>19</v>
      </c>
      <c r="R16" s="7"/>
      <c r="S16" s="6"/>
      <c r="T16" s="17"/>
      <c r="U16" s="17"/>
      <c r="V16" s="18"/>
      <c r="W16" s="19">
        <v>19</v>
      </c>
      <c r="X16" s="17"/>
      <c r="Y16" s="20"/>
      <c r="Z16" s="20"/>
      <c r="AA16" s="21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9">
        <f t="shared" si="7"/>
        <v>0.51405229953087495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158</v>
      </c>
      <c r="E17" s="57" t="s">
        <v>156</v>
      </c>
      <c r="F17" s="12" t="s">
        <v>130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0.51405229953087495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121</v>
      </c>
      <c r="D18" s="55" t="s">
        <v>125</v>
      </c>
      <c r="E18" s="57" t="s">
        <v>162</v>
      </c>
      <c r="F18" s="33" t="s">
        <v>163</v>
      </c>
      <c r="G18" s="36">
        <v>1</v>
      </c>
      <c r="H18" s="38">
        <v>25</v>
      </c>
      <c r="I18" s="7">
        <v>16000</v>
      </c>
      <c r="J18" s="5">
        <v>4820</v>
      </c>
      <c r="K18" s="15">
        <f>L18+3236+5609+2309+4274</f>
        <v>20240</v>
      </c>
      <c r="L18" s="15">
        <f>2832+1980</f>
        <v>4812</v>
      </c>
      <c r="M18" s="16">
        <f t="shared" si="0"/>
        <v>4812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0.99834024896265561</v>
      </c>
      <c r="AC18" s="9">
        <f t="shared" si="5"/>
        <v>1</v>
      </c>
      <c r="AD18" s="10">
        <f t="shared" si="6"/>
        <v>0.99834024896265561</v>
      </c>
      <c r="AE18" s="39">
        <f t="shared" si="7"/>
        <v>0.51405229953087495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132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4910</v>
      </c>
      <c r="K19" s="15">
        <f>L19+3258+4398+5144+3460+6323+4564+5384+7161+2960+2789+7049+2970+3630+7299+2728+7313+2343+2949+7245+6653+3346+1425</f>
        <v>105295</v>
      </c>
      <c r="L19" s="15">
        <f>1140+3764</f>
        <v>4904</v>
      </c>
      <c r="M19" s="16">
        <f t="shared" si="0"/>
        <v>4904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0.99877800407331974</v>
      </c>
      <c r="AC19" s="9">
        <f t="shared" si="5"/>
        <v>0.79166666666666663</v>
      </c>
      <c r="AD19" s="10">
        <f t="shared" si="6"/>
        <v>0.79069925322471146</v>
      </c>
      <c r="AE19" s="39">
        <f t="shared" si="7"/>
        <v>0.51405229953087495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0.51405229953087495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1244700</v>
      </c>
      <c r="J21" s="22">
        <f t="shared" si="10"/>
        <v>73307</v>
      </c>
      <c r="K21" s="23">
        <f t="shared" si="10"/>
        <v>497722</v>
      </c>
      <c r="L21" s="24">
        <f t="shared" si="10"/>
        <v>53141</v>
      </c>
      <c r="M21" s="23">
        <f t="shared" si="10"/>
        <v>53141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185</v>
      </c>
      <c r="Q21" s="46">
        <f t="shared" si="11"/>
        <v>175</v>
      </c>
      <c r="R21" s="26">
        <f t="shared" si="11"/>
        <v>0</v>
      </c>
      <c r="S21" s="27">
        <f t="shared" si="11"/>
        <v>24</v>
      </c>
      <c r="T21" s="27">
        <f t="shared" si="11"/>
        <v>7</v>
      </c>
      <c r="U21" s="27">
        <f t="shared" si="11"/>
        <v>0</v>
      </c>
      <c r="V21" s="28">
        <f t="shared" si="11"/>
        <v>0</v>
      </c>
      <c r="W21" s="29">
        <f t="shared" si="11"/>
        <v>144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0.73346599343715435</v>
      </c>
      <c r="AC21" s="4">
        <f>SUM(AC6:AC20)/15</f>
        <v>0.51388888888888884</v>
      </c>
      <c r="AD21" s="4">
        <f>SUM(AD6:AD20)/15</f>
        <v>0.51405229953087495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283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313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150" t="s">
        <v>46</v>
      </c>
      <c r="D50" s="150" t="s">
        <v>47</v>
      </c>
      <c r="E50" s="150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150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284</v>
      </c>
      <c r="B51" s="444"/>
      <c r="C51" s="151" t="s">
        <v>285</v>
      </c>
      <c r="D51" s="152" t="s">
        <v>286</v>
      </c>
      <c r="E51" s="151" t="s">
        <v>264</v>
      </c>
      <c r="F51" s="445" t="s">
        <v>176</v>
      </c>
      <c r="G51" s="445"/>
      <c r="H51" s="445"/>
      <c r="I51" s="445"/>
      <c r="J51" s="445"/>
      <c r="K51" s="445"/>
      <c r="L51" s="445"/>
      <c r="M51" s="446"/>
      <c r="N51" s="156" t="s">
        <v>265</v>
      </c>
      <c r="O51" s="74" t="s">
        <v>315</v>
      </c>
      <c r="P51" s="447" t="s">
        <v>301</v>
      </c>
      <c r="Q51" s="447"/>
      <c r="R51" s="447" t="s">
        <v>314</v>
      </c>
      <c r="S51" s="447"/>
      <c r="T51" s="447"/>
      <c r="U51" s="447"/>
      <c r="V51" s="445" t="s">
        <v>316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287</v>
      </c>
      <c r="B52" s="444"/>
      <c r="C52" s="151" t="s">
        <v>288</v>
      </c>
      <c r="D52" s="152" t="s">
        <v>289</v>
      </c>
      <c r="E52" s="151" t="s">
        <v>267</v>
      </c>
      <c r="F52" s="445" t="s">
        <v>176</v>
      </c>
      <c r="G52" s="445"/>
      <c r="H52" s="445"/>
      <c r="I52" s="445"/>
      <c r="J52" s="445"/>
      <c r="K52" s="445"/>
      <c r="L52" s="445"/>
      <c r="M52" s="446"/>
      <c r="N52" s="156" t="s">
        <v>318</v>
      </c>
      <c r="O52" s="74" t="s">
        <v>290</v>
      </c>
      <c r="P52" s="448" t="s">
        <v>291</v>
      </c>
      <c r="Q52" s="449"/>
      <c r="R52" s="447" t="s">
        <v>317</v>
      </c>
      <c r="S52" s="447"/>
      <c r="T52" s="447"/>
      <c r="U52" s="447"/>
      <c r="V52" s="445" t="s">
        <v>319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284</v>
      </c>
      <c r="B53" s="444"/>
      <c r="C53" s="151" t="s">
        <v>290</v>
      </c>
      <c r="D53" s="152" t="s">
        <v>291</v>
      </c>
      <c r="E53" s="151" t="s">
        <v>292</v>
      </c>
      <c r="F53" s="445" t="s">
        <v>293</v>
      </c>
      <c r="G53" s="445"/>
      <c r="H53" s="445"/>
      <c r="I53" s="445"/>
      <c r="J53" s="445"/>
      <c r="K53" s="445"/>
      <c r="L53" s="445"/>
      <c r="M53" s="446"/>
      <c r="N53" s="156" t="s">
        <v>321</v>
      </c>
      <c r="O53" s="74" t="s">
        <v>322</v>
      </c>
      <c r="P53" s="447" t="s">
        <v>301</v>
      </c>
      <c r="Q53" s="447"/>
      <c r="R53" s="447" t="s">
        <v>320</v>
      </c>
      <c r="S53" s="447"/>
      <c r="T53" s="447"/>
      <c r="U53" s="447"/>
      <c r="V53" s="445" t="s">
        <v>323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294</v>
      </c>
      <c r="B54" s="444"/>
      <c r="C54" s="151" t="s">
        <v>295</v>
      </c>
      <c r="D54" s="152"/>
      <c r="E54" s="151" t="s">
        <v>227</v>
      </c>
      <c r="F54" s="445" t="s">
        <v>296</v>
      </c>
      <c r="G54" s="445"/>
      <c r="H54" s="445"/>
      <c r="I54" s="445"/>
      <c r="J54" s="445"/>
      <c r="K54" s="445"/>
      <c r="L54" s="445"/>
      <c r="M54" s="446"/>
      <c r="N54" s="156" t="s">
        <v>325</v>
      </c>
      <c r="O54" s="74" t="s">
        <v>304</v>
      </c>
      <c r="P54" s="447"/>
      <c r="Q54" s="447"/>
      <c r="R54" s="447" t="s">
        <v>324</v>
      </c>
      <c r="S54" s="447"/>
      <c r="T54" s="447"/>
      <c r="U54" s="447"/>
      <c r="V54" s="445" t="s">
        <v>323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3" t="s">
        <v>272</v>
      </c>
      <c r="B55" s="444"/>
      <c r="C55" s="151" t="s">
        <v>297</v>
      </c>
      <c r="D55" s="152" t="s">
        <v>273</v>
      </c>
      <c r="E55" s="151" t="s">
        <v>298</v>
      </c>
      <c r="F55" s="445" t="s">
        <v>176</v>
      </c>
      <c r="G55" s="445"/>
      <c r="H55" s="445"/>
      <c r="I55" s="445"/>
      <c r="J55" s="445"/>
      <c r="K55" s="445"/>
      <c r="L55" s="445"/>
      <c r="M55" s="446"/>
      <c r="N55" s="156" t="s">
        <v>272</v>
      </c>
      <c r="O55" s="74" t="s">
        <v>306</v>
      </c>
      <c r="P55" s="447" t="s">
        <v>327</v>
      </c>
      <c r="Q55" s="447"/>
      <c r="R55" s="447" t="s">
        <v>326</v>
      </c>
      <c r="S55" s="447"/>
      <c r="T55" s="447"/>
      <c r="U55" s="447"/>
      <c r="V55" s="445" t="s">
        <v>323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 t="s">
        <v>262</v>
      </c>
      <c r="B56" s="444"/>
      <c r="C56" s="151" t="s">
        <v>300</v>
      </c>
      <c r="D56" s="152" t="s">
        <v>301</v>
      </c>
      <c r="E56" s="151" t="s">
        <v>299</v>
      </c>
      <c r="F56" s="445" t="s">
        <v>176</v>
      </c>
      <c r="G56" s="445"/>
      <c r="H56" s="445"/>
      <c r="I56" s="445"/>
      <c r="J56" s="445"/>
      <c r="K56" s="445"/>
      <c r="L56" s="445"/>
      <c r="M56" s="446"/>
      <c r="N56" s="156" t="s">
        <v>329</v>
      </c>
      <c r="O56" s="74" t="s">
        <v>330</v>
      </c>
      <c r="P56" s="447" t="s">
        <v>331</v>
      </c>
      <c r="Q56" s="447"/>
      <c r="R56" s="447" t="s">
        <v>328</v>
      </c>
      <c r="S56" s="447"/>
      <c r="T56" s="447"/>
      <c r="U56" s="447"/>
      <c r="V56" s="445" t="s">
        <v>323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 t="s">
        <v>303</v>
      </c>
      <c r="B57" s="444"/>
      <c r="C57" s="151" t="s">
        <v>304</v>
      </c>
      <c r="D57" s="152" t="s">
        <v>305</v>
      </c>
      <c r="E57" s="151" t="s">
        <v>302</v>
      </c>
      <c r="F57" s="445" t="s">
        <v>176</v>
      </c>
      <c r="G57" s="445"/>
      <c r="H57" s="445"/>
      <c r="I57" s="445"/>
      <c r="J57" s="445"/>
      <c r="K57" s="445"/>
      <c r="L57" s="445"/>
      <c r="M57" s="446"/>
      <c r="N57" s="156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 t="s">
        <v>303</v>
      </c>
      <c r="B58" s="444"/>
      <c r="C58" s="151" t="s">
        <v>306</v>
      </c>
      <c r="D58" s="152" t="s">
        <v>307</v>
      </c>
      <c r="E58" s="151" t="s">
        <v>308</v>
      </c>
      <c r="F58" s="445" t="s">
        <v>176</v>
      </c>
      <c r="G58" s="445"/>
      <c r="H58" s="445"/>
      <c r="I58" s="445"/>
      <c r="J58" s="445"/>
      <c r="K58" s="445"/>
      <c r="L58" s="445"/>
      <c r="M58" s="446"/>
      <c r="N58" s="156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 t="s">
        <v>309</v>
      </c>
      <c r="B59" s="447"/>
      <c r="C59" s="152" t="s">
        <v>310</v>
      </c>
      <c r="D59" s="152"/>
      <c r="E59" s="152" t="s">
        <v>311</v>
      </c>
      <c r="F59" s="445" t="s">
        <v>312</v>
      </c>
      <c r="G59" s="445"/>
      <c r="H59" s="445"/>
      <c r="I59" s="445"/>
      <c r="J59" s="445"/>
      <c r="K59" s="445"/>
      <c r="L59" s="445"/>
      <c r="M59" s="446"/>
      <c r="N59" s="156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154"/>
      <c r="D60" s="154"/>
      <c r="E60" s="154"/>
      <c r="F60" s="452"/>
      <c r="G60" s="452"/>
      <c r="H60" s="452"/>
      <c r="I60" s="452"/>
      <c r="J60" s="452"/>
      <c r="K60" s="452"/>
      <c r="L60" s="452"/>
      <c r="M60" s="453"/>
      <c r="N60" s="153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332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155" t="s">
        <v>2</v>
      </c>
      <c r="D62" s="155" t="s">
        <v>37</v>
      </c>
      <c r="E62" s="155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155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294</v>
      </c>
      <c r="D63" s="159"/>
      <c r="E63" s="157"/>
      <c r="F63" s="464" t="s">
        <v>333</v>
      </c>
      <c r="G63" s="465"/>
      <c r="H63" s="465"/>
      <c r="I63" s="465"/>
      <c r="J63" s="465"/>
      <c r="K63" s="465" t="s">
        <v>334</v>
      </c>
      <c r="L63" s="465"/>
      <c r="M63" s="54" t="s">
        <v>335</v>
      </c>
      <c r="N63" s="465">
        <v>4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159"/>
      <c r="E64" s="157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159"/>
      <c r="E65" s="157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159"/>
      <c r="E66" s="157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159"/>
      <c r="E67" s="157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159"/>
      <c r="E68" s="157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159"/>
      <c r="E69" s="157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159"/>
      <c r="E70" s="157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336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158" t="s">
        <v>2</v>
      </c>
      <c r="D72" s="158" t="s">
        <v>37</v>
      </c>
      <c r="E72" s="158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160" t="s">
        <v>114</v>
      </c>
      <c r="D73" s="160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159" t="s">
        <v>114</v>
      </c>
      <c r="D74" s="159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159"/>
      <c r="D75" s="159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159"/>
      <c r="D76" s="159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159"/>
      <c r="D77" s="159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159"/>
      <c r="D78" s="159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159"/>
      <c r="D79" s="159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159"/>
      <c r="D80" s="159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159"/>
      <c r="D81" s="159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337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topLeftCell="A60"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02" t="s">
        <v>338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6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6" ht="27" customHeight="1">
      <c r="A6" s="108">
        <v>1</v>
      </c>
      <c r="B6" s="11" t="s">
        <v>57</v>
      </c>
      <c r="C6" s="37" t="s">
        <v>262</v>
      </c>
      <c r="D6" s="55" t="s">
        <v>263</v>
      </c>
      <c r="E6" s="57" t="s">
        <v>264</v>
      </c>
      <c r="F6" s="33" t="s">
        <v>161</v>
      </c>
      <c r="G6" s="36">
        <v>1</v>
      </c>
      <c r="H6" s="38">
        <v>25</v>
      </c>
      <c r="I6" s="7">
        <v>10000</v>
      </c>
      <c r="J6" s="5">
        <v>5140</v>
      </c>
      <c r="K6" s="15">
        <f>L6+3616</f>
        <v>8748</v>
      </c>
      <c r="L6" s="15">
        <f>2454+2678</f>
        <v>5132</v>
      </c>
      <c r="M6" s="16">
        <f t="shared" ref="M6:M20" si="0">L6-N6</f>
        <v>5132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0.99844357976653697</v>
      </c>
      <c r="AC6" s="9">
        <f t="shared" ref="AC6:AC20" si="5">IF(P6=0,"0",(P6/24))</f>
        <v>1</v>
      </c>
      <c r="AD6" s="10">
        <f t="shared" ref="AD6:AD20" si="6">AC6*AB6*(1-O6)</f>
        <v>0.99844357976653697</v>
      </c>
      <c r="AE6" s="39">
        <f t="shared" ref="AE6:AE20" si="7">$AD$21</f>
        <v>0.61055983542184455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265</v>
      </c>
      <c r="D7" s="55" t="s">
        <v>266</v>
      </c>
      <c r="E7" s="57" t="s">
        <v>339</v>
      </c>
      <c r="F7" s="33" t="s">
        <v>268</v>
      </c>
      <c r="G7" s="12">
        <v>1</v>
      </c>
      <c r="H7" s="13">
        <v>25</v>
      </c>
      <c r="I7" s="34">
        <v>2000</v>
      </c>
      <c r="J7" s="5">
        <v>2070</v>
      </c>
      <c r="K7" s="15">
        <f>L7</f>
        <v>2061</v>
      </c>
      <c r="L7" s="15">
        <f>722+1339</f>
        <v>2061</v>
      </c>
      <c r="M7" s="16">
        <f t="shared" si="0"/>
        <v>2061</v>
      </c>
      <c r="N7" s="16">
        <v>0</v>
      </c>
      <c r="O7" s="62">
        <f t="shared" si="1"/>
        <v>0</v>
      </c>
      <c r="P7" s="42">
        <f t="shared" si="2"/>
        <v>14</v>
      </c>
      <c r="Q7" s="43">
        <f t="shared" si="3"/>
        <v>10</v>
      </c>
      <c r="R7" s="7"/>
      <c r="S7" s="6"/>
      <c r="T7" s="17"/>
      <c r="U7" s="17"/>
      <c r="V7" s="18"/>
      <c r="W7" s="19">
        <v>10</v>
      </c>
      <c r="X7" s="17"/>
      <c r="Y7" s="20"/>
      <c r="Z7" s="20"/>
      <c r="AA7" s="21"/>
      <c r="AB7" s="8">
        <f t="shared" si="4"/>
        <v>0.9956521739130435</v>
      </c>
      <c r="AC7" s="9">
        <f t="shared" si="5"/>
        <v>0.58333333333333337</v>
      </c>
      <c r="AD7" s="10">
        <f t="shared" si="6"/>
        <v>0.58079710144927543</v>
      </c>
      <c r="AE7" s="39">
        <f t="shared" si="7"/>
        <v>0.61055983542184455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122</v>
      </c>
      <c r="D8" s="55" t="s">
        <v>211</v>
      </c>
      <c r="E8" s="57" t="s">
        <v>212</v>
      </c>
      <c r="F8" s="33" t="s">
        <v>213</v>
      </c>
      <c r="G8" s="12">
        <v>3</v>
      </c>
      <c r="H8" s="13">
        <v>25</v>
      </c>
      <c r="I8" s="34">
        <v>20000</v>
      </c>
      <c r="J8" s="5">
        <v>5240</v>
      </c>
      <c r="K8" s="15">
        <f>L8+11925+15930</f>
        <v>33087</v>
      </c>
      <c r="L8" s="15">
        <f>1744*3</f>
        <v>5232</v>
      </c>
      <c r="M8" s="16">
        <f t="shared" si="0"/>
        <v>5232</v>
      </c>
      <c r="N8" s="16">
        <v>0</v>
      </c>
      <c r="O8" s="62">
        <f t="shared" si="1"/>
        <v>0</v>
      </c>
      <c r="P8" s="42">
        <f t="shared" si="2"/>
        <v>9</v>
      </c>
      <c r="Q8" s="43">
        <f t="shared" si="3"/>
        <v>15</v>
      </c>
      <c r="R8" s="7"/>
      <c r="S8" s="6"/>
      <c r="T8" s="17"/>
      <c r="U8" s="17"/>
      <c r="V8" s="18"/>
      <c r="W8" s="19">
        <v>15</v>
      </c>
      <c r="X8" s="17"/>
      <c r="Y8" s="20"/>
      <c r="Z8" s="20"/>
      <c r="AA8" s="21"/>
      <c r="AB8" s="8">
        <f t="shared" si="4"/>
        <v>0.99847328244274813</v>
      </c>
      <c r="AC8" s="9">
        <f t="shared" si="5"/>
        <v>0.375</v>
      </c>
      <c r="AD8" s="10">
        <f t="shared" si="6"/>
        <v>0.37442748091603056</v>
      </c>
      <c r="AE8" s="39">
        <f t="shared" si="7"/>
        <v>0.61055983542184455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262</v>
      </c>
      <c r="D9" s="55" t="s">
        <v>269</v>
      </c>
      <c r="E9" s="57" t="s">
        <v>270</v>
      </c>
      <c r="F9" s="33" t="s">
        <v>271</v>
      </c>
      <c r="G9" s="36">
        <v>1</v>
      </c>
      <c r="H9" s="38">
        <v>25</v>
      </c>
      <c r="I9" s="7">
        <v>2500</v>
      </c>
      <c r="J9" s="5">
        <v>1670</v>
      </c>
      <c r="K9" s="15">
        <f>L9+1843</f>
        <v>3512</v>
      </c>
      <c r="L9" s="15">
        <f>1158+511</f>
        <v>1669</v>
      </c>
      <c r="M9" s="16">
        <f t="shared" si="0"/>
        <v>1669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0.9994011976047904</v>
      </c>
      <c r="AC9" s="9">
        <f t="shared" si="5"/>
        <v>0.41666666666666669</v>
      </c>
      <c r="AD9" s="10">
        <f t="shared" si="6"/>
        <v>0.41641716566866271</v>
      </c>
      <c r="AE9" s="39">
        <f t="shared" si="7"/>
        <v>0.61055983542184455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16240</v>
      </c>
      <c r="K10" s="15">
        <f>L10+24784+20920+19906+984+7100+9328</f>
        <v>99260</v>
      </c>
      <c r="L10" s="15">
        <f>4016*2+4103*2</f>
        <v>16238</v>
      </c>
      <c r="M10" s="16">
        <f t="shared" si="0"/>
        <v>16238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0.99987684729064041</v>
      </c>
      <c r="AC10" s="9">
        <f t="shared" si="5"/>
        <v>1</v>
      </c>
      <c r="AD10" s="10">
        <f t="shared" si="6"/>
        <v>0.99987684729064041</v>
      </c>
      <c r="AE10" s="39">
        <f t="shared" si="7"/>
        <v>0.61055983542184455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247</v>
      </c>
      <c r="D11" s="55" t="s">
        <v>273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5340</v>
      </c>
      <c r="K11" s="15">
        <f>L11+4928</f>
        <v>10265</v>
      </c>
      <c r="L11" s="15">
        <f>2742+2595</f>
        <v>5337</v>
      </c>
      <c r="M11" s="16">
        <f t="shared" si="0"/>
        <v>5337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0.99943820224719104</v>
      </c>
      <c r="AC11" s="9">
        <f t="shared" si="5"/>
        <v>1</v>
      </c>
      <c r="AD11" s="10">
        <f t="shared" si="6"/>
        <v>0.99943820224719104</v>
      </c>
      <c r="AE11" s="39">
        <f t="shared" si="7"/>
        <v>0.61055983542184455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121</v>
      </c>
      <c r="D12" s="55" t="s">
        <v>152</v>
      </c>
      <c r="E12" s="57" t="s">
        <v>153</v>
      </c>
      <c r="F12" s="12" t="s">
        <v>140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L12+3858+5000+5466+5494</f>
        <v>19818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0.61055983542184455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121</v>
      </c>
      <c r="D13" s="55" t="s">
        <v>125</v>
      </c>
      <c r="E13" s="57" t="s">
        <v>276</v>
      </c>
      <c r="F13" s="12" t="s">
        <v>277</v>
      </c>
      <c r="G13" s="12">
        <v>1</v>
      </c>
      <c r="H13" s="13">
        <v>25</v>
      </c>
      <c r="I13" s="7">
        <v>10000</v>
      </c>
      <c r="J13" s="14">
        <v>5430</v>
      </c>
      <c r="K13" s="15">
        <f>L13+4428</f>
        <v>9853</v>
      </c>
      <c r="L13" s="15">
        <f>2690+2735</f>
        <v>5425</v>
      </c>
      <c r="M13" s="16">
        <f t="shared" si="0"/>
        <v>5425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0.99907918968692444</v>
      </c>
      <c r="AC13" s="9">
        <f t="shared" si="5"/>
        <v>1</v>
      </c>
      <c r="AD13" s="10">
        <f t="shared" si="6"/>
        <v>0.99907918968692444</v>
      </c>
      <c r="AE13" s="39">
        <f t="shared" si="7"/>
        <v>0.61055983542184455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341</v>
      </c>
      <c r="G14" s="36">
        <v>1</v>
      </c>
      <c r="H14" s="38">
        <v>25</v>
      </c>
      <c r="I14" s="7">
        <v>2600</v>
      </c>
      <c r="J14" s="5">
        <v>362</v>
      </c>
      <c r="K14" s="15">
        <f>L14</f>
        <v>362</v>
      </c>
      <c r="L14" s="15">
        <v>362</v>
      </c>
      <c r="M14" s="16">
        <f t="shared" si="0"/>
        <v>362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>
        <v>14</v>
      </c>
      <c r="T14" s="17"/>
      <c r="U14" s="17"/>
      <c r="V14" s="18">
        <v>2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0.61055983542184455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342</v>
      </c>
      <c r="D15" s="55"/>
      <c r="E15" s="57" t="s">
        <v>324</v>
      </c>
      <c r="F15" s="12" t="s">
        <v>343</v>
      </c>
      <c r="G15" s="12">
        <v>8</v>
      </c>
      <c r="H15" s="13">
        <v>24</v>
      </c>
      <c r="I15" s="34">
        <v>10000</v>
      </c>
      <c r="J15" s="14">
        <v>28230</v>
      </c>
      <c r="K15" s="15">
        <f>L15</f>
        <v>28224</v>
      </c>
      <c r="L15" s="15">
        <f>1282*7+2750*7</f>
        <v>28224</v>
      </c>
      <c r="M15" s="16">
        <f t="shared" si="0"/>
        <v>28224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/>
      <c r="T15" s="17">
        <v>4</v>
      </c>
      <c r="U15" s="17"/>
      <c r="V15" s="18"/>
      <c r="W15" s="19"/>
      <c r="X15" s="17"/>
      <c r="Y15" s="20"/>
      <c r="Z15" s="20"/>
      <c r="AA15" s="21"/>
      <c r="AB15" s="8">
        <f t="shared" si="4"/>
        <v>0.99978746014877795</v>
      </c>
      <c r="AC15" s="9">
        <f t="shared" si="5"/>
        <v>0.83333333333333337</v>
      </c>
      <c r="AD15" s="10">
        <f t="shared" si="6"/>
        <v>0.83315621679064833</v>
      </c>
      <c r="AE15" s="39">
        <f t="shared" si="7"/>
        <v>0.61055983542184455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247</v>
      </c>
      <c r="D16" s="55" t="s">
        <v>344</v>
      </c>
      <c r="E16" s="56" t="s">
        <v>345</v>
      </c>
      <c r="F16" s="12" t="s">
        <v>346</v>
      </c>
      <c r="G16" s="36">
        <v>2</v>
      </c>
      <c r="H16" s="38">
        <v>25</v>
      </c>
      <c r="I16" s="7">
        <v>20000</v>
      </c>
      <c r="J16" s="14">
        <v>5870</v>
      </c>
      <c r="K16" s="15">
        <f>L16</f>
        <v>5868</v>
      </c>
      <c r="L16" s="15">
        <f>2934*2</f>
        <v>5868</v>
      </c>
      <c r="M16" s="16">
        <f t="shared" si="0"/>
        <v>5868</v>
      </c>
      <c r="N16" s="16">
        <v>0</v>
      </c>
      <c r="O16" s="62">
        <f t="shared" si="1"/>
        <v>0</v>
      </c>
      <c r="P16" s="42">
        <f t="shared" si="2"/>
        <v>17</v>
      </c>
      <c r="Q16" s="43">
        <f t="shared" si="3"/>
        <v>7</v>
      </c>
      <c r="R16" s="7"/>
      <c r="S16" s="6"/>
      <c r="T16" s="17">
        <v>7</v>
      </c>
      <c r="U16" s="17"/>
      <c r="V16" s="18"/>
      <c r="W16" s="19"/>
      <c r="X16" s="17"/>
      <c r="Y16" s="20"/>
      <c r="Z16" s="20"/>
      <c r="AA16" s="21"/>
      <c r="AB16" s="8">
        <f t="shared" si="4"/>
        <v>0.99965928449744468</v>
      </c>
      <c r="AC16" s="9">
        <f t="shared" si="5"/>
        <v>0.70833333333333337</v>
      </c>
      <c r="AD16" s="10">
        <f t="shared" si="6"/>
        <v>0.70809199318569005</v>
      </c>
      <c r="AE16" s="39">
        <f t="shared" si="7"/>
        <v>0.61055983542184455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158</v>
      </c>
      <c r="E17" s="57" t="s">
        <v>156</v>
      </c>
      <c r="F17" s="12" t="s">
        <v>130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0.61055983542184455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331</v>
      </c>
      <c r="E18" s="57" t="s">
        <v>347</v>
      </c>
      <c r="F18" s="33" t="s">
        <v>348</v>
      </c>
      <c r="G18" s="36">
        <v>1</v>
      </c>
      <c r="H18" s="38">
        <v>25</v>
      </c>
      <c r="I18" s="7">
        <v>46500</v>
      </c>
      <c r="J18" s="5">
        <v>4330</v>
      </c>
      <c r="K18" s="15">
        <f>L18</f>
        <v>4325</v>
      </c>
      <c r="L18" s="15">
        <f>1786+2539</f>
        <v>4325</v>
      </c>
      <c r="M18" s="16">
        <f t="shared" si="0"/>
        <v>4325</v>
      </c>
      <c r="N18" s="16">
        <v>0</v>
      </c>
      <c r="O18" s="62">
        <f t="shared" si="1"/>
        <v>0</v>
      </c>
      <c r="P18" s="42">
        <f t="shared" si="2"/>
        <v>22</v>
      </c>
      <c r="Q18" s="43">
        <f t="shared" si="3"/>
        <v>2</v>
      </c>
      <c r="R18" s="7"/>
      <c r="S18" s="6"/>
      <c r="T18" s="17">
        <v>2</v>
      </c>
      <c r="U18" s="17"/>
      <c r="V18" s="18"/>
      <c r="W18" s="19"/>
      <c r="X18" s="17"/>
      <c r="Y18" s="20"/>
      <c r="Z18" s="20"/>
      <c r="AA18" s="21"/>
      <c r="AB18" s="8">
        <f t="shared" si="4"/>
        <v>0.99884526558891451</v>
      </c>
      <c r="AC18" s="9">
        <f t="shared" si="5"/>
        <v>0.91666666666666663</v>
      </c>
      <c r="AD18" s="10">
        <f t="shared" si="6"/>
        <v>0.91560816012317159</v>
      </c>
      <c r="AE18" s="39">
        <f t="shared" si="7"/>
        <v>0.61055983542184455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132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7360</v>
      </c>
      <c r="K19" s="15">
        <f>L19+3258+4398+5144+3460+6323+4564+5384+7161+2960+2789+7049+2970+3630+7299+2728+7313+2343+2949+7245+6653+3346+1425+4904</f>
        <v>112653</v>
      </c>
      <c r="L19" s="15">
        <f>3678+3680</f>
        <v>7358</v>
      </c>
      <c r="M19" s="16">
        <f t="shared" si="0"/>
        <v>7358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0.99972826086956523</v>
      </c>
      <c r="AC19" s="9">
        <f t="shared" si="5"/>
        <v>1</v>
      </c>
      <c r="AD19" s="10">
        <f t="shared" si="6"/>
        <v>0.99972826086956523</v>
      </c>
      <c r="AE19" s="39">
        <f t="shared" si="7"/>
        <v>0.61055983542184455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0.61055983542184455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1306600</v>
      </c>
      <c r="J21" s="22">
        <f t="shared" si="10"/>
        <v>107412</v>
      </c>
      <c r="K21" s="23">
        <f t="shared" si="10"/>
        <v>561256</v>
      </c>
      <c r="L21" s="24">
        <f t="shared" si="10"/>
        <v>87231</v>
      </c>
      <c r="M21" s="23">
        <f t="shared" si="10"/>
        <v>87231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220</v>
      </c>
      <c r="Q21" s="46">
        <f t="shared" si="11"/>
        <v>140</v>
      </c>
      <c r="R21" s="26">
        <f t="shared" si="11"/>
        <v>0</v>
      </c>
      <c r="S21" s="27">
        <f t="shared" si="11"/>
        <v>14</v>
      </c>
      <c r="T21" s="27">
        <f t="shared" si="11"/>
        <v>13</v>
      </c>
      <c r="U21" s="27">
        <f t="shared" si="11"/>
        <v>0</v>
      </c>
      <c r="V21" s="28">
        <f t="shared" si="11"/>
        <v>2</v>
      </c>
      <c r="W21" s="29">
        <f t="shared" si="11"/>
        <v>111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0.79922564960377174</v>
      </c>
      <c r="AC21" s="4">
        <f>SUM(AC6:AC20)/15</f>
        <v>0.61111111111111105</v>
      </c>
      <c r="AD21" s="4">
        <f>SUM(AD6:AD20)/15</f>
        <v>0.61055983542184455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359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360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171" t="s">
        <v>46</v>
      </c>
      <c r="D50" s="171" t="s">
        <v>47</v>
      </c>
      <c r="E50" s="171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171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349</v>
      </c>
      <c r="B51" s="444"/>
      <c r="C51" s="170" t="s">
        <v>248</v>
      </c>
      <c r="D51" s="167" t="s">
        <v>350</v>
      </c>
      <c r="E51" s="170" t="s">
        <v>339</v>
      </c>
      <c r="F51" s="445" t="s">
        <v>137</v>
      </c>
      <c r="G51" s="445"/>
      <c r="H51" s="445"/>
      <c r="I51" s="445"/>
      <c r="J51" s="445"/>
      <c r="K51" s="445"/>
      <c r="L51" s="445"/>
      <c r="M51" s="446"/>
      <c r="N51" s="166" t="s">
        <v>198</v>
      </c>
      <c r="O51" s="74" t="s">
        <v>248</v>
      </c>
      <c r="P51" s="447" t="s">
        <v>361</v>
      </c>
      <c r="Q51" s="447"/>
      <c r="R51" s="447" t="s">
        <v>362</v>
      </c>
      <c r="S51" s="447"/>
      <c r="T51" s="447"/>
      <c r="U51" s="447"/>
      <c r="V51" s="445" t="s">
        <v>137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284</v>
      </c>
      <c r="B52" s="444"/>
      <c r="C52" s="170" t="s">
        <v>290</v>
      </c>
      <c r="D52" s="167" t="s">
        <v>269</v>
      </c>
      <c r="E52" s="170" t="s">
        <v>292</v>
      </c>
      <c r="F52" s="445" t="s">
        <v>351</v>
      </c>
      <c r="G52" s="445"/>
      <c r="H52" s="445"/>
      <c r="I52" s="445"/>
      <c r="J52" s="445"/>
      <c r="K52" s="445"/>
      <c r="L52" s="445"/>
      <c r="M52" s="446"/>
      <c r="N52" s="166" t="s">
        <v>247</v>
      </c>
      <c r="O52" s="74" t="s">
        <v>226</v>
      </c>
      <c r="P52" s="448" t="s">
        <v>363</v>
      </c>
      <c r="Q52" s="449"/>
      <c r="R52" s="447" t="s">
        <v>364</v>
      </c>
      <c r="S52" s="447"/>
      <c r="T52" s="447"/>
      <c r="U52" s="447"/>
      <c r="V52" s="445" t="s">
        <v>137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352</v>
      </c>
      <c r="B53" s="444"/>
      <c r="C53" s="170" t="s">
        <v>304</v>
      </c>
      <c r="D53" s="167"/>
      <c r="E53" s="170" t="s">
        <v>324</v>
      </c>
      <c r="F53" s="445" t="s">
        <v>137</v>
      </c>
      <c r="G53" s="445"/>
      <c r="H53" s="445"/>
      <c r="I53" s="445"/>
      <c r="J53" s="445"/>
      <c r="K53" s="445"/>
      <c r="L53" s="445"/>
      <c r="M53" s="446"/>
      <c r="N53" s="166" t="s">
        <v>321</v>
      </c>
      <c r="O53" s="74" t="s">
        <v>195</v>
      </c>
      <c r="P53" s="447" t="s">
        <v>125</v>
      </c>
      <c r="Q53" s="447"/>
      <c r="R53" s="447" t="s">
        <v>320</v>
      </c>
      <c r="S53" s="447"/>
      <c r="T53" s="447"/>
      <c r="U53" s="447"/>
      <c r="V53" s="445" t="s">
        <v>351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247</v>
      </c>
      <c r="B54" s="444"/>
      <c r="C54" s="170" t="s">
        <v>353</v>
      </c>
      <c r="D54" s="167" t="s">
        <v>354</v>
      </c>
      <c r="E54" s="170" t="s">
        <v>345</v>
      </c>
      <c r="F54" s="445" t="s">
        <v>137</v>
      </c>
      <c r="G54" s="445"/>
      <c r="H54" s="445"/>
      <c r="I54" s="445"/>
      <c r="J54" s="445"/>
      <c r="K54" s="445"/>
      <c r="L54" s="445"/>
      <c r="M54" s="446"/>
      <c r="N54" s="166" t="s">
        <v>247</v>
      </c>
      <c r="O54" s="74" t="s">
        <v>300</v>
      </c>
      <c r="P54" s="447" t="s">
        <v>350</v>
      </c>
      <c r="Q54" s="447"/>
      <c r="R54" s="447" t="s">
        <v>365</v>
      </c>
      <c r="S54" s="447"/>
      <c r="T54" s="447"/>
      <c r="U54" s="447"/>
      <c r="V54" s="445" t="s">
        <v>137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3" t="s">
        <v>355</v>
      </c>
      <c r="B55" s="444"/>
      <c r="C55" s="170" t="s">
        <v>356</v>
      </c>
      <c r="D55" s="167" t="s">
        <v>357</v>
      </c>
      <c r="E55" s="170" t="s">
        <v>358</v>
      </c>
      <c r="F55" s="445" t="s">
        <v>137</v>
      </c>
      <c r="G55" s="445"/>
      <c r="H55" s="445"/>
      <c r="I55" s="445"/>
      <c r="J55" s="445"/>
      <c r="K55" s="445"/>
      <c r="L55" s="445"/>
      <c r="M55" s="446"/>
      <c r="N55" s="166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 t="s">
        <v>114</v>
      </c>
      <c r="B56" s="444"/>
      <c r="C56" s="170" t="s">
        <v>195</v>
      </c>
      <c r="D56" s="167" t="s">
        <v>350</v>
      </c>
      <c r="E56" s="170" t="s">
        <v>340</v>
      </c>
      <c r="F56" s="445" t="s">
        <v>137</v>
      </c>
      <c r="G56" s="445"/>
      <c r="H56" s="445"/>
      <c r="I56" s="445"/>
      <c r="J56" s="445"/>
      <c r="K56" s="445"/>
      <c r="L56" s="445"/>
      <c r="M56" s="446"/>
      <c r="N56" s="166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170"/>
      <c r="D57" s="167"/>
      <c r="E57" s="170"/>
      <c r="F57" s="445"/>
      <c r="G57" s="445"/>
      <c r="H57" s="445"/>
      <c r="I57" s="445"/>
      <c r="J57" s="445"/>
      <c r="K57" s="445"/>
      <c r="L57" s="445"/>
      <c r="M57" s="446"/>
      <c r="N57" s="166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170"/>
      <c r="D58" s="167"/>
      <c r="E58" s="170"/>
      <c r="F58" s="445"/>
      <c r="G58" s="445"/>
      <c r="H58" s="445"/>
      <c r="I58" s="445"/>
      <c r="J58" s="445"/>
      <c r="K58" s="445"/>
      <c r="L58" s="445"/>
      <c r="M58" s="446"/>
      <c r="N58" s="166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167"/>
      <c r="D59" s="167"/>
      <c r="E59" s="167"/>
      <c r="F59" s="445"/>
      <c r="G59" s="445"/>
      <c r="H59" s="445"/>
      <c r="I59" s="445"/>
      <c r="J59" s="445"/>
      <c r="K59" s="445"/>
      <c r="L59" s="445"/>
      <c r="M59" s="446"/>
      <c r="N59" s="166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169"/>
      <c r="D60" s="169"/>
      <c r="E60" s="169"/>
      <c r="F60" s="452"/>
      <c r="G60" s="452"/>
      <c r="H60" s="452"/>
      <c r="I60" s="452"/>
      <c r="J60" s="452"/>
      <c r="K60" s="452"/>
      <c r="L60" s="452"/>
      <c r="M60" s="453"/>
      <c r="N60" s="168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366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165" t="s">
        <v>2</v>
      </c>
      <c r="D62" s="165" t="s">
        <v>37</v>
      </c>
      <c r="E62" s="165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165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367</v>
      </c>
      <c r="D63" s="161"/>
      <c r="E63" s="164" t="s">
        <v>368</v>
      </c>
      <c r="F63" s="464" t="s">
        <v>369</v>
      </c>
      <c r="G63" s="465"/>
      <c r="H63" s="465"/>
      <c r="I63" s="465"/>
      <c r="J63" s="465"/>
      <c r="K63" s="465">
        <v>8301</v>
      </c>
      <c r="L63" s="465"/>
      <c r="M63" s="54" t="s">
        <v>370</v>
      </c>
      <c r="N63" s="465">
        <v>12</v>
      </c>
      <c r="O63" s="465"/>
      <c r="P63" s="466"/>
      <c r="Q63" s="466"/>
      <c r="R63" s="445" t="s">
        <v>371</v>
      </c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161"/>
      <c r="E64" s="164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161"/>
      <c r="E65" s="164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161"/>
      <c r="E66" s="164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161"/>
      <c r="E67" s="164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161"/>
      <c r="E68" s="164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161"/>
      <c r="E69" s="164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161"/>
      <c r="E70" s="164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372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163" t="s">
        <v>2</v>
      </c>
      <c r="D72" s="163" t="s">
        <v>37</v>
      </c>
      <c r="E72" s="163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162" t="s">
        <v>114</v>
      </c>
      <c r="D73" s="162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161" t="s">
        <v>114</v>
      </c>
      <c r="D74" s="161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161"/>
      <c r="D75" s="161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161"/>
      <c r="D76" s="161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161"/>
      <c r="D77" s="161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161"/>
      <c r="D78" s="161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161"/>
      <c r="D79" s="161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161"/>
      <c r="D80" s="161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161"/>
      <c r="D81" s="161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373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6"/>
  <sheetViews>
    <sheetView zoomScale="72" zoomScaleNormal="72" zoomScaleSheetLayoutView="70" workbookViewId="0">
      <selection activeCell="K17" sqref="K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6" ht="44.25" customHeight="1">
      <c r="A1" s="402" t="s">
        <v>374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6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6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6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6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6" ht="27" customHeight="1">
      <c r="A6" s="108">
        <v>1</v>
      </c>
      <c r="B6" s="11" t="s">
        <v>57</v>
      </c>
      <c r="C6" s="37" t="s">
        <v>262</v>
      </c>
      <c r="D6" s="55" t="s">
        <v>263</v>
      </c>
      <c r="E6" s="57" t="s">
        <v>264</v>
      </c>
      <c r="F6" s="33" t="s">
        <v>161</v>
      </c>
      <c r="G6" s="36">
        <v>1</v>
      </c>
      <c r="H6" s="38">
        <v>25</v>
      </c>
      <c r="I6" s="7">
        <v>10000</v>
      </c>
      <c r="J6" s="5">
        <v>5250</v>
      </c>
      <c r="K6" s="15">
        <f>L6+3616+5132</f>
        <v>13996</v>
      </c>
      <c r="L6" s="15">
        <f>2615+2633</f>
        <v>5248</v>
      </c>
      <c r="M6" s="16">
        <f t="shared" ref="M6:M20" si="0">L6-N6</f>
        <v>5248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0.99961904761904763</v>
      </c>
      <c r="AC6" s="9">
        <f t="shared" ref="AC6:AC20" si="5">IF(P6=0,"0",(P6/24))</f>
        <v>1</v>
      </c>
      <c r="AD6" s="10">
        <f t="shared" ref="AD6:AD20" si="6">AC6*AB6*(1-O6)</f>
        <v>0.99961904761904763</v>
      </c>
      <c r="AE6" s="39">
        <f t="shared" ref="AE6:AE20" si="7">$AD$21</f>
        <v>0.50511826207481836</v>
      </c>
      <c r="AF6" s="94">
        <f t="shared" ref="AF6:AF20" si="8">A6</f>
        <v>1</v>
      </c>
    </row>
    <row r="7" spans="1:36" ht="27" customHeight="1">
      <c r="A7" s="108">
        <v>2</v>
      </c>
      <c r="B7" s="11" t="s">
        <v>57</v>
      </c>
      <c r="C7" s="37" t="s">
        <v>375</v>
      </c>
      <c r="D7" s="55" t="s">
        <v>376</v>
      </c>
      <c r="E7" s="57" t="s">
        <v>377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</f>
        <v>2882</v>
      </c>
      <c r="L7" s="15">
        <f>1441*2</f>
        <v>2882</v>
      </c>
      <c r="M7" s="16">
        <f t="shared" si="0"/>
        <v>2882</v>
      </c>
      <c r="N7" s="16">
        <v>0</v>
      </c>
      <c r="O7" s="62">
        <f t="shared" si="1"/>
        <v>0</v>
      </c>
      <c r="P7" s="42">
        <f t="shared" si="2"/>
        <v>6</v>
      </c>
      <c r="Q7" s="43">
        <f t="shared" si="3"/>
        <v>18</v>
      </c>
      <c r="R7" s="7"/>
      <c r="S7" s="6"/>
      <c r="T7" s="17"/>
      <c r="U7" s="17"/>
      <c r="V7" s="18"/>
      <c r="W7" s="19">
        <v>18</v>
      </c>
      <c r="X7" s="17"/>
      <c r="Y7" s="20"/>
      <c r="Z7" s="20"/>
      <c r="AA7" s="21"/>
      <c r="AB7" s="8">
        <f t="shared" si="4"/>
        <v>0.99723183391003456</v>
      </c>
      <c r="AC7" s="9">
        <f t="shared" si="5"/>
        <v>0.25</v>
      </c>
      <c r="AD7" s="10">
        <f t="shared" si="6"/>
        <v>0.24930795847750864</v>
      </c>
      <c r="AE7" s="39">
        <f t="shared" si="7"/>
        <v>0.50511826207481836</v>
      </c>
      <c r="AF7" s="94">
        <f t="shared" si="8"/>
        <v>2</v>
      </c>
    </row>
    <row r="8" spans="1:36" ht="27" customHeight="1">
      <c r="A8" s="109">
        <v>3</v>
      </c>
      <c r="B8" s="11" t="s">
        <v>57</v>
      </c>
      <c r="C8" s="37" t="s">
        <v>379</v>
      </c>
      <c r="D8" s="55" t="s">
        <v>380</v>
      </c>
      <c r="E8" s="57" t="s">
        <v>381</v>
      </c>
      <c r="F8" s="33" t="s">
        <v>382</v>
      </c>
      <c r="G8" s="12">
        <v>2</v>
      </c>
      <c r="H8" s="13">
        <v>25</v>
      </c>
      <c r="I8" s="34">
        <v>20000</v>
      </c>
      <c r="J8" s="5">
        <v>9790</v>
      </c>
      <c r="K8" s="15">
        <f>L8</f>
        <v>9786</v>
      </c>
      <c r="L8" s="15">
        <f>2903*2+1990*2</f>
        <v>9786</v>
      </c>
      <c r="M8" s="16">
        <f t="shared" si="0"/>
        <v>9786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>
        <v>1</v>
      </c>
      <c r="U8" s="17"/>
      <c r="V8" s="18"/>
      <c r="W8" s="19"/>
      <c r="X8" s="17"/>
      <c r="Y8" s="20"/>
      <c r="Z8" s="20"/>
      <c r="AA8" s="21"/>
      <c r="AB8" s="8">
        <f t="shared" si="4"/>
        <v>0.99959141981613897</v>
      </c>
      <c r="AC8" s="9">
        <f t="shared" si="5"/>
        <v>0.95833333333333337</v>
      </c>
      <c r="AD8" s="10">
        <f t="shared" si="6"/>
        <v>0.95794177732379993</v>
      </c>
      <c r="AE8" s="39">
        <f t="shared" si="7"/>
        <v>0.50511826207481836</v>
      </c>
      <c r="AF8" s="94">
        <f t="shared" si="8"/>
        <v>3</v>
      </c>
    </row>
    <row r="9" spans="1:36" ht="27" customHeight="1">
      <c r="A9" s="110">
        <v>4</v>
      </c>
      <c r="B9" s="11" t="s">
        <v>57</v>
      </c>
      <c r="C9" s="37" t="s">
        <v>262</v>
      </c>
      <c r="D9" s="55" t="s">
        <v>269</v>
      </c>
      <c r="E9" s="57" t="s">
        <v>270</v>
      </c>
      <c r="F9" s="33" t="s">
        <v>271</v>
      </c>
      <c r="G9" s="36">
        <v>1</v>
      </c>
      <c r="H9" s="38">
        <v>25</v>
      </c>
      <c r="I9" s="7">
        <v>2500</v>
      </c>
      <c r="J9" s="5">
        <v>1670</v>
      </c>
      <c r="K9" s="15">
        <f>L9+1843+1669</f>
        <v>3512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0.50511826207481836</v>
      </c>
      <c r="AF9" s="94">
        <f t="shared" si="8"/>
        <v>4</v>
      </c>
    </row>
    <row r="10" spans="1:36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16040</v>
      </c>
      <c r="K10" s="15">
        <f>L10+24784+20920+19906+984+7100+9328+16238</f>
        <v>115296</v>
      </c>
      <c r="L10" s="15">
        <f>4070*2+3948*2</f>
        <v>16036</v>
      </c>
      <c r="M10" s="16">
        <f t="shared" si="0"/>
        <v>16036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0.99975062344139654</v>
      </c>
      <c r="AC10" s="9">
        <f t="shared" si="5"/>
        <v>1</v>
      </c>
      <c r="AD10" s="10">
        <f t="shared" si="6"/>
        <v>0.99975062344139654</v>
      </c>
      <c r="AE10" s="39">
        <f t="shared" si="7"/>
        <v>0.50511826207481836</v>
      </c>
      <c r="AF10" s="94">
        <f t="shared" si="8"/>
        <v>5</v>
      </c>
    </row>
    <row r="11" spans="1:36" ht="27" customHeight="1">
      <c r="A11" s="110">
        <v>6</v>
      </c>
      <c r="B11" s="11" t="s">
        <v>57</v>
      </c>
      <c r="C11" s="11" t="s">
        <v>247</v>
      </c>
      <c r="D11" s="55" t="s">
        <v>273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3020</v>
      </c>
      <c r="K11" s="15">
        <f>L11+4928+5337</f>
        <v>13279</v>
      </c>
      <c r="L11" s="15">
        <f>329+2685</f>
        <v>3014</v>
      </c>
      <c r="M11" s="16">
        <f t="shared" si="0"/>
        <v>3014</v>
      </c>
      <c r="N11" s="16">
        <v>0</v>
      </c>
      <c r="O11" s="62">
        <f t="shared" si="1"/>
        <v>0</v>
      </c>
      <c r="P11" s="42">
        <f t="shared" si="2"/>
        <v>12</v>
      </c>
      <c r="Q11" s="43">
        <f t="shared" si="3"/>
        <v>12</v>
      </c>
      <c r="R11" s="7"/>
      <c r="S11" s="6">
        <v>12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0.99801324503311262</v>
      </c>
      <c r="AC11" s="9">
        <f t="shared" si="5"/>
        <v>0.5</v>
      </c>
      <c r="AD11" s="10">
        <f t="shared" si="6"/>
        <v>0.49900662251655631</v>
      </c>
      <c r="AE11" s="39">
        <f t="shared" si="7"/>
        <v>0.50511826207481836</v>
      </c>
      <c r="AF11" s="94">
        <f t="shared" si="8"/>
        <v>6</v>
      </c>
    </row>
    <row r="12" spans="1:36" ht="27" customHeight="1">
      <c r="A12" s="110">
        <v>7</v>
      </c>
      <c r="B12" s="11" t="s">
        <v>57</v>
      </c>
      <c r="C12" s="11" t="s">
        <v>121</v>
      </c>
      <c r="D12" s="55" t="s">
        <v>152</v>
      </c>
      <c r="E12" s="57" t="s">
        <v>153</v>
      </c>
      <c r="F12" s="12" t="s">
        <v>140</v>
      </c>
      <c r="G12" s="12">
        <v>1</v>
      </c>
      <c r="H12" s="13">
        <v>25</v>
      </c>
      <c r="I12" s="7">
        <v>13000</v>
      </c>
      <c r="J12" s="14">
        <v>5500</v>
      </c>
      <c r="K12" s="15">
        <f>L12+3858+5000+5466+5494</f>
        <v>19818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0.50511826207481836</v>
      </c>
      <c r="AF12" s="94">
        <f t="shared" si="8"/>
        <v>7</v>
      </c>
    </row>
    <row r="13" spans="1:36" ht="27" customHeight="1">
      <c r="A13" s="110">
        <v>8</v>
      </c>
      <c r="B13" s="11" t="s">
        <v>57</v>
      </c>
      <c r="C13" s="11" t="s">
        <v>379</v>
      </c>
      <c r="D13" s="55" t="s">
        <v>125</v>
      </c>
      <c r="E13" s="57" t="s">
        <v>383</v>
      </c>
      <c r="F13" s="12" t="s">
        <v>277</v>
      </c>
      <c r="G13" s="12">
        <v>1</v>
      </c>
      <c r="H13" s="13">
        <v>25</v>
      </c>
      <c r="I13" s="7">
        <v>30000</v>
      </c>
      <c r="J13" s="14">
        <v>9870</v>
      </c>
      <c r="K13" s="15">
        <f>L13</f>
        <v>9862</v>
      </c>
      <c r="L13" s="15">
        <f>2716*2+2215*2</f>
        <v>9862</v>
      </c>
      <c r="M13" s="16">
        <f t="shared" si="0"/>
        <v>9862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/>
      <c r="T13" s="17">
        <v>1</v>
      </c>
      <c r="U13" s="17"/>
      <c r="V13" s="18"/>
      <c r="W13" s="19"/>
      <c r="X13" s="17"/>
      <c r="Y13" s="20"/>
      <c r="Z13" s="20"/>
      <c r="AA13" s="21"/>
      <c r="AB13" s="8">
        <f t="shared" si="4"/>
        <v>0.99918946301925027</v>
      </c>
      <c r="AC13" s="9">
        <f t="shared" si="5"/>
        <v>0.95833333333333337</v>
      </c>
      <c r="AD13" s="10">
        <f t="shared" si="6"/>
        <v>0.95755656872678152</v>
      </c>
      <c r="AE13" s="39">
        <f t="shared" si="7"/>
        <v>0.50511826207481836</v>
      </c>
      <c r="AF13" s="94">
        <f t="shared" si="8"/>
        <v>8</v>
      </c>
    </row>
    <row r="14" spans="1:36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341</v>
      </c>
      <c r="G14" s="36">
        <v>1</v>
      </c>
      <c r="H14" s="38">
        <v>25</v>
      </c>
      <c r="I14" s="7">
        <v>2600</v>
      </c>
      <c r="J14" s="5">
        <v>580</v>
      </c>
      <c r="K14" s="15">
        <f>L14+362</f>
        <v>940</v>
      </c>
      <c r="L14" s="15">
        <v>578</v>
      </c>
      <c r="M14" s="16">
        <f t="shared" si="0"/>
        <v>578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>
        <v>14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0.99655172413793103</v>
      </c>
      <c r="AC14" s="9">
        <f t="shared" si="5"/>
        <v>0.41666666666666669</v>
      </c>
      <c r="AD14" s="10">
        <f t="shared" si="6"/>
        <v>0.41522988505747127</v>
      </c>
      <c r="AE14" s="39">
        <f t="shared" si="7"/>
        <v>0.50511826207481836</v>
      </c>
      <c r="AF14" s="94">
        <f t="shared" si="8"/>
        <v>9</v>
      </c>
    </row>
    <row r="15" spans="1:36" ht="27" customHeight="1">
      <c r="A15" s="109">
        <v>10</v>
      </c>
      <c r="B15" s="11" t="s">
        <v>57</v>
      </c>
      <c r="C15" s="11" t="s">
        <v>342</v>
      </c>
      <c r="D15" s="55"/>
      <c r="E15" s="57" t="s">
        <v>324</v>
      </c>
      <c r="F15" s="12" t="s">
        <v>343</v>
      </c>
      <c r="G15" s="12">
        <v>8</v>
      </c>
      <c r="H15" s="13">
        <v>24</v>
      </c>
      <c r="I15" s="34">
        <v>10000</v>
      </c>
      <c r="J15" s="14">
        <v>28230</v>
      </c>
      <c r="K15" s="15">
        <f>L15+28224</f>
        <v>28224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/>
      <c r="X15" s="17"/>
      <c r="Y15" s="20"/>
      <c r="Z15" s="20"/>
      <c r="AA15" s="21">
        <v>24</v>
      </c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0.50511826207481836</v>
      </c>
      <c r="AF15" s="94">
        <f t="shared" si="8"/>
        <v>10</v>
      </c>
    </row>
    <row r="16" spans="1:36" ht="27.75" customHeight="1">
      <c r="A16" s="109">
        <v>11</v>
      </c>
      <c r="B16" s="11" t="s">
        <v>57</v>
      </c>
      <c r="C16" s="11" t="s">
        <v>247</v>
      </c>
      <c r="D16" s="55" t="s">
        <v>344</v>
      </c>
      <c r="E16" s="56" t="s">
        <v>384</v>
      </c>
      <c r="F16" s="12" t="s">
        <v>346</v>
      </c>
      <c r="G16" s="36">
        <v>2</v>
      </c>
      <c r="H16" s="38">
        <v>25</v>
      </c>
      <c r="I16" s="7">
        <v>20000</v>
      </c>
      <c r="J16" s="14">
        <v>11260</v>
      </c>
      <c r="K16" s="15">
        <f>L16+5868</f>
        <v>17128</v>
      </c>
      <c r="L16" s="15">
        <f>2833*2+2797*2</f>
        <v>11260</v>
      </c>
      <c r="M16" s="16">
        <f t="shared" si="0"/>
        <v>11260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0.50511826207481836</v>
      </c>
      <c r="AF16" s="94">
        <f>A16</f>
        <v>11</v>
      </c>
      <c r="AJ16" s="15"/>
    </row>
    <row r="17" spans="1:32" ht="27" customHeight="1">
      <c r="A17" s="109">
        <v>12</v>
      </c>
      <c r="B17" s="11" t="s">
        <v>57</v>
      </c>
      <c r="C17" s="37" t="s">
        <v>122</v>
      </c>
      <c r="D17" s="55" t="s">
        <v>158</v>
      </c>
      <c r="E17" s="57" t="s">
        <v>156</v>
      </c>
      <c r="F17" s="12" t="s">
        <v>130</v>
      </c>
      <c r="G17" s="12">
        <v>2</v>
      </c>
      <c r="H17" s="13">
        <v>25</v>
      </c>
      <c r="I17" s="34">
        <v>10000</v>
      </c>
      <c r="J17" s="5">
        <v>4630</v>
      </c>
      <c r="K17" s="15">
        <f>L17+6968+4624</f>
        <v>11592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0.50511826207481836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331</v>
      </c>
      <c r="E18" s="57" t="s">
        <v>347</v>
      </c>
      <c r="F18" s="33" t="s">
        <v>348</v>
      </c>
      <c r="G18" s="36">
        <v>1</v>
      </c>
      <c r="H18" s="38">
        <v>25</v>
      </c>
      <c r="I18" s="7">
        <v>30000</v>
      </c>
      <c r="J18" s="5">
        <v>5090</v>
      </c>
      <c r="K18" s="15">
        <f>L18+4325</f>
        <v>9409</v>
      </c>
      <c r="L18" s="15">
        <f>2534+2550</f>
        <v>5084</v>
      </c>
      <c r="M18" s="16">
        <f t="shared" si="0"/>
        <v>5084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0.99882121807465618</v>
      </c>
      <c r="AC18" s="9">
        <f t="shared" si="5"/>
        <v>1</v>
      </c>
      <c r="AD18" s="10">
        <f t="shared" si="6"/>
        <v>0.99882121807465618</v>
      </c>
      <c r="AE18" s="39">
        <f t="shared" si="7"/>
        <v>0.50511826207481836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132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4350</v>
      </c>
      <c r="K19" s="15">
        <f>L19+3258+4398+5144+3460+6323+4564+5384+7161+2960+2789+7049+2970+3630+7299+2728+7313+2343+2949+7245+6653+3346+1425+4904+7358</f>
        <v>116999</v>
      </c>
      <c r="L19" s="15">
        <f>698+3648</f>
        <v>4346</v>
      </c>
      <c r="M19" s="16">
        <f t="shared" si="0"/>
        <v>4346</v>
      </c>
      <c r="N19" s="16">
        <v>0</v>
      </c>
      <c r="O19" s="62">
        <f t="shared" si="1"/>
        <v>0</v>
      </c>
      <c r="P19" s="42">
        <f t="shared" si="2"/>
        <v>12</v>
      </c>
      <c r="Q19" s="43">
        <f t="shared" si="3"/>
        <v>12</v>
      </c>
      <c r="R19" s="7"/>
      <c r="S19" s="6">
        <v>12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0.99908045977011495</v>
      </c>
      <c r="AC19" s="9">
        <f t="shared" si="5"/>
        <v>0.5</v>
      </c>
      <c r="AD19" s="10">
        <f t="shared" si="6"/>
        <v>0.49954022988505747</v>
      </c>
      <c r="AE19" s="39">
        <f t="shared" si="7"/>
        <v>0.50511826207481836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0.50511826207481836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1309100</v>
      </c>
      <c r="J21" s="22">
        <f t="shared" si="10"/>
        <v>118170</v>
      </c>
      <c r="K21" s="23">
        <f t="shared" si="10"/>
        <v>584351</v>
      </c>
      <c r="L21" s="24">
        <f t="shared" si="10"/>
        <v>68096</v>
      </c>
      <c r="M21" s="23">
        <f t="shared" si="10"/>
        <v>68096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182</v>
      </c>
      <c r="Q21" s="46">
        <f t="shared" si="11"/>
        <v>178</v>
      </c>
      <c r="R21" s="26">
        <f t="shared" si="11"/>
        <v>0</v>
      </c>
      <c r="S21" s="27">
        <f t="shared" si="11"/>
        <v>38</v>
      </c>
      <c r="T21" s="27">
        <f t="shared" si="11"/>
        <v>2</v>
      </c>
      <c r="U21" s="27">
        <f t="shared" si="11"/>
        <v>0</v>
      </c>
      <c r="V21" s="28">
        <f t="shared" si="11"/>
        <v>0</v>
      </c>
      <c r="W21" s="29">
        <f t="shared" si="11"/>
        <v>114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0.6658566023214455</v>
      </c>
      <c r="AC21" s="4">
        <f>SUM(AC6:AC20)/15</f>
        <v>0.50555555555555565</v>
      </c>
      <c r="AD21" s="4">
        <f>SUM(AD6:AD20)/15</f>
        <v>0.50511826207481836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385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393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174" t="s">
        <v>46</v>
      </c>
      <c r="D50" s="174" t="s">
        <v>47</v>
      </c>
      <c r="E50" s="174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174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349</v>
      </c>
      <c r="B51" s="444"/>
      <c r="C51" s="175" t="s">
        <v>386</v>
      </c>
      <c r="D51" s="176" t="s">
        <v>380</v>
      </c>
      <c r="E51" s="175" t="s">
        <v>388</v>
      </c>
      <c r="F51" s="445" t="s">
        <v>137</v>
      </c>
      <c r="G51" s="445"/>
      <c r="H51" s="445"/>
      <c r="I51" s="445"/>
      <c r="J51" s="445"/>
      <c r="K51" s="445"/>
      <c r="L51" s="445"/>
      <c r="M51" s="446"/>
      <c r="N51" s="180" t="s">
        <v>321</v>
      </c>
      <c r="O51" s="74" t="s">
        <v>195</v>
      </c>
      <c r="P51" s="447" t="s">
        <v>125</v>
      </c>
      <c r="Q51" s="447"/>
      <c r="R51" s="447" t="s">
        <v>320</v>
      </c>
      <c r="S51" s="447"/>
      <c r="T51" s="447"/>
      <c r="U51" s="447"/>
      <c r="V51" s="445" t="s">
        <v>351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379</v>
      </c>
      <c r="B52" s="444"/>
      <c r="C52" s="175" t="s">
        <v>389</v>
      </c>
      <c r="D52" s="176" t="s">
        <v>390</v>
      </c>
      <c r="E52" s="175" t="s">
        <v>387</v>
      </c>
      <c r="F52" s="445" t="s">
        <v>137</v>
      </c>
      <c r="G52" s="445"/>
      <c r="H52" s="445"/>
      <c r="I52" s="445"/>
      <c r="J52" s="445"/>
      <c r="K52" s="445"/>
      <c r="L52" s="445"/>
      <c r="M52" s="446"/>
      <c r="N52" s="180" t="s">
        <v>396</v>
      </c>
      <c r="O52" s="74" t="s">
        <v>397</v>
      </c>
      <c r="P52" s="448"/>
      <c r="Q52" s="449"/>
      <c r="R52" s="447" t="s">
        <v>132</v>
      </c>
      <c r="S52" s="447"/>
      <c r="T52" s="447"/>
      <c r="U52" s="447"/>
      <c r="V52" s="445" t="s">
        <v>351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391</v>
      </c>
      <c r="B53" s="444"/>
      <c r="C53" s="175" t="s">
        <v>128</v>
      </c>
      <c r="D53" s="176" t="s">
        <v>376</v>
      </c>
      <c r="E53" s="175" t="s">
        <v>377</v>
      </c>
      <c r="F53" s="445" t="s">
        <v>137</v>
      </c>
      <c r="G53" s="445"/>
      <c r="H53" s="445"/>
      <c r="I53" s="445"/>
      <c r="J53" s="445"/>
      <c r="K53" s="445"/>
      <c r="L53" s="445"/>
      <c r="M53" s="446"/>
      <c r="N53" s="180" t="s">
        <v>403</v>
      </c>
      <c r="O53" s="74" t="s">
        <v>399</v>
      </c>
      <c r="P53" s="447" t="s">
        <v>400</v>
      </c>
      <c r="Q53" s="447"/>
      <c r="R53" s="447" t="s">
        <v>398</v>
      </c>
      <c r="S53" s="447"/>
      <c r="T53" s="447"/>
      <c r="U53" s="447"/>
      <c r="V53" s="445" t="s">
        <v>402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114</v>
      </c>
      <c r="B54" s="444"/>
      <c r="C54" s="175" t="s">
        <v>195</v>
      </c>
      <c r="D54" s="176" t="s">
        <v>350</v>
      </c>
      <c r="E54" s="175" t="s">
        <v>340</v>
      </c>
      <c r="F54" s="445" t="s">
        <v>392</v>
      </c>
      <c r="G54" s="445"/>
      <c r="H54" s="445"/>
      <c r="I54" s="445"/>
      <c r="J54" s="445"/>
      <c r="K54" s="445"/>
      <c r="L54" s="445"/>
      <c r="M54" s="446"/>
      <c r="N54" s="180" t="s">
        <v>379</v>
      </c>
      <c r="O54" s="74" t="s">
        <v>405</v>
      </c>
      <c r="P54" s="447" t="s">
        <v>406</v>
      </c>
      <c r="Q54" s="447"/>
      <c r="R54" s="447" t="s">
        <v>404</v>
      </c>
      <c r="S54" s="447"/>
      <c r="T54" s="447"/>
      <c r="U54" s="447"/>
      <c r="V54" s="445" t="s">
        <v>407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309</v>
      </c>
      <c r="B55" s="447"/>
      <c r="C55" s="176" t="s">
        <v>310</v>
      </c>
      <c r="D55" s="176"/>
      <c r="E55" s="176" t="s">
        <v>395</v>
      </c>
      <c r="F55" s="445" t="s">
        <v>394</v>
      </c>
      <c r="G55" s="445"/>
      <c r="H55" s="445"/>
      <c r="I55" s="445"/>
      <c r="J55" s="445"/>
      <c r="K55" s="445"/>
      <c r="L55" s="445"/>
      <c r="M55" s="446"/>
      <c r="N55" s="180" t="s">
        <v>409</v>
      </c>
      <c r="O55" s="74" t="s">
        <v>412</v>
      </c>
      <c r="P55" s="447"/>
      <c r="Q55" s="447"/>
      <c r="R55" s="447" t="s">
        <v>408</v>
      </c>
      <c r="S55" s="447"/>
      <c r="T55" s="447"/>
      <c r="U55" s="447"/>
      <c r="V55" s="445" t="s">
        <v>410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 t="s">
        <v>379</v>
      </c>
      <c r="B56" s="444"/>
      <c r="C56" s="175" t="s">
        <v>399</v>
      </c>
      <c r="D56" s="176" t="s">
        <v>400</v>
      </c>
      <c r="E56" s="175" t="s">
        <v>398</v>
      </c>
      <c r="F56" s="445" t="s">
        <v>401</v>
      </c>
      <c r="G56" s="445"/>
      <c r="H56" s="445"/>
      <c r="I56" s="445"/>
      <c r="J56" s="445"/>
      <c r="K56" s="445"/>
      <c r="L56" s="445"/>
      <c r="M56" s="446"/>
      <c r="N56" s="180" t="s">
        <v>409</v>
      </c>
      <c r="O56" s="74" t="s">
        <v>412</v>
      </c>
      <c r="P56" s="447"/>
      <c r="Q56" s="447"/>
      <c r="R56" s="447" t="s">
        <v>411</v>
      </c>
      <c r="S56" s="447"/>
      <c r="T56" s="447"/>
      <c r="U56" s="447"/>
      <c r="V56" s="445" t="s">
        <v>410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175"/>
      <c r="D57" s="176"/>
      <c r="E57" s="175"/>
      <c r="F57" s="445"/>
      <c r="G57" s="445"/>
      <c r="H57" s="445"/>
      <c r="I57" s="445"/>
      <c r="J57" s="445"/>
      <c r="K57" s="445"/>
      <c r="L57" s="445"/>
      <c r="M57" s="446"/>
      <c r="N57" s="180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175"/>
      <c r="D58" s="176"/>
      <c r="E58" s="175"/>
      <c r="F58" s="445"/>
      <c r="G58" s="445"/>
      <c r="H58" s="445"/>
      <c r="I58" s="445"/>
      <c r="J58" s="445"/>
      <c r="K58" s="445"/>
      <c r="L58" s="445"/>
      <c r="M58" s="446"/>
      <c r="N58" s="180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176"/>
      <c r="D59" s="176"/>
      <c r="E59" s="176"/>
      <c r="F59" s="445"/>
      <c r="G59" s="445"/>
      <c r="H59" s="445"/>
      <c r="I59" s="445"/>
      <c r="J59" s="445"/>
      <c r="K59" s="445"/>
      <c r="L59" s="445"/>
      <c r="M59" s="446"/>
      <c r="N59" s="180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178"/>
      <c r="D60" s="178"/>
      <c r="E60" s="178"/>
      <c r="F60" s="452"/>
      <c r="G60" s="452"/>
      <c r="H60" s="452"/>
      <c r="I60" s="452"/>
      <c r="J60" s="452"/>
      <c r="K60" s="452"/>
      <c r="L60" s="452"/>
      <c r="M60" s="453"/>
      <c r="N60" s="177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413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179" t="s">
        <v>2</v>
      </c>
      <c r="D62" s="179" t="s">
        <v>37</v>
      </c>
      <c r="E62" s="179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179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414</v>
      </c>
      <c r="D63" s="183"/>
      <c r="E63" s="181" t="s">
        <v>415</v>
      </c>
      <c r="F63" s="464" t="s">
        <v>416</v>
      </c>
      <c r="G63" s="465"/>
      <c r="H63" s="465"/>
      <c r="I63" s="465"/>
      <c r="J63" s="465"/>
      <c r="K63" s="465" t="s">
        <v>417</v>
      </c>
      <c r="L63" s="465"/>
      <c r="M63" s="54" t="s">
        <v>370</v>
      </c>
      <c r="N63" s="465">
        <v>12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418</v>
      </c>
      <c r="D64" s="183"/>
      <c r="E64" s="181" t="s">
        <v>419</v>
      </c>
      <c r="F64" s="464" t="s">
        <v>420</v>
      </c>
      <c r="G64" s="465"/>
      <c r="H64" s="465"/>
      <c r="I64" s="465"/>
      <c r="J64" s="465"/>
      <c r="K64" s="465" t="s">
        <v>421</v>
      </c>
      <c r="L64" s="465"/>
      <c r="M64" s="54" t="s">
        <v>422</v>
      </c>
      <c r="N64" s="465">
        <v>4</v>
      </c>
      <c r="O64" s="465"/>
      <c r="P64" s="466">
        <v>100</v>
      </c>
      <c r="Q64" s="466"/>
      <c r="R64" s="445" t="s">
        <v>423</v>
      </c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418</v>
      </c>
      <c r="D65" s="183"/>
      <c r="E65" s="181" t="s">
        <v>424</v>
      </c>
      <c r="F65" s="464" t="s">
        <v>425</v>
      </c>
      <c r="G65" s="465"/>
      <c r="H65" s="465"/>
      <c r="I65" s="465"/>
      <c r="J65" s="465"/>
      <c r="K65" s="465">
        <v>8301</v>
      </c>
      <c r="L65" s="465"/>
      <c r="M65" s="54" t="s">
        <v>426</v>
      </c>
      <c r="N65" s="465">
        <v>10</v>
      </c>
      <c r="O65" s="465"/>
      <c r="P65" s="466"/>
      <c r="Q65" s="466"/>
      <c r="R65" s="445" t="s">
        <v>427</v>
      </c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 t="s">
        <v>403</v>
      </c>
      <c r="D66" s="183"/>
      <c r="E66" s="181" t="s">
        <v>424</v>
      </c>
      <c r="F66" s="464" t="s">
        <v>428</v>
      </c>
      <c r="G66" s="465"/>
      <c r="H66" s="465"/>
      <c r="I66" s="465"/>
      <c r="J66" s="465"/>
      <c r="K66" s="465">
        <v>8301</v>
      </c>
      <c r="L66" s="465"/>
      <c r="M66" s="54" t="s">
        <v>429</v>
      </c>
      <c r="N66" s="465">
        <v>10</v>
      </c>
      <c r="O66" s="465"/>
      <c r="P66" s="466">
        <v>50</v>
      </c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183"/>
      <c r="E67" s="181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183"/>
      <c r="E68" s="181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183"/>
      <c r="E69" s="181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183"/>
      <c r="E70" s="181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483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182" t="s">
        <v>2</v>
      </c>
      <c r="D72" s="182" t="s">
        <v>37</v>
      </c>
      <c r="E72" s="182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184" t="s">
        <v>114</v>
      </c>
      <c r="D73" s="184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183" t="s">
        <v>114</v>
      </c>
      <c r="D74" s="183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183"/>
      <c r="D75" s="183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183"/>
      <c r="D76" s="183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183"/>
      <c r="D77" s="183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183"/>
      <c r="D78" s="183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183"/>
      <c r="D79" s="183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183"/>
      <c r="D80" s="183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183"/>
      <c r="D81" s="183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484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10" sqref="A10:XFD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430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96" t="s">
        <v>17</v>
      </c>
      <c r="L5" s="196" t="s">
        <v>18</v>
      </c>
      <c r="M5" s="196" t="s">
        <v>19</v>
      </c>
      <c r="N5" s="19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262</v>
      </c>
      <c r="D6" s="55" t="s">
        <v>263</v>
      </c>
      <c r="E6" s="57" t="s">
        <v>264</v>
      </c>
      <c r="F6" s="33" t="s">
        <v>161</v>
      </c>
      <c r="G6" s="36">
        <v>1</v>
      </c>
      <c r="H6" s="38">
        <v>25</v>
      </c>
      <c r="I6" s="7">
        <v>10000</v>
      </c>
      <c r="J6" s="5">
        <v>5782</v>
      </c>
      <c r="K6" s="15">
        <f>L6+3616+5132+5248</f>
        <v>19778</v>
      </c>
      <c r="L6" s="15">
        <f>3175+2607</f>
        <v>5782</v>
      </c>
      <c r="M6" s="16">
        <f t="shared" ref="M6:M21" si="0">L6-N6</f>
        <v>5782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1</v>
      </c>
      <c r="AD6" s="10">
        <f t="shared" ref="AD6:AD21" si="6">AC6*AB6*(1-O6)</f>
        <v>1</v>
      </c>
      <c r="AE6" s="39">
        <f t="shared" ref="AE6:AE21" si="7">$AD$22</f>
        <v>0.52214395061728391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375</v>
      </c>
      <c r="D7" s="55" t="s">
        <v>376</v>
      </c>
      <c r="E7" s="57" t="s">
        <v>377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L7+2882</f>
        <v>2882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0.52214395061728391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379</v>
      </c>
      <c r="D8" s="55" t="s">
        <v>380</v>
      </c>
      <c r="E8" s="57" t="s">
        <v>381</v>
      </c>
      <c r="F8" s="33" t="s">
        <v>382</v>
      </c>
      <c r="G8" s="12">
        <v>2</v>
      </c>
      <c r="H8" s="13">
        <v>25</v>
      </c>
      <c r="I8" s="34">
        <v>20000</v>
      </c>
      <c r="J8" s="5">
        <v>11300</v>
      </c>
      <c r="K8" s="15">
        <f>L8+9786</f>
        <v>21086</v>
      </c>
      <c r="L8" s="15">
        <f>2866*2+2784*2</f>
        <v>11300</v>
      </c>
      <c r="M8" s="16">
        <f t="shared" si="0"/>
        <v>11300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0.52214395061728391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2017</v>
      </c>
      <c r="K9" s="15">
        <f>L9</f>
        <v>2017</v>
      </c>
      <c r="L9" s="15">
        <f>2017</f>
        <v>2017</v>
      </c>
      <c r="M9" s="16">
        <f t="shared" si="0"/>
        <v>2017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>
        <v>12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0.5</v>
      </c>
      <c r="AD9" s="10">
        <f t="shared" si="6"/>
        <v>0.5</v>
      </c>
      <c r="AE9" s="39">
        <f t="shared" si="7"/>
        <v>0.52214395061728391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16040</v>
      </c>
      <c r="K10" s="15">
        <f>L10+24784+20920+19906+984+7100+9328+16238+16036</f>
        <v>115296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0.52214395061728391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247</v>
      </c>
      <c r="D11" s="55" t="s">
        <v>273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4086</v>
      </c>
      <c r="K11" s="15">
        <f>L11+4928+5337+3014</f>
        <v>17365</v>
      </c>
      <c r="L11" s="15">
        <f>2723+1363</f>
        <v>4086</v>
      </c>
      <c r="M11" s="16">
        <f t="shared" si="0"/>
        <v>4086</v>
      </c>
      <c r="N11" s="16">
        <v>0</v>
      </c>
      <c r="O11" s="62">
        <f t="shared" si="1"/>
        <v>0</v>
      </c>
      <c r="P11" s="42">
        <f t="shared" si="2"/>
        <v>20</v>
      </c>
      <c r="Q11" s="43">
        <f t="shared" si="3"/>
        <v>4</v>
      </c>
      <c r="R11" s="7"/>
      <c r="S11" s="6">
        <v>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0.83333333333333337</v>
      </c>
      <c r="AD11" s="10">
        <f t="shared" si="6"/>
        <v>0.83333333333333337</v>
      </c>
      <c r="AE11" s="39">
        <f t="shared" si="7"/>
        <v>0.52214395061728391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1265</v>
      </c>
      <c r="K12" s="15">
        <f>L12</f>
        <v>1265</v>
      </c>
      <c r="L12" s="15">
        <v>1265</v>
      </c>
      <c r="M12" s="16">
        <f t="shared" si="0"/>
        <v>1265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>
        <v>18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0.25</v>
      </c>
      <c r="AD12" s="10">
        <f t="shared" si="6"/>
        <v>0.25</v>
      </c>
      <c r="AE12" s="39">
        <f t="shared" si="7"/>
        <v>0.52214395061728391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379</v>
      </c>
      <c r="D13" s="55" t="s">
        <v>125</v>
      </c>
      <c r="E13" s="57" t="s">
        <v>383</v>
      </c>
      <c r="F13" s="12" t="s">
        <v>277</v>
      </c>
      <c r="G13" s="12">
        <v>1</v>
      </c>
      <c r="H13" s="13">
        <v>25</v>
      </c>
      <c r="I13" s="7">
        <v>30000</v>
      </c>
      <c r="J13" s="14">
        <v>10768</v>
      </c>
      <c r="K13" s="15">
        <f>L13+9862</f>
        <v>20630</v>
      </c>
      <c r="L13" s="15">
        <f>2685*2+2699*2</f>
        <v>10768</v>
      </c>
      <c r="M13" s="16">
        <f t="shared" si="0"/>
        <v>10768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0.52214395061728391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341</v>
      </c>
      <c r="G14" s="36">
        <v>1</v>
      </c>
      <c r="H14" s="38">
        <v>25</v>
      </c>
      <c r="I14" s="7">
        <v>2600</v>
      </c>
      <c r="J14" s="5">
        <v>779</v>
      </c>
      <c r="K14" s="15">
        <f>L14+362+578</f>
        <v>1719</v>
      </c>
      <c r="L14" s="15">
        <f>779</f>
        <v>779</v>
      </c>
      <c r="M14" s="16">
        <f t="shared" si="0"/>
        <v>779</v>
      </c>
      <c r="N14" s="16">
        <v>0</v>
      </c>
      <c r="O14" s="62">
        <f t="shared" si="1"/>
        <v>0</v>
      </c>
      <c r="P14" s="42">
        <f t="shared" si="2"/>
        <v>10</v>
      </c>
      <c r="Q14" s="43">
        <f t="shared" si="3"/>
        <v>14</v>
      </c>
      <c r="R14" s="7"/>
      <c r="S14" s="6"/>
      <c r="T14" s="17"/>
      <c r="U14" s="17"/>
      <c r="V14" s="18">
        <v>14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0.41666666666666669</v>
      </c>
      <c r="AD14" s="10">
        <f t="shared" si="6"/>
        <v>0.41666666666666669</v>
      </c>
      <c r="AE14" s="39">
        <f t="shared" si="7"/>
        <v>0.52214395061728391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431</v>
      </c>
      <c r="D15" s="55" t="s">
        <v>438</v>
      </c>
      <c r="E15" s="57" t="s">
        <v>437</v>
      </c>
      <c r="F15" s="12">
        <v>8301</v>
      </c>
      <c r="G15" s="12" t="s">
        <v>439</v>
      </c>
      <c r="H15" s="13">
        <v>24</v>
      </c>
      <c r="I15" s="34">
        <v>500</v>
      </c>
      <c r="J15" s="14">
        <v>867</v>
      </c>
      <c r="K15" s="15">
        <f>L15</f>
        <v>867</v>
      </c>
      <c r="L15" s="15">
        <v>867</v>
      </c>
      <c r="M15" s="16">
        <f t="shared" si="0"/>
        <v>867</v>
      </c>
      <c r="N15" s="16">
        <v>0</v>
      </c>
      <c r="O15" s="62">
        <f t="shared" si="1"/>
        <v>0</v>
      </c>
      <c r="P15" s="42">
        <f t="shared" si="2"/>
        <v>5</v>
      </c>
      <c r="Q15" s="43">
        <f t="shared" si="3"/>
        <v>19</v>
      </c>
      <c r="R15" s="7"/>
      <c r="S15" s="6"/>
      <c r="T15" s="17"/>
      <c r="U15" s="17"/>
      <c r="V15" s="18"/>
      <c r="W15" s="19">
        <v>19</v>
      </c>
      <c r="X15" s="17"/>
      <c r="Y15" s="20"/>
      <c r="Z15" s="20"/>
      <c r="AA15" s="21"/>
      <c r="AB15" s="8">
        <f t="shared" si="4"/>
        <v>1</v>
      </c>
      <c r="AC15" s="9">
        <f t="shared" si="5"/>
        <v>0.20833333333333334</v>
      </c>
      <c r="AD15" s="10">
        <f t="shared" si="6"/>
        <v>0.20833333333333334</v>
      </c>
      <c r="AE15" s="39">
        <f t="shared" si="7"/>
        <v>0.52214395061728391</v>
      </c>
      <c r="AF15" s="94">
        <f t="shared" si="8"/>
        <v>10</v>
      </c>
    </row>
    <row r="16" spans="1:32" ht="27" customHeight="1">
      <c r="A16" s="109">
        <v>10</v>
      </c>
      <c r="B16" s="11" t="s">
        <v>57</v>
      </c>
      <c r="C16" s="11" t="s">
        <v>431</v>
      </c>
      <c r="D16" s="55" t="s">
        <v>438</v>
      </c>
      <c r="E16" s="57" t="s">
        <v>440</v>
      </c>
      <c r="F16" s="12">
        <v>8301</v>
      </c>
      <c r="G16" s="12" t="s">
        <v>439</v>
      </c>
      <c r="H16" s="13">
        <v>24</v>
      </c>
      <c r="I16" s="34">
        <v>500</v>
      </c>
      <c r="J16" s="14">
        <v>1260</v>
      </c>
      <c r="K16" s="15">
        <f>L16</f>
        <v>1260</v>
      </c>
      <c r="L16" s="15">
        <f>600+660</f>
        <v>1260</v>
      </c>
      <c r="M16" s="16">
        <f t="shared" ref="M16" si="9">L16-N16</f>
        <v>1260</v>
      </c>
      <c r="N16" s="16">
        <v>0</v>
      </c>
      <c r="O16" s="62">
        <f t="shared" ref="O16" si="10">IF(L16=0,"0",N16/L16)</f>
        <v>0</v>
      </c>
      <c r="P16" s="42">
        <f t="shared" ref="P16" si="11">IF(L16=0,"0",(24-Q16))</f>
        <v>8</v>
      </c>
      <c r="Q16" s="43">
        <f t="shared" ref="Q16" si="12">SUM(R16:AA16)</f>
        <v>16</v>
      </c>
      <c r="R16" s="7"/>
      <c r="S16" s="6"/>
      <c r="T16" s="17"/>
      <c r="U16" s="17"/>
      <c r="V16" s="18"/>
      <c r="W16" s="19">
        <v>16</v>
      </c>
      <c r="X16" s="17"/>
      <c r="Y16" s="20"/>
      <c r="Z16" s="20"/>
      <c r="AA16" s="21"/>
      <c r="AB16" s="8">
        <f t="shared" ref="AB16" si="13">IF(J16=0,"0",(L16/J16))</f>
        <v>1</v>
      </c>
      <c r="AC16" s="9">
        <f t="shared" ref="AC16" si="14">IF(P16=0,"0",(P16/24))</f>
        <v>0.33333333333333331</v>
      </c>
      <c r="AD16" s="10">
        <f t="shared" ref="AD16" si="15">AC16*AB16*(1-O16)</f>
        <v>0.33333333333333331</v>
      </c>
      <c r="AE16" s="39">
        <f t="shared" si="7"/>
        <v>0.52214395061728391</v>
      </c>
      <c r="AF16" s="94">
        <f t="shared" ref="AF16" si="16">A16</f>
        <v>10</v>
      </c>
    </row>
    <row r="17" spans="1:36" ht="27.75" customHeight="1">
      <c r="A17" s="109">
        <v>11</v>
      </c>
      <c r="B17" s="11" t="s">
        <v>57</v>
      </c>
      <c r="C17" s="11" t="s">
        <v>247</v>
      </c>
      <c r="D17" s="55" t="s">
        <v>344</v>
      </c>
      <c r="E17" s="56" t="s">
        <v>384</v>
      </c>
      <c r="F17" s="12" t="s">
        <v>346</v>
      </c>
      <c r="G17" s="36">
        <v>2</v>
      </c>
      <c r="H17" s="38">
        <v>25</v>
      </c>
      <c r="I17" s="7">
        <v>20000</v>
      </c>
      <c r="J17" s="14">
        <v>11250</v>
      </c>
      <c r="K17" s="15">
        <f>L17+5868+11260</f>
        <v>28370</v>
      </c>
      <c r="L17" s="15">
        <f>2820*2+2801*2</f>
        <v>11242</v>
      </c>
      <c r="M17" s="16">
        <f t="shared" si="0"/>
        <v>11242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0.99928888888888889</v>
      </c>
      <c r="AC17" s="9">
        <f t="shared" si="5"/>
        <v>1</v>
      </c>
      <c r="AD17" s="10">
        <f t="shared" si="6"/>
        <v>0.99928888888888889</v>
      </c>
      <c r="AE17" s="39">
        <f t="shared" si="7"/>
        <v>0.52214395061728391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441</v>
      </c>
      <c r="D18" s="55" t="s">
        <v>442</v>
      </c>
      <c r="E18" s="57" t="s">
        <v>443</v>
      </c>
      <c r="F18" s="12">
        <v>8301</v>
      </c>
      <c r="G18" s="12">
        <v>1</v>
      </c>
      <c r="H18" s="13">
        <v>25</v>
      </c>
      <c r="I18" s="34">
        <v>2000</v>
      </c>
      <c r="J18" s="5">
        <v>2520</v>
      </c>
      <c r="K18" s="15">
        <f>L18</f>
        <v>2518</v>
      </c>
      <c r="L18" s="15">
        <v>2518</v>
      </c>
      <c r="M18" s="16">
        <f t="shared" si="0"/>
        <v>2518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/>
      <c r="T18" s="17"/>
      <c r="U18" s="17"/>
      <c r="V18" s="18"/>
      <c r="W18" s="19">
        <v>10</v>
      </c>
      <c r="X18" s="17"/>
      <c r="Y18" s="20"/>
      <c r="Z18" s="20"/>
      <c r="AA18" s="21"/>
      <c r="AB18" s="8">
        <f t="shared" si="4"/>
        <v>0.99920634920634921</v>
      </c>
      <c r="AC18" s="9">
        <f t="shared" si="5"/>
        <v>0.58333333333333337</v>
      </c>
      <c r="AD18" s="10">
        <f t="shared" si="6"/>
        <v>0.58287037037037037</v>
      </c>
      <c r="AE18" s="39">
        <f t="shared" si="7"/>
        <v>0.52214395061728391</v>
      </c>
      <c r="AF18" s="94">
        <f t="shared" ref="AF18:AF19" si="17">A18</f>
        <v>12</v>
      </c>
    </row>
    <row r="19" spans="1:36" ht="27" customHeight="1">
      <c r="A19" s="110">
        <v>13</v>
      </c>
      <c r="B19" s="11" t="s">
        <v>57</v>
      </c>
      <c r="C19" s="37" t="s">
        <v>114</v>
      </c>
      <c r="D19" s="55" t="s">
        <v>331</v>
      </c>
      <c r="E19" s="57" t="s">
        <v>347</v>
      </c>
      <c r="F19" s="33" t="s">
        <v>348</v>
      </c>
      <c r="G19" s="36">
        <v>1</v>
      </c>
      <c r="H19" s="38">
        <v>25</v>
      </c>
      <c r="I19" s="7">
        <v>30000</v>
      </c>
      <c r="J19" s="5">
        <v>2994</v>
      </c>
      <c r="K19" s="15">
        <f>L19+4325+5084</f>
        <v>12403</v>
      </c>
      <c r="L19" s="15">
        <f>885+2109</f>
        <v>2994</v>
      </c>
      <c r="M19" s="16">
        <f t="shared" si="0"/>
        <v>2994</v>
      </c>
      <c r="N19" s="16">
        <v>0</v>
      </c>
      <c r="O19" s="62">
        <f t="shared" si="1"/>
        <v>0</v>
      </c>
      <c r="P19" s="42">
        <f t="shared" si="2"/>
        <v>17</v>
      </c>
      <c r="Q19" s="43">
        <f t="shared" si="3"/>
        <v>7</v>
      </c>
      <c r="R19" s="7"/>
      <c r="S19" s="6">
        <v>7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9">
        <f t="shared" si="7"/>
        <v>0.52214395061728391</v>
      </c>
      <c r="AF19" s="94">
        <f t="shared" si="17"/>
        <v>13</v>
      </c>
    </row>
    <row r="20" spans="1:36" ht="27" customHeight="1">
      <c r="A20" s="110">
        <v>14</v>
      </c>
      <c r="B20" s="11" t="s">
        <v>57</v>
      </c>
      <c r="C20" s="11" t="s">
        <v>129</v>
      </c>
      <c r="D20" s="55" t="s">
        <v>133</v>
      </c>
      <c r="E20" s="57" t="s">
        <v>132</v>
      </c>
      <c r="F20" s="12" t="s">
        <v>127</v>
      </c>
      <c r="G20" s="12" t="s">
        <v>134</v>
      </c>
      <c r="H20" s="13">
        <v>25</v>
      </c>
      <c r="I20" s="7">
        <v>130000</v>
      </c>
      <c r="J20" s="14">
        <v>4350</v>
      </c>
      <c r="K20" s="15">
        <f>L20+3258+4398+5144+3460+6323+4564+5384+7161+2960+2789+7049+2970+3630+7299+2728+7313+2343+2949+7245+6653+3346+1425+4904+7358+4346</f>
        <v>116999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0.52214395061728391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123</v>
      </c>
      <c r="D21" s="55"/>
      <c r="E21" s="56" t="s">
        <v>138</v>
      </c>
      <c r="F21" s="12" t="s">
        <v>124</v>
      </c>
      <c r="G21" s="12">
        <v>4</v>
      </c>
      <c r="H21" s="38">
        <v>20</v>
      </c>
      <c r="I21" s="7">
        <v>800000</v>
      </c>
      <c r="J21" s="14">
        <v>10000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0.52214395061728391</v>
      </c>
      <c r="AF21" s="94">
        <f t="shared" si="8"/>
        <v>15</v>
      </c>
    </row>
    <row r="22" spans="1:36" ht="31.5" customHeight="1" thickBot="1">
      <c r="A22" s="416" t="s">
        <v>34</v>
      </c>
      <c r="B22" s="417"/>
      <c r="C22" s="417"/>
      <c r="D22" s="417"/>
      <c r="E22" s="417"/>
      <c r="F22" s="417"/>
      <c r="G22" s="417"/>
      <c r="H22" s="418"/>
      <c r="I22" s="25">
        <f t="shared" ref="I22:N22" si="18">SUM(I6:I21)</f>
        <v>1293600</v>
      </c>
      <c r="J22" s="22">
        <f t="shared" si="18"/>
        <v>88168</v>
      </c>
      <c r="K22" s="23">
        <f t="shared" si="18"/>
        <v>576083</v>
      </c>
      <c r="L22" s="24">
        <f t="shared" si="18"/>
        <v>54878</v>
      </c>
      <c r="M22" s="23">
        <f t="shared" si="18"/>
        <v>54878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188</v>
      </c>
      <c r="Q22" s="46">
        <f t="shared" si="19"/>
        <v>196</v>
      </c>
      <c r="R22" s="26">
        <f t="shared" si="19"/>
        <v>0</v>
      </c>
      <c r="S22" s="27">
        <f t="shared" si="19"/>
        <v>77</v>
      </c>
      <c r="T22" s="27">
        <f t="shared" si="19"/>
        <v>12</v>
      </c>
      <c r="U22" s="27">
        <f t="shared" si="19"/>
        <v>0</v>
      </c>
      <c r="V22" s="28">
        <f t="shared" si="19"/>
        <v>14</v>
      </c>
      <c r="W22" s="29">
        <f t="shared" si="19"/>
        <v>93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0.79989968253968258</v>
      </c>
      <c r="AC22" s="4">
        <f>SUM(AC6:AC21)/15</f>
        <v>0.52222222222222225</v>
      </c>
      <c r="AD22" s="4">
        <f>SUM(AD6:AD21)/15</f>
        <v>0.52214395061728391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9" t="s">
        <v>45</v>
      </c>
      <c r="B49" s="419"/>
      <c r="C49" s="419"/>
      <c r="D49" s="419"/>
      <c r="E49" s="41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20" t="s">
        <v>444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2"/>
      <c r="N50" s="423" t="s">
        <v>460</v>
      </c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5"/>
    </row>
    <row r="51" spans="1:32" ht="27" customHeight="1">
      <c r="A51" s="426" t="s">
        <v>2</v>
      </c>
      <c r="B51" s="427"/>
      <c r="C51" s="195" t="s">
        <v>46</v>
      </c>
      <c r="D51" s="195" t="s">
        <v>47</v>
      </c>
      <c r="E51" s="195" t="s">
        <v>108</v>
      </c>
      <c r="F51" s="427" t="s">
        <v>107</v>
      </c>
      <c r="G51" s="427"/>
      <c r="H51" s="427"/>
      <c r="I51" s="427"/>
      <c r="J51" s="427"/>
      <c r="K51" s="427"/>
      <c r="L51" s="427"/>
      <c r="M51" s="428"/>
      <c r="N51" s="73" t="s">
        <v>112</v>
      </c>
      <c r="O51" s="195" t="s">
        <v>46</v>
      </c>
      <c r="P51" s="429" t="s">
        <v>47</v>
      </c>
      <c r="Q51" s="430"/>
      <c r="R51" s="429" t="s">
        <v>38</v>
      </c>
      <c r="S51" s="431"/>
      <c r="T51" s="431"/>
      <c r="U51" s="430"/>
      <c r="V51" s="429" t="s">
        <v>48</v>
      </c>
      <c r="W51" s="431"/>
      <c r="X51" s="431"/>
      <c r="Y51" s="431"/>
      <c r="Z51" s="431"/>
      <c r="AA51" s="431"/>
      <c r="AB51" s="431"/>
      <c r="AC51" s="431"/>
      <c r="AD51" s="432"/>
    </row>
    <row r="52" spans="1:32" ht="27" customHeight="1">
      <c r="A52" s="443" t="s">
        <v>445</v>
      </c>
      <c r="B52" s="444"/>
      <c r="C52" s="194" t="s">
        <v>446</v>
      </c>
      <c r="D52" s="191"/>
      <c r="E52" s="194" t="s">
        <v>432</v>
      </c>
      <c r="F52" s="445" t="s">
        <v>137</v>
      </c>
      <c r="G52" s="445"/>
      <c r="H52" s="445"/>
      <c r="I52" s="445"/>
      <c r="J52" s="445"/>
      <c r="K52" s="445"/>
      <c r="L52" s="445"/>
      <c r="M52" s="446"/>
      <c r="N52" s="190" t="s">
        <v>431</v>
      </c>
      <c r="O52" s="74" t="s">
        <v>447</v>
      </c>
      <c r="P52" s="447" t="s">
        <v>438</v>
      </c>
      <c r="Q52" s="447"/>
      <c r="R52" s="447" t="s">
        <v>461</v>
      </c>
      <c r="S52" s="447"/>
      <c r="T52" s="447"/>
      <c r="U52" s="447"/>
      <c r="V52" s="445" t="s">
        <v>137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445</v>
      </c>
      <c r="B53" s="444"/>
      <c r="C53" s="194" t="s">
        <v>447</v>
      </c>
      <c r="D53" s="191" t="s">
        <v>448</v>
      </c>
      <c r="E53" s="194" t="s">
        <v>437</v>
      </c>
      <c r="F53" s="445" t="s">
        <v>137</v>
      </c>
      <c r="G53" s="445"/>
      <c r="H53" s="445"/>
      <c r="I53" s="445"/>
      <c r="J53" s="445"/>
      <c r="K53" s="445"/>
      <c r="L53" s="445"/>
      <c r="M53" s="446"/>
      <c r="N53" s="190" t="s">
        <v>462</v>
      </c>
      <c r="O53" s="74" t="s">
        <v>463</v>
      </c>
      <c r="P53" s="448" t="s">
        <v>464</v>
      </c>
      <c r="Q53" s="449"/>
      <c r="R53" s="447" t="s">
        <v>465</v>
      </c>
      <c r="S53" s="447"/>
      <c r="T53" s="447"/>
      <c r="U53" s="447"/>
      <c r="V53" s="445" t="s">
        <v>137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445</v>
      </c>
      <c r="B54" s="444"/>
      <c r="C54" s="194" t="s">
        <v>447</v>
      </c>
      <c r="D54" s="191" t="s">
        <v>448</v>
      </c>
      <c r="E54" s="194" t="s">
        <v>449</v>
      </c>
      <c r="F54" s="445" t="s">
        <v>137</v>
      </c>
      <c r="G54" s="445"/>
      <c r="H54" s="445"/>
      <c r="I54" s="445"/>
      <c r="J54" s="445"/>
      <c r="K54" s="445"/>
      <c r="L54" s="445"/>
      <c r="M54" s="446"/>
      <c r="N54" s="190" t="s">
        <v>467</v>
      </c>
      <c r="O54" s="74" t="s">
        <v>468</v>
      </c>
      <c r="P54" s="447" t="s">
        <v>469</v>
      </c>
      <c r="Q54" s="447"/>
      <c r="R54" s="447" t="s">
        <v>466</v>
      </c>
      <c r="S54" s="447"/>
      <c r="T54" s="447"/>
      <c r="U54" s="447"/>
      <c r="V54" s="445" t="s">
        <v>137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43" t="s">
        <v>114</v>
      </c>
      <c r="B55" s="444"/>
      <c r="C55" s="194" t="s">
        <v>195</v>
      </c>
      <c r="D55" s="191" t="s">
        <v>350</v>
      </c>
      <c r="E55" s="194" t="s">
        <v>340</v>
      </c>
      <c r="F55" s="445" t="s">
        <v>450</v>
      </c>
      <c r="G55" s="445"/>
      <c r="H55" s="445"/>
      <c r="I55" s="445"/>
      <c r="J55" s="445"/>
      <c r="K55" s="445"/>
      <c r="L55" s="445"/>
      <c r="M55" s="446"/>
      <c r="N55" s="190" t="s">
        <v>462</v>
      </c>
      <c r="O55" s="74" t="s">
        <v>452</v>
      </c>
      <c r="P55" s="447" t="s">
        <v>453</v>
      </c>
      <c r="Q55" s="447"/>
      <c r="R55" s="447" t="s">
        <v>470</v>
      </c>
      <c r="S55" s="447"/>
      <c r="T55" s="447"/>
      <c r="U55" s="447"/>
      <c r="V55" s="445" t="s">
        <v>450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59" t="s">
        <v>451</v>
      </c>
      <c r="B56" s="447"/>
      <c r="C56" s="191" t="s">
        <v>452</v>
      </c>
      <c r="D56" s="191" t="s">
        <v>453</v>
      </c>
      <c r="E56" s="191" t="s">
        <v>454</v>
      </c>
      <c r="F56" s="445" t="s">
        <v>455</v>
      </c>
      <c r="G56" s="445"/>
      <c r="H56" s="445"/>
      <c r="I56" s="445"/>
      <c r="J56" s="445"/>
      <c r="K56" s="445"/>
      <c r="L56" s="445"/>
      <c r="M56" s="446"/>
      <c r="N56" s="190" t="s">
        <v>472</v>
      </c>
      <c r="O56" s="74" t="s">
        <v>473</v>
      </c>
      <c r="P56" s="447" t="s">
        <v>474</v>
      </c>
      <c r="Q56" s="447"/>
      <c r="R56" s="447" t="s">
        <v>471</v>
      </c>
      <c r="S56" s="447"/>
      <c r="T56" s="447"/>
      <c r="U56" s="447"/>
      <c r="V56" s="445" t="s">
        <v>137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 t="s">
        <v>379</v>
      </c>
      <c r="B57" s="444"/>
      <c r="C57" s="194" t="s">
        <v>399</v>
      </c>
      <c r="D57" s="191" t="s">
        <v>400</v>
      </c>
      <c r="E57" s="194" t="s">
        <v>398</v>
      </c>
      <c r="F57" s="445" t="s">
        <v>456</v>
      </c>
      <c r="G57" s="445"/>
      <c r="H57" s="445"/>
      <c r="I57" s="445"/>
      <c r="J57" s="445"/>
      <c r="K57" s="445"/>
      <c r="L57" s="445"/>
      <c r="M57" s="446"/>
      <c r="N57" s="190"/>
      <c r="O57" s="74"/>
      <c r="P57" s="447"/>
      <c r="Q57" s="447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 t="s">
        <v>114</v>
      </c>
      <c r="B58" s="444"/>
      <c r="C58" s="194" t="s">
        <v>457</v>
      </c>
      <c r="D58" s="191" t="s">
        <v>458</v>
      </c>
      <c r="E58" s="194" t="s">
        <v>459</v>
      </c>
      <c r="F58" s="445" t="s">
        <v>137</v>
      </c>
      <c r="G58" s="445"/>
      <c r="H58" s="445"/>
      <c r="I58" s="445"/>
      <c r="J58" s="445"/>
      <c r="K58" s="445"/>
      <c r="L58" s="445"/>
      <c r="M58" s="446"/>
      <c r="N58" s="190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43"/>
      <c r="B59" s="444"/>
      <c r="C59" s="194"/>
      <c r="D59" s="191"/>
      <c r="E59" s="194"/>
      <c r="F59" s="445"/>
      <c r="G59" s="445"/>
      <c r="H59" s="445"/>
      <c r="I59" s="445"/>
      <c r="J59" s="445"/>
      <c r="K59" s="445"/>
      <c r="L59" s="445"/>
      <c r="M59" s="446"/>
      <c r="N59" s="190"/>
      <c r="O59" s="74"/>
      <c r="P59" s="448"/>
      <c r="Q59" s="449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</row>
    <row r="60" spans="1:32" ht="27" customHeight="1">
      <c r="A60" s="459"/>
      <c r="B60" s="447"/>
      <c r="C60" s="191"/>
      <c r="D60" s="191"/>
      <c r="E60" s="191"/>
      <c r="F60" s="445"/>
      <c r="G60" s="445"/>
      <c r="H60" s="445"/>
      <c r="I60" s="445"/>
      <c r="J60" s="445"/>
      <c r="K60" s="445"/>
      <c r="L60" s="445"/>
      <c r="M60" s="446"/>
      <c r="N60" s="190"/>
      <c r="O60" s="74"/>
      <c r="P60" s="447"/>
      <c r="Q60" s="447"/>
      <c r="R60" s="447"/>
      <c r="S60" s="447"/>
      <c r="T60" s="447"/>
      <c r="U60" s="447"/>
      <c r="V60" s="445"/>
      <c r="W60" s="445"/>
      <c r="X60" s="445"/>
      <c r="Y60" s="445"/>
      <c r="Z60" s="445"/>
      <c r="AA60" s="445"/>
      <c r="AB60" s="445"/>
      <c r="AC60" s="445"/>
      <c r="AD60" s="446"/>
      <c r="AF60" s="94">
        <f>8*3000</f>
        <v>24000</v>
      </c>
    </row>
    <row r="61" spans="1:32" ht="27" customHeight="1" thickBot="1">
      <c r="A61" s="450"/>
      <c r="B61" s="451"/>
      <c r="C61" s="193"/>
      <c r="D61" s="193"/>
      <c r="E61" s="193"/>
      <c r="F61" s="452"/>
      <c r="G61" s="452"/>
      <c r="H61" s="452"/>
      <c r="I61" s="452"/>
      <c r="J61" s="452"/>
      <c r="K61" s="452"/>
      <c r="L61" s="452"/>
      <c r="M61" s="453"/>
      <c r="N61" s="192"/>
      <c r="O61" s="121"/>
      <c r="P61" s="451"/>
      <c r="Q61" s="451"/>
      <c r="R61" s="451"/>
      <c r="S61" s="451"/>
      <c r="T61" s="451"/>
      <c r="U61" s="451"/>
      <c r="V61" s="452"/>
      <c r="W61" s="452"/>
      <c r="X61" s="452"/>
      <c r="Y61" s="452"/>
      <c r="Z61" s="452"/>
      <c r="AA61" s="452"/>
      <c r="AB61" s="452"/>
      <c r="AC61" s="452"/>
      <c r="AD61" s="453"/>
      <c r="AF61" s="94">
        <f>16*3000</f>
        <v>48000</v>
      </c>
    </row>
    <row r="62" spans="1:32" ht="27.75" thickBot="1">
      <c r="A62" s="454" t="s">
        <v>475</v>
      </c>
      <c r="B62" s="454"/>
      <c r="C62" s="454"/>
      <c r="D62" s="454"/>
      <c r="E62" s="45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55" t="s">
        <v>113</v>
      </c>
      <c r="B63" s="456"/>
      <c r="C63" s="189" t="s">
        <v>2</v>
      </c>
      <c r="D63" s="189" t="s">
        <v>37</v>
      </c>
      <c r="E63" s="189" t="s">
        <v>3</v>
      </c>
      <c r="F63" s="456" t="s">
        <v>110</v>
      </c>
      <c r="G63" s="456"/>
      <c r="H63" s="456"/>
      <c r="I63" s="456"/>
      <c r="J63" s="456"/>
      <c r="K63" s="456" t="s">
        <v>39</v>
      </c>
      <c r="L63" s="456"/>
      <c r="M63" s="189" t="s">
        <v>40</v>
      </c>
      <c r="N63" s="456" t="s">
        <v>41</v>
      </c>
      <c r="O63" s="456"/>
      <c r="P63" s="457" t="s">
        <v>42</v>
      </c>
      <c r="Q63" s="458"/>
      <c r="R63" s="457" t="s">
        <v>43</v>
      </c>
      <c r="S63" s="460"/>
      <c r="T63" s="460"/>
      <c r="U63" s="460"/>
      <c r="V63" s="460"/>
      <c r="W63" s="460"/>
      <c r="X63" s="460"/>
      <c r="Y63" s="460"/>
      <c r="Z63" s="460"/>
      <c r="AA63" s="458"/>
      <c r="AB63" s="456" t="s">
        <v>44</v>
      </c>
      <c r="AC63" s="456"/>
      <c r="AD63" s="461"/>
      <c r="AF63" s="94">
        <f>SUM(AF60:AF62)</f>
        <v>96000</v>
      </c>
    </row>
    <row r="64" spans="1:32" ht="25.5" customHeight="1">
      <c r="A64" s="462">
        <v>1</v>
      </c>
      <c r="B64" s="463"/>
      <c r="C64" s="124" t="s">
        <v>441</v>
      </c>
      <c r="D64" s="185"/>
      <c r="E64" s="188" t="s">
        <v>476</v>
      </c>
      <c r="F64" s="464" t="s">
        <v>477</v>
      </c>
      <c r="G64" s="465"/>
      <c r="H64" s="465"/>
      <c r="I64" s="465"/>
      <c r="J64" s="465"/>
      <c r="K64" s="465">
        <v>8301</v>
      </c>
      <c r="L64" s="465"/>
      <c r="M64" s="54" t="s">
        <v>370</v>
      </c>
      <c r="N64" s="465">
        <v>12</v>
      </c>
      <c r="O64" s="465"/>
      <c r="P64" s="466">
        <v>30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2</v>
      </c>
      <c r="B65" s="463"/>
      <c r="C65" s="124" t="s">
        <v>478</v>
      </c>
      <c r="D65" s="185"/>
      <c r="E65" s="188" t="s">
        <v>479</v>
      </c>
      <c r="F65" s="464"/>
      <c r="G65" s="465"/>
      <c r="H65" s="465"/>
      <c r="I65" s="465"/>
      <c r="J65" s="465"/>
      <c r="K65" s="465">
        <v>7301</v>
      </c>
      <c r="L65" s="465"/>
      <c r="M65" s="54" t="s">
        <v>480</v>
      </c>
      <c r="N65" s="465">
        <v>2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3</v>
      </c>
      <c r="B66" s="463"/>
      <c r="C66" s="124"/>
      <c r="D66" s="185"/>
      <c r="E66" s="188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4</v>
      </c>
      <c r="B67" s="463"/>
      <c r="C67" s="124"/>
      <c r="D67" s="185"/>
      <c r="E67" s="188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5</v>
      </c>
      <c r="B68" s="463"/>
      <c r="C68" s="124"/>
      <c r="D68" s="185"/>
      <c r="E68" s="188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6</v>
      </c>
      <c r="B69" s="463"/>
      <c r="C69" s="124"/>
      <c r="D69" s="185"/>
      <c r="E69" s="188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7</v>
      </c>
      <c r="B70" s="463"/>
      <c r="C70" s="124"/>
      <c r="D70" s="185"/>
      <c r="E70" s="188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5.5" customHeight="1">
      <c r="A71" s="462">
        <v>8</v>
      </c>
      <c r="B71" s="463"/>
      <c r="C71" s="124"/>
      <c r="D71" s="185"/>
      <c r="E71" s="188"/>
      <c r="F71" s="464"/>
      <c r="G71" s="465"/>
      <c r="H71" s="465"/>
      <c r="I71" s="465"/>
      <c r="J71" s="465"/>
      <c r="K71" s="465"/>
      <c r="L71" s="465"/>
      <c r="M71" s="54"/>
      <c r="N71" s="465"/>
      <c r="O71" s="465"/>
      <c r="P71" s="466"/>
      <c r="Q71" s="466"/>
      <c r="R71" s="445"/>
      <c r="S71" s="445"/>
      <c r="T71" s="445"/>
      <c r="U71" s="445"/>
      <c r="V71" s="445"/>
      <c r="W71" s="445"/>
      <c r="X71" s="445"/>
      <c r="Y71" s="445"/>
      <c r="Z71" s="445"/>
      <c r="AA71" s="445"/>
      <c r="AB71" s="465"/>
      <c r="AC71" s="465"/>
      <c r="AD71" s="467"/>
      <c r="AF71" s="53"/>
    </row>
    <row r="72" spans="1:32" ht="26.25" customHeight="1" thickBot="1">
      <c r="A72" s="468" t="s">
        <v>481</v>
      </c>
      <c r="B72" s="468"/>
      <c r="C72" s="468"/>
      <c r="D72" s="468"/>
      <c r="E72" s="468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9" t="s">
        <v>113</v>
      </c>
      <c r="B73" s="470"/>
      <c r="C73" s="187" t="s">
        <v>2</v>
      </c>
      <c r="D73" s="187" t="s">
        <v>37</v>
      </c>
      <c r="E73" s="187" t="s">
        <v>3</v>
      </c>
      <c r="F73" s="470" t="s">
        <v>38</v>
      </c>
      <c r="G73" s="470"/>
      <c r="H73" s="470"/>
      <c r="I73" s="470"/>
      <c r="J73" s="470"/>
      <c r="K73" s="471" t="s">
        <v>58</v>
      </c>
      <c r="L73" s="472"/>
      <c r="M73" s="472"/>
      <c r="N73" s="472"/>
      <c r="O73" s="472"/>
      <c r="P73" s="472"/>
      <c r="Q73" s="472"/>
      <c r="R73" s="472"/>
      <c r="S73" s="473"/>
      <c r="T73" s="470" t="s">
        <v>49</v>
      </c>
      <c r="U73" s="470"/>
      <c r="V73" s="471" t="s">
        <v>50</v>
      </c>
      <c r="W73" s="473"/>
      <c r="X73" s="472" t="s">
        <v>51</v>
      </c>
      <c r="Y73" s="472"/>
      <c r="Z73" s="472"/>
      <c r="AA73" s="472"/>
      <c r="AB73" s="472"/>
      <c r="AC73" s="472"/>
      <c r="AD73" s="474"/>
      <c r="AF73" s="53"/>
    </row>
    <row r="74" spans="1:32" ht="33.75" customHeight="1">
      <c r="A74" s="483">
        <v>1</v>
      </c>
      <c r="B74" s="484"/>
      <c r="C74" s="186" t="s">
        <v>114</v>
      </c>
      <c r="D74" s="186"/>
      <c r="E74" s="71" t="s">
        <v>119</v>
      </c>
      <c r="F74" s="485" t="s">
        <v>120</v>
      </c>
      <c r="G74" s="486"/>
      <c r="H74" s="486"/>
      <c r="I74" s="486"/>
      <c r="J74" s="487"/>
      <c r="K74" s="488" t="s">
        <v>115</v>
      </c>
      <c r="L74" s="489"/>
      <c r="M74" s="489"/>
      <c r="N74" s="489"/>
      <c r="O74" s="489"/>
      <c r="P74" s="489"/>
      <c r="Q74" s="489"/>
      <c r="R74" s="489"/>
      <c r="S74" s="490"/>
      <c r="T74" s="491">
        <v>42901</v>
      </c>
      <c r="U74" s="492"/>
      <c r="V74" s="493"/>
      <c r="W74" s="493"/>
      <c r="X74" s="494"/>
      <c r="Y74" s="494"/>
      <c r="Z74" s="494"/>
      <c r="AA74" s="494"/>
      <c r="AB74" s="494"/>
      <c r="AC74" s="494"/>
      <c r="AD74" s="495"/>
      <c r="AF74" s="53"/>
    </row>
    <row r="75" spans="1:32" ht="30" customHeight="1">
      <c r="A75" s="475">
        <f>A74+1</f>
        <v>2</v>
      </c>
      <c r="B75" s="476"/>
      <c r="C75" s="185" t="s">
        <v>114</v>
      </c>
      <c r="D75" s="185"/>
      <c r="E75" s="35" t="s">
        <v>116</v>
      </c>
      <c r="F75" s="476" t="s">
        <v>117</v>
      </c>
      <c r="G75" s="476"/>
      <c r="H75" s="476"/>
      <c r="I75" s="476"/>
      <c r="J75" s="476"/>
      <c r="K75" s="477" t="s">
        <v>118</v>
      </c>
      <c r="L75" s="478"/>
      <c r="M75" s="478"/>
      <c r="N75" s="478"/>
      <c r="O75" s="478"/>
      <c r="P75" s="478"/>
      <c r="Q75" s="478"/>
      <c r="R75" s="478"/>
      <c r="S75" s="479"/>
      <c r="T75" s="480">
        <v>42867</v>
      </c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ref="A76:A82" si="20">A75+1</f>
        <v>3</v>
      </c>
      <c r="B76" s="476"/>
      <c r="C76" s="185"/>
      <c r="D76" s="185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20"/>
        <v>4</v>
      </c>
      <c r="B77" s="476"/>
      <c r="C77" s="185"/>
      <c r="D77" s="185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20"/>
        <v>5</v>
      </c>
      <c r="B78" s="476"/>
      <c r="C78" s="185"/>
      <c r="D78" s="185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20"/>
        <v>6</v>
      </c>
      <c r="B79" s="476"/>
      <c r="C79" s="185"/>
      <c r="D79" s="185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20"/>
        <v>7</v>
      </c>
      <c r="B80" s="476"/>
      <c r="C80" s="185"/>
      <c r="D80" s="185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20"/>
        <v>8</v>
      </c>
      <c r="B81" s="476"/>
      <c r="C81" s="185"/>
      <c r="D81" s="185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0" customHeight="1">
      <c r="A82" s="475">
        <f t="shared" si="20"/>
        <v>9</v>
      </c>
      <c r="B82" s="476"/>
      <c r="C82" s="185"/>
      <c r="D82" s="185"/>
      <c r="E82" s="35"/>
      <c r="F82" s="476"/>
      <c r="G82" s="476"/>
      <c r="H82" s="476"/>
      <c r="I82" s="476"/>
      <c r="J82" s="476"/>
      <c r="K82" s="477"/>
      <c r="L82" s="478"/>
      <c r="M82" s="478"/>
      <c r="N82" s="478"/>
      <c r="O82" s="478"/>
      <c r="P82" s="478"/>
      <c r="Q82" s="478"/>
      <c r="R82" s="478"/>
      <c r="S82" s="479"/>
      <c r="T82" s="480"/>
      <c r="U82" s="480"/>
      <c r="V82" s="480"/>
      <c r="W82" s="480"/>
      <c r="X82" s="481"/>
      <c r="Y82" s="481"/>
      <c r="Z82" s="481"/>
      <c r="AA82" s="481"/>
      <c r="AB82" s="481"/>
      <c r="AC82" s="481"/>
      <c r="AD82" s="482"/>
      <c r="AF82" s="53"/>
    </row>
    <row r="83" spans="1:32" ht="36" thickBot="1">
      <c r="A83" s="468" t="s">
        <v>482</v>
      </c>
      <c r="B83" s="468"/>
      <c r="C83" s="468"/>
      <c r="D83" s="468"/>
      <c r="E83" s="468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9" t="s">
        <v>113</v>
      </c>
      <c r="B84" s="470"/>
      <c r="C84" s="496" t="s">
        <v>52</v>
      </c>
      <c r="D84" s="496"/>
      <c r="E84" s="496" t="s">
        <v>53</v>
      </c>
      <c r="F84" s="496"/>
      <c r="G84" s="496"/>
      <c r="H84" s="496"/>
      <c r="I84" s="496"/>
      <c r="J84" s="496"/>
      <c r="K84" s="496" t="s">
        <v>54</v>
      </c>
      <c r="L84" s="496"/>
      <c r="M84" s="496"/>
      <c r="N84" s="496"/>
      <c r="O84" s="496"/>
      <c r="P84" s="496"/>
      <c r="Q84" s="496"/>
      <c r="R84" s="496"/>
      <c r="S84" s="496"/>
      <c r="T84" s="496" t="s">
        <v>55</v>
      </c>
      <c r="U84" s="496"/>
      <c r="V84" s="496" t="s">
        <v>56</v>
      </c>
      <c r="W84" s="496"/>
      <c r="X84" s="496"/>
      <c r="Y84" s="496" t="s">
        <v>51</v>
      </c>
      <c r="Z84" s="496"/>
      <c r="AA84" s="496"/>
      <c r="AB84" s="496"/>
      <c r="AC84" s="496"/>
      <c r="AD84" s="497"/>
      <c r="AF84" s="53"/>
    </row>
    <row r="85" spans="1:32" ht="30.75" customHeight="1">
      <c r="A85" s="483">
        <v>1</v>
      </c>
      <c r="B85" s="484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9"/>
      <c r="W85" s="499"/>
      <c r="X85" s="499"/>
      <c r="Y85" s="500"/>
      <c r="Z85" s="500"/>
      <c r="AA85" s="500"/>
      <c r="AB85" s="500"/>
      <c r="AC85" s="500"/>
      <c r="AD85" s="501"/>
      <c r="AF85" s="53"/>
    </row>
    <row r="86" spans="1:32" ht="30.75" customHeight="1">
      <c r="A86" s="475">
        <v>2</v>
      </c>
      <c r="B86" s="476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509"/>
      <c r="R86" s="509"/>
      <c r="S86" s="509"/>
      <c r="T86" s="510"/>
      <c r="U86" s="510"/>
      <c r="V86" s="511"/>
      <c r="W86" s="511"/>
      <c r="X86" s="511"/>
      <c r="Y86" s="502"/>
      <c r="Z86" s="502"/>
      <c r="AA86" s="502"/>
      <c r="AB86" s="502"/>
      <c r="AC86" s="502"/>
      <c r="AD86" s="503"/>
      <c r="AF86" s="53"/>
    </row>
    <row r="87" spans="1:32" ht="30.75" customHeight="1" thickBot="1">
      <c r="A87" s="504">
        <v>3</v>
      </c>
      <c r="B87" s="505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7"/>
      <c r="Z87" s="507"/>
      <c r="AA87" s="507"/>
      <c r="AB87" s="507"/>
      <c r="AC87" s="507"/>
      <c r="AD87" s="50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485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</f>
        <v>1076</v>
      </c>
      <c r="L6" s="15">
        <v>1076</v>
      </c>
      <c r="M6" s="16">
        <f t="shared" ref="M6:M21" si="0">L6-N6</f>
        <v>1076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6</v>
      </c>
      <c r="Q6" s="43">
        <f t="shared" ref="Q6:Q21" si="3">SUM(R6:AA6)</f>
        <v>18</v>
      </c>
      <c r="R6" s="7"/>
      <c r="S6" s="6"/>
      <c r="T6" s="17"/>
      <c r="U6" s="17"/>
      <c r="V6" s="18"/>
      <c r="W6" s="19">
        <v>18</v>
      </c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0.25</v>
      </c>
      <c r="AD6" s="10">
        <f t="shared" ref="AD6:AD21" si="6">AC6*AB6*(1-O6)</f>
        <v>0.25</v>
      </c>
      <c r="AE6" s="39">
        <f t="shared" ref="AE6:AE21" si="7">$AD$22</f>
        <v>0.44699954246731688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375</v>
      </c>
      <c r="D7" s="55" t="s">
        <v>376</v>
      </c>
      <c r="E7" s="57" t="s">
        <v>377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L7+2882</f>
        <v>2882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0.44699954246731688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379</v>
      </c>
      <c r="D8" s="55" t="s">
        <v>380</v>
      </c>
      <c r="E8" s="57" t="s">
        <v>381</v>
      </c>
      <c r="F8" s="33" t="s">
        <v>382</v>
      </c>
      <c r="G8" s="12">
        <v>2</v>
      </c>
      <c r="H8" s="13">
        <v>25</v>
      </c>
      <c r="I8" s="34">
        <v>20000</v>
      </c>
      <c r="J8" s="5">
        <v>9140</v>
      </c>
      <c r="K8" s="15">
        <f>L8+9786+11300</f>
        <v>30220</v>
      </c>
      <c r="L8" s="15">
        <f>2385*2+2182*2</f>
        <v>9134</v>
      </c>
      <c r="M8" s="16">
        <f t="shared" si="0"/>
        <v>9134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0.99934354485776811</v>
      </c>
      <c r="AC8" s="9">
        <f t="shared" si="5"/>
        <v>1</v>
      </c>
      <c r="AD8" s="10">
        <f t="shared" si="6"/>
        <v>0.99934354485776811</v>
      </c>
      <c r="AE8" s="39">
        <f t="shared" si="7"/>
        <v>0.44699954246731688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</f>
        <v>3279</v>
      </c>
      <c r="L9" s="15">
        <v>1262</v>
      </c>
      <c r="M9" s="16">
        <f t="shared" si="0"/>
        <v>1262</v>
      </c>
      <c r="N9" s="16">
        <v>0</v>
      </c>
      <c r="O9" s="62">
        <f t="shared" si="1"/>
        <v>0</v>
      </c>
      <c r="P9" s="42">
        <f t="shared" si="2"/>
        <v>7</v>
      </c>
      <c r="Q9" s="43">
        <f t="shared" si="3"/>
        <v>17</v>
      </c>
      <c r="R9" s="7"/>
      <c r="S9" s="6"/>
      <c r="T9" s="17"/>
      <c r="U9" s="17"/>
      <c r="V9" s="18"/>
      <c r="W9" s="19">
        <v>17</v>
      </c>
      <c r="X9" s="17"/>
      <c r="Y9" s="20"/>
      <c r="Z9" s="20"/>
      <c r="AA9" s="21"/>
      <c r="AB9" s="8">
        <f t="shared" si="4"/>
        <v>1</v>
      </c>
      <c r="AC9" s="9">
        <f t="shared" si="5"/>
        <v>0.29166666666666669</v>
      </c>
      <c r="AD9" s="10">
        <f t="shared" si="6"/>
        <v>0.29166666666666669</v>
      </c>
      <c r="AE9" s="39">
        <f t="shared" si="7"/>
        <v>0.44699954246731688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114</v>
      </c>
      <c r="D10" s="55" t="s">
        <v>487</v>
      </c>
      <c r="E10" s="57" t="s">
        <v>488</v>
      </c>
      <c r="F10" s="12" t="s">
        <v>489</v>
      </c>
      <c r="G10" s="12">
        <v>1</v>
      </c>
      <c r="H10" s="13">
        <v>20</v>
      </c>
      <c r="I10" s="34">
        <v>400</v>
      </c>
      <c r="J10" s="14">
        <v>1001</v>
      </c>
      <c r="K10" s="15">
        <f>L10</f>
        <v>1001</v>
      </c>
      <c r="L10" s="15">
        <v>1001</v>
      </c>
      <c r="M10" s="16">
        <f t="shared" si="0"/>
        <v>1001</v>
      </c>
      <c r="N10" s="16">
        <v>0</v>
      </c>
      <c r="O10" s="62">
        <f t="shared" si="1"/>
        <v>0</v>
      </c>
      <c r="P10" s="42">
        <f t="shared" si="2"/>
        <v>7</v>
      </c>
      <c r="Q10" s="43">
        <f t="shared" si="3"/>
        <v>17</v>
      </c>
      <c r="R10" s="7"/>
      <c r="S10" s="6"/>
      <c r="T10" s="17"/>
      <c r="U10" s="17"/>
      <c r="V10" s="18"/>
      <c r="W10" s="19">
        <v>17</v>
      </c>
      <c r="X10" s="17"/>
      <c r="Y10" s="20"/>
      <c r="Z10" s="20"/>
      <c r="AA10" s="21"/>
      <c r="AB10" s="8">
        <f t="shared" si="4"/>
        <v>1</v>
      </c>
      <c r="AC10" s="9">
        <f t="shared" si="5"/>
        <v>0.29166666666666669</v>
      </c>
      <c r="AD10" s="10">
        <f t="shared" si="6"/>
        <v>0.29166666666666669</v>
      </c>
      <c r="AE10" s="39">
        <f t="shared" si="7"/>
        <v>0.44699954246731688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247</v>
      </c>
      <c r="D11" s="55" t="s">
        <v>251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6050</v>
      </c>
      <c r="K11" s="15">
        <f>L11+4928+5337+3014+4086</f>
        <v>23408</v>
      </c>
      <c r="L11" s="15">
        <f>2273+3240+530</f>
        <v>6043</v>
      </c>
      <c r="M11" s="16">
        <f t="shared" si="0"/>
        <v>6043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0.99884297520661158</v>
      </c>
      <c r="AC11" s="9">
        <f t="shared" si="5"/>
        <v>1</v>
      </c>
      <c r="AD11" s="10">
        <f t="shared" si="6"/>
        <v>0.99884297520661158</v>
      </c>
      <c r="AE11" s="39">
        <f t="shared" si="7"/>
        <v>0.44699954246731688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3160</v>
      </c>
      <c r="K12" s="15">
        <f>L12+1265</f>
        <v>4425</v>
      </c>
      <c r="L12" s="15">
        <f>800+2360</f>
        <v>3160</v>
      </c>
      <c r="M12" s="16">
        <f t="shared" si="0"/>
        <v>3160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9">
        <f t="shared" si="7"/>
        <v>0.44699954246731688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379</v>
      </c>
      <c r="D13" s="55" t="s">
        <v>125</v>
      </c>
      <c r="E13" s="57" t="s">
        <v>383</v>
      </c>
      <c r="F13" s="12" t="s">
        <v>127</v>
      </c>
      <c r="G13" s="12">
        <v>1</v>
      </c>
      <c r="H13" s="13">
        <v>25</v>
      </c>
      <c r="I13" s="7">
        <v>30000</v>
      </c>
      <c r="J13" s="14">
        <v>10840</v>
      </c>
      <c r="K13" s="15">
        <f>L13+9862+10768</f>
        <v>31462</v>
      </c>
      <c r="L13" s="15">
        <f>2237*2+3179*2</f>
        <v>10832</v>
      </c>
      <c r="M13" s="16">
        <f t="shared" si="0"/>
        <v>10832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0.99926199261992621</v>
      </c>
      <c r="AC13" s="9">
        <f t="shared" si="5"/>
        <v>1</v>
      </c>
      <c r="AD13" s="10">
        <f t="shared" si="6"/>
        <v>0.99926199261992621</v>
      </c>
      <c r="AE13" s="39">
        <f t="shared" si="7"/>
        <v>0.44699954246731688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341</v>
      </c>
      <c r="G14" s="36">
        <v>1</v>
      </c>
      <c r="H14" s="38">
        <v>25</v>
      </c>
      <c r="I14" s="7">
        <v>2600</v>
      </c>
      <c r="J14" s="5">
        <v>779</v>
      </c>
      <c r="K14" s="15">
        <f>L14+362+578+779</f>
        <v>1719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>
        <v>24</v>
      </c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0.44699954246731688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431</v>
      </c>
      <c r="D15" s="55" t="s">
        <v>438</v>
      </c>
      <c r="E15" s="57" t="s">
        <v>490</v>
      </c>
      <c r="F15" s="12">
        <v>8301</v>
      </c>
      <c r="G15" s="12" t="s">
        <v>439</v>
      </c>
      <c r="H15" s="13">
        <v>24</v>
      </c>
      <c r="I15" s="34">
        <v>500</v>
      </c>
      <c r="J15" s="14">
        <v>590</v>
      </c>
      <c r="K15" s="15">
        <f>L15</f>
        <v>590</v>
      </c>
      <c r="L15" s="15">
        <v>590</v>
      </c>
      <c r="M15" s="16">
        <f t="shared" si="0"/>
        <v>590</v>
      </c>
      <c r="N15" s="16">
        <v>0</v>
      </c>
      <c r="O15" s="62">
        <f t="shared" si="1"/>
        <v>0</v>
      </c>
      <c r="P15" s="42">
        <f t="shared" si="2"/>
        <v>4</v>
      </c>
      <c r="Q15" s="43">
        <f t="shared" si="3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9">
        <f t="shared" si="7"/>
        <v>0.44699954246731688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247</v>
      </c>
      <c r="D16" s="55" t="s">
        <v>491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8030</v>
      </c>
      <c r="K16" s="15">
        <f>L16</f>
        <v>8022</v>
      </c>
      <c r="L16" s="15">
        <f>1213*2+2798*2</f>
        <v>8022</v>
      </c>
      <c r="M16" s="16">
        <f t="shared" si="0"/>
        <v>8022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/>
      <c r="T16" s="17"/>
      <c r="U16" s="17"/>
      <c r="V16" s="18"/>
      <c r="W16" s="19">
        <v>5</v>
      </c>
      <c r="X16" s="17"/>
      <c r="Y16" s="20"/>
      <c r="Z16" s="20"/>
      <c r="AA16" s="21"/>
      <c r="AB16" s="8">
        <f t="shared" si="4"/>
        <v>0.99900373599003733</v>
      </c>
      <c r="AC16" s="9">
        <f t="shared" si="5"/>
        <v>0.79166666666666663</v>
      </c>
      <c r="AD16" s="10">
        <f t="shared" si="6"/>
        <v>0.79087795765877955</v>
      </c>
      <c r="AE16" s="39">
        <f t="shared" si="7"/>
        <v>0.44699954246731688</v>
      </c>
      <c r="AF16" s="94">
        <f t="shared" si="8"/>
        <v>11</v>
      </c>
    </row>
    <row r="17" spans="1:36" ht="27.75" customHeight="1">
      <c r="A17" s="109">
        <v>11</v>
      </c>
      <c r="B17" s="11" t="s">
        <v>57</v>
      </c>
      <c r="C17" s="11" t="s">
        <v>247</v>
      </c>
      <c r="D17" s="55" t="s">
        <v>344</v>
      </c>
      <c r="E17" s="56" t="s">
        <v>384</v>
      </c>
      <c r="F17" s="12" t="s">
        <v>346</v>
      </c>
      <c r="G17" s="36">
        <v>2</v>
      </c>
      <c r="H17" s="38">
        <v>25</v>
      </c>
      <c r="I17" s="7">
        <v>20000</v>
      </c>
      <c r="J17" s="14">
        <v>1720</v>
      </c>
      <c r="K17" s="15">
        <f>L17+5868+11260+11242</f>
        <v>30090</v>
      </c>
      <c r="L17" s="15">
        <f>860*2</f>
        <v>1720</v>
      </c>
      <c r="M17" s="16">
        <f t="shared" si="0"/>
        <v>1720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0.44699954246731688</v>
      </c>
      <c r="AF17" s="94">
        <f>A17</f>
        <v>11</v>
      </c>
      <c r="AJ17" s="15"/>
    </row>
    <row r="18" spans="1:36" ht="27" customHeight="1">
      <c r="A18" s="109">
        <v>12</v>
      </c>
      <c r="B18" s="11" t="s">
        <v>57</v>
      </c>
      <c r="C18" s="37" t="s">
        <v>441</v>
      </c>
      <c r="D18" s="55" t="s">
        <v>442</v>
      </c>
      <c r="E18" s="57" t="s">
        <v>443</v>
      </c>
      <c r="F18" s="12">
        <v>8301</v>
      </c>
      <c r="G18" s="12">
        <v>1</v>
      </c>
      <c r="H18" s="13">
        <v>25</v>
      </c>
      <c r="I18" s="34">
        <v>2000</v>
      </c>
      <c r="J18" s="5">
        <v>2520</v>
      </c>
      <c r="K18" s="15">
        <f>L18+2518</f>
        <v>2518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0.44699954246731688</v>
      </c>
      <c r="AF18" s="94">
        <f t="shared" ref="AF18:AF19" si="9">A18</f>
        <v>12</v>
      </c>
    </row>
    <row r="19" spans="1:36" ht="27" customHeight="1">
      <c r="A19" s="110">
        <v>13</v>
      </c>
      <c r="B19" s="11" t="s">
        <v>57</v>
      </c>
      <c r="C19" s="37" t="s">
        <v>114</v>
      </c>
      <c r="D19" s="55" t="s">
        <v>331</v>
      </c>
      <c r="E19" s="57" t="s">
        <v>347</v>
      </c>
      <c r="F19" s="33" t="s">
        <v>348</v>
      </c>
      <c r="G19" s="36">
        <v>1</v>
      </c>
      <c r="H19" s="38">
        <v>25</v>
      </c>
      <c r="I19" s="7">
        <v>30000</v>
      </c>
      <c r="J19" s="5">
        <v>5501</v>
      </c>
      <c r="K19" s="15">
        <f>L19+4325+5084+2994</f>
        <v>17904</v>
      </c>
      <c r="L19" s="15">
        <f>2059+2968+474</f>
        <v>5501</v>
      </c>
      <c r="M19" s="16">
        <f t="shared" si="0"/>
        <v>5501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1</v>
      </c>
      <c r="AD19" s="10">
        <f t="shared" si="6"/>
        <v>1</v>
      </c>
      <c r="AE19" s="39">
        <f t="shared" si="7"/>
        <v>0.44699954246731688</v>
      </c>
      <c r="AF19" s="94">
        <f t="shared" si="9"/>
        <v>13</v>
      </c>
    </row>
    <row r="20" spans="1:36" ht="27" customHeight="1">
      <c r="A20" s="110">
        <v>14</v>
      </c>
      <c r="B20" s="11" t="s">
        <v>57</v>
      </c>
      <c r="C20" s="11" t="s">
        <v>129</v>
      </c>
      <c r="D20" s="55" t="s">
        <v>133</v>
      </c>
      <c r="E20" s="57" t="s">
        <v>132</v>
      </c>
      <c r="F20" s="12" t="s">
        <v>127</v>
      </c>
      <c r="G20" s="12" t="s">
        <v>134</v>
      </c>
      <c r="H20" s="13">
        <v>25</v>
      </c>
      <c r="I20" s="7">
        <v>130000</v>
      </c>
      <c r="J20" s="14">
        <v>4350</v>
      </c>
      <c r="K20" s="15">
        <f>L20+3258+4398+5144+3460+6323+4564+5384+7161+2960+2789+7049+2970+3630+7299+2728+7313+2343+2949+7245+6653+3346+1425+4904+7358+4346</f>
        <v>116999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0.44699954246731688</v>
      </c>
      <c r="AF20" s="94">
        <f t="shared" si="8"/>
        <v>14</v>
      </c>
    </row>
    <row r="21" spans="1:36" ht="27" customHeight="1" thickBot="1">
      <c r="A21" s="110">
        <v>15</v>
      </c>
      <c r="B21" s="11" t="s">
        <v>57</v>
      </c>
      <c r="C21" s="11" t="s">
        <v>123</v>
      </c>
      <c r="D21" s="55"/>
      <c r="E21" s="56" t="s">
        <v>138</v>
      </c>
      <c r="F21" s="12" t="s">
        <v>124</v>
      </c>
      <c r="G21" s="12">
        <v>4</v>
      </c>
      <c r="H21" s="38">
        <v>20</v>
      </c>
      <c r="I21" s="7">
        <v>800000</v>
      </c>
      <c r="J21" s="14">
        <v>10000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0.44699954246731688</v>
      </c>
      <c r="AF21" s="94">
        <f t="shared" si="8"/>
        <v>15</v>
      </c>
    </row>
    <row r="22" spans="1:36" ht="31.5" customHeight="1" thickBot="1">
      <c r="A22" s="416" t="s">
        <v>34</v>
      </c>
      <c r="B22" s="417"/>
      <c r="C22" s="417"/>
      <c r="D22" s="417"/>
      <c r="E22" s="417"/>
      <c r="F22" s="417"/>
      <c r="G22" s="417"/>
      <c r="H22" s="418"/>
      <c r="I22" s="25">
        <f t="shared" ref="I22:N22" si="10">SUM(I6:I21)</f>
        <v>1224500</v>
      </c>
      <c r="J22" s="22">
        <f t="shared" si="10"/>
        <v>68909</v>
      </c>
      <c r="K22" s="23">
        <f t="shared" si="10"/>
        <v>487223</v>
      </c>
      <c r="L22" s="24">
        <f t="shared" si="10"/>
        <v>48341</v>
      </c>
      <c r="M22" s="23">
        <f t="shared" si="10"/>
        <v>48341</v>
      </c>
      <c r="N22" s="24">
        <f t="shared" si="10"/>
        <v>0</v>
      </c>
      <c r="O22" s="44">
        <f t="shared" si="1"/>
        <v>0</v>
      </c>
      <c r="P22" s="45">
        <f t="shared" ref="P22:AA22" si="11">SUM(P6:P21)</f>
        <v>161</v>
      </c>
      <c r="Q22" s="46">
        <f t="shared" si="11"/>
        <v>223</v>
      </c>
      <c r="R22" s="26">
        <f t="shared" si="11"/>
        <v>0</v>
      </c>
      <c r="S22" s="27">
        <f t="shared" si="11"/>
        <v>30</v>
      </c>
      <c r="T22" s="27">
        <f t="shared" si="11"/>
        <v>0</v>
      </c>
      <c r="U22" s="27">
        <f t="shared" si="11"/>
        <v>0</v>
      </c>
      <c r="V22" s="28">
        <f t="shared" si="11"/>
        <v>24</v>
      </c>
      <c r="W22" s="29">
        <f t="shared" si="11"/>
        <v>169</v>
      </c>
      <c r="X22" s="30">
        <f t="shared" si="11"/>
        <v>0</v>
      </c>
      <c r="Y22" s="30">
        <f t="shared" si="11"/>
        <v>0</v>
      </c>
      <c r="Z22" s="30">
        <f t="shared" si="11"/>
        <v>0</v>
      </c>
      <c r="AA22" s="30">
        <f t="shared" si="11"/>
        <v>0</v>
      </c>
      <c r="AB22" s="31">
        <f>SUM(AB6:AB21)/15</f>
        <v>0.73309681657828951</v>
      </c>
      <c r="AC22" s="4">
        <f>SUM(AC6:AC21)/15</f>
        <v>0.4472222222222223</v>
      </c>
      <c r="AD22" s="4">
        <f>SUM(AD6:AD21)/15</f>
        <v>0.44699954246731688</v>
      </c>
      <c r="AE22" s="32"/>
    </row>
    <row r="24" spans="1:36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6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6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6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6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6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6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6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9" t="s">
        <v>45</v>
      </c>
      <c r="B49" s="419"/>
      <c r="C49" s="419"/>
      <c r="D49" s="419"/>
      <c r="E49" s="41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20" t="s">
        <v>494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2"/>
      <c r="N50" s="423" t="s">
        <v>506</v>
      </c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5"/>
    </row>
    <row r="51" spans="1:32" ht="27" customHeight="1">
      <c r="A51" s="426" t="s">
        <v>2</v>
      </c>
      <c r="B51" s="427"/>
      <c r="C51" s="198" t="s">
        <v>46</v>
      </c>
      <c r="D51" s="198" t="s">
        <v>47</v>
      </c>
      <c r="E51" s="198" t="s">
        <v>108</v>
      </c>
      <c r="F51" s="427" t="s">
        <v>107</v>
      </c>
      <c r="G51" s="427"/>
      <c r="H51" s="427"/>
      <c r="I51" s="427"/>
      <c r="J51" s="427"/>
      <c r="K51" s="427"/>
      <c r="L51" s="427"/>
      <c r="M51" s="428"/>
      <c r="N51" s="73" t="s">
        <v>112</v>
      </c>
      <c r="O51" s="198" t="s">
        <v>46</v>
      </c>
      <c r="P51" s="429" t="s">
        <v>47</v>
      </c>
      <c r="Q51" s="430"/>
      <c r="R51" s="429" t="s">
        <v>38</v>
      </c>
      <c r="S51" s="431"/>
      <c r="T51" s="431"/>
      <c r="U51" s="430"/>
      <c r="V51" s="429" t="s">
        <v>48</v>
      </c>
      <c r="W51" s="431"/>
      <c r="X51" s="431"/>
      <c r="Y51" s="431"/>
      <c r="Z51" s="431"/>
      <c r="AA51" s="431"/>
      <c r="AB51" s="431"/>
      <c r="AC51" s="431"/>
      <c r="AD51" s="432"/>
    </row>
    <row r="52" spans="1:32" ht="27" customHeight="1">
      <c r="A52" s="443" t="s">
        <v>495</v>
      </c>
      <c r="B52" s="444"/>
      <c r="C52" s="199" t="s">
        <v>245</v>
      </c>
      <c r="D52" s="200" t="s">
        <v>496</v>
      </c>
      <c r="E52" s="199" t="s">
        <v>486</v>
      </c>
      <c r="F52" s="445" t="s">
        <v>137</v>
      </c>
      <c r="G52" s="445"/>
      <c r="H52" s="445"/>
      <c r="I52" s="445"/>
      <c r="J52" s="445"/>
      <c r="K52" s="445"/>
      <c r="L52" s="445"/>
      <c r="M52" s="446"/>
      <c r="N52" s="204" t="s">
        <v>507</v>
      </c>
      <c r="O52" s="74" t="s">
        <v>508</v>
      </c>
      <c r="P52" s="447" t="s">
        <v>509</v>
      </c>
      <c r="Q52" s="447"/>
      <c r="R52" s="447"/>
      <c r="S52" s="447"/>
      <c r="T52" s="447"/>
      <c r="U52" s="447"/>
      <c r="V52" s="445" t="s">
        <v>137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43" t="s">
        <v>445</v>
      </c>
      <c r="B53" s="444"/>
      <c r="C53" s="199" t="s">
        <v>447</v>
      </c>
      <c r="D53" s="200" t="s">
        <v>448</v>
      </c>
      <c r="E53" s="199" t="s">
        <v>497</v>
      </c>
      <c r="F53" s="445" t="s">
        <v>498</v>
      </c>
      <c r="G53" s="445"/>
      <c r="H53" s="445"/>
      <c r="I53" s="445"/>
      <c r="J53" s="445"/>
      <c r="K53" s="445"/>
      <c r="L53" s="445"/>
      <c r="M53" s="446"/>
      <c r="N53" s="204" t="s">
        <v>129</v>
      </c>
      <c r="O53" s="74" t="s">
        <v>463</v>
      </c>
      <c r="P53" s="448"/>
      <c r="Q53" s="449"/>
      <c r="R53" s="447" t="s">
        <v>227</v>
      </c>
      <c r="S53" s="447"/>
      <c r="T53" s="447"/>
      <c r="U53" s="447"/>
      <c r="V53" s="445" t="s">
        <v>228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43" t="s">
        <v>499</v>
      </c>
      <c r="B54" s="444"/>
      <c r="C54" s="199" t="s">
        <v>500</v>
      </c>
      <c r="D54" s="200" t="s">
        <v>501</v>
      </c>
      <c r="E54" s="199" t="s">
        <v>488</v>
      </c>
      <c r="F54" s="445" t="s">
        <v>502</v>
      </c>
      <c r="G54" s="445"/>
      <c r="H54" s="445"/>
      <c r="I54" s="445"/>
      <c r="J54" s="445"/>
      <c r="K54" s="445"/>
      <c r="L54" s="445"/>
      <c r="M54" s="446"/>
      <c r="N54" s="204" t="s">
        <v>511</v>
      </c>
      <c r="O54" s="74" t="s">
        <v>512</v>
      </c>
      <c r="P54" s="447" t="s">
        <v>513</v>
      </c>
      <c r="Q54" s="447"/>
      <c r="R54" s="447" t="s">
        <v>510</v>
      </c>
      <c r="S54" s="447"/>
      <c r="T54" s="447"/>
      <c r="U54" s="447"/>
      <c r="V54" s="445" t="s">
        <v>137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451</v>
      </c>
      <c r="B55" s="447"/>
      <c r="C55" s="200" t="s">
        <v>452</v>
      </c>
      <c r="D55" s="200" t="s">
        <v>453</v>
      </c>
      <c r="E55" s="200" t="s">
        <v>454</v>
      </c>
      <c r="F55" s="445" t="s">
        <v>503</v>
      </c>
      <c r="G55" s="445"/>
      <c r="H55" s="445"/>
      <c r="I55" s="445"/>
      <c r="J55" s="445"/>
      <c r="K55" s="445"/>
      <c r="L55" s="445"/>
      <c r="M55" s="446"/>
      <c r="N55" s="204" t="s">
        <v>515</v>
      </c>
      <c r="O55" s="74" t="s">
        <v>516</v>
      </c>
      <c r="P55" s="447"/>
      <c r="Q55" s="447"/>
      <c r="R55" s="447" t="s">
        <v>514</v>
      </c>
      <c r="S55" s="447"/>
      <c r="T55" s="447"/>
      <c r="U55" s="447"/>
      <c r="V55" s="445" t="s">
        <v>228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59" t="s">
        <v>504</v>
      </c>
      <c r="B56" s="447"/>
      <c r="C56" s="200" t="s">
        <v>233</v>
      </c>
      <c r="D56" s="200" t="s">
        <v>505</v>
      </c>
      <c r="E56" s="200" t="s">
        <v>492</v>
      </c>
      <c r="F56" s="445" t="s">
        <v>137</v>
      </c>
      <c r="G56" s="445"/>
      <c r="H56" s="445"/>
      <c r="I56" s="445"/>
      <c r="J56" s="445"/>
      <c r="K56" s="445"/>
      <c r="L56" s="445"/>
      <c r="M56" s="446"/>
      <c r="N56" s="204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199"/>
      <c r="D57" s="200"/>
      <c r="E57" s="199"/>
      <c r="F57" s="445"/>
      <c r="G57" s="445"/>
      <c r="H57" s="445"/>
      <c r="I57" s="445"/>
      <c r="J57" s="445"/>
      <c r="K57" s="445"/>
      <c r="L57" s="445"/>
      <c r="M57" s="446"/>
      <c r="N57" s="204"/>
      <c r="O57" s="74"/>
      <c r="P57" s="447"/>
      <c r="Q57" s="447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199"/>
      <c r="D58" s="200"/>
      <c r="E58" s="199"/>
      <c r="F58" s="445"/>
      <c r="G58" s="445"/>
      <c r="H58" s="445"/>
      <c r="I58" s="445"/>
      <c r="J58" s="445"/>
      <c r="K58" s="445"/>
      <c r="L58" s="445"/>
      <c r="M58" s="446"/>
      <c r="N58" s="204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43"/>
      <c r="B59" s="444"/>
      <c r="C59" s="199"/>
      <c r="D59" s="200"/>
      <c r="E59" s="199"/>
      <c r="F59" s="445"/>
      <c r="G59" s="445"/>
      <c r="H59" s="445"/>
      <c r="I59" s="445"/>
      <c r="J59" s="445"/>
      <c r="K59" s="445"/>
      <c r="L59" s="445"/>
      <c r="M59" s="446"/>
      <c r="N59" s="204"/>
      <c r="O59" s="74"/>
      <c r="P59" s="448"/>
      <c r="Q59" s="449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</row>
    <row r="60" spans="1:32" ht="27" customHeight="1">
      <c r="A60" s="459"/>
      <c r="B60" s="447"/>
      <c r="C60" s="200"/>
      <c r="D60" s="200"/>
      <c r="E60" s="200"/>
      <c r="F60" s="445"/>
      <c r="G60" s="445"/>
      <c r="H60" s="445"/>
      <c r="I60" s="445"/>
      <c r="J60" s="445"/>
      <c r="K60" s="445"/>
      <c r="L60" s="445"/>
      <c r="M60" s="446"/>
      <c r="N60" s="204"/>
      <c r="O60" s="74"/>
      <c r="P60" s="447"/>
      <c r="Q60" s="447"/>
      <c r="R60" s="447"/>
      <c r="S60" s="447"/>
      <c r="T60" s="447"/>
      <c r="U60" s="447"/>
      <c r="V60" s="445"/>
      <c r="W60" s="445"/>
      <c r="X60" s="445"/>
      <c r="Y60" s="445"/>
      <c r="Z60" s="445"/>
      <c r="AA60" s="445"/>
      <c r="AB60" s="445"/>
      <c r="AC60" s="445"/>
      <c r="AD60" s="446"/>
      <c r="AF60" s="94">
        <f>8*3000</f>
        <v>24000</v>
      </c>
    </row>
    <row r="61" spans="1:32" ht="27" customHeight="1" thickBot="1">
      <c r="A61" s="450"/>
      <c r="B61" s="451"/>
      <c r="C61" s="202"/>
      <c r="D61" s="202"/>
      <c r="E61" s="202"/>
      <c r="F61" s="452"/>
      <c r="G61" s="452"/>
      <c r="H61" s="452"/>
      <c r="I61" s="452"/>
      <c r="J61" s="452"/>
      <c r="K61" s="452"/>
      <c r="L61" s="452"/>
      <c r="M61" s="453"/>
      <c r="N61" s="201"/>
      <c r="O61" s="121"/>
      <c r="P61" s="451"/>
      <c r="Q61" s="451"/>
      <c r="R61" s="451"/>
      <c r="S61" s="451"/>
      <c r="T61" s="451"/>
      <c r="U61" s="451"/>
      <c r="V61" s="452"/>
      <c r="W61" s="452"/>
      <c r="X61" s="452"/>
      <c r="Y61" s="452"/>
      <c r="Z61" s="452"/>
      <c r="AA61" s="452"/>
      <c r="AB61" s="452"/>
      <c r="AC61" s="452"/>
      <c r="AD61" s="453"/>
      <c r="AF61" s="94">
        <f>16*3000</f>
        <v>48000</v>
      </c>
    </row>
    <row r="62" spans="1:32" ht="27.75" thickBot="1">
      <c r="A62" s="454" t="s">
        <v>517</v>
      </c>
      <c r="B62" s="454"/>
      <c r="C62" s="454"/>
      <c r="D62" s="454"/>
      <c r="E62" s="45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55" t="s">
        <v>113</v>
      </c>
      <c r="B63" s="456"/>
      <c r="C63" s="203" t="s">
        <v>2</v>
      </c>
      <c r="D63" s="203" t="s">
        <v>37</v>
      </c>
      <c r="E63" s="203" t="s">
        <v>3</v>
      </c>
      <c r="F63" s="456" t="s">
        <v>110</v>
      </c>
      <c r="G63" s="456"/>
      <c r="H63" s="456"/>
      <c r="I63" s="456"/>
      <c r="J63" s="456"/>
      <c r="K63" s="456" t="s">
        <v>39</v>
      </c>
      <c r="L63" s="456"/>
      <c r="M63" s="203" t="s">
        <v>40</v>
      </c>
      <c r="N63" s="456" t="s">
        <v>41</v>
      </c>
      <c r="O63" s="456"/>
      <c r="P63" s="457" t="s">
        <v>42</v>
      </c>
      <c r="Q63" s="458"/>
      <c r="R63" s="457" t="s">
        <v>43</v>
      </c>
      <c r="S63" s="460"/>
      <c r="T63" s="460"/>
      <c r="U63" s="460"/>
      <c r="V63" s="460"/>
      <c r="W63" s="460"/>
      <c r="X63" s="460"/>
      <c r="Y63" s="460"/>
      <c r="Z63" s="460"/>
      <c r="AA63" s="458"/>
      <c r="AB63" s="456" t="s">
        <v>44</v>
      </c>
      <c r="AC63" s="456"/>
      <c r="AD63" s="461"/>
      <c r="AF63" s="94">
        <f>SUM(AF60:AF62)</f>
        <v>96000</v>
      </c>
    </row>
    <row r="64" spans="1:32" ht="25.5" customHeight="1">
      <c r="A64" s="462">
        <v>1</v>
      </c>
      <c r="B64" s="463"/>
      <c r="C64" s="124" t="s">
        <v>441</v>
      </c>
      <c r="D64" s="207"/>
      <c r="E64" s="205" t="s">
        <v>518</v>
      </c>
      <c r="F64" s="464" t="s">
        <v>519</v>
      </c>
      <c r="G64" s="465"/>
      <c r="H64" s="465"/>
      <c r="I64" s="465"/>
      <c r="J64" s="465"/>
      <c r="K64" s="465" t="s">
        <v>520</v>
      </c>
      <c r="L64" s="465"/>
      <c r="M64" s="54" t="s">
        <v>370</v>
      </c>
      <c r="N64" s="465">
        <v>12</v>
      </c>
      <c r="O64" s="465"/>
      <c r="P64" s="466">
        <v>200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2</v>
      </c>
      <c r="B65" s="463"/>
      <c r="C65" s="124"/>
      <c r="D65" s="207"/>
      <c r="E65" s="205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3</v>
      </c>
      <c r="B66" s="463"/>
      <c r="C66" s="124"/>
      <c r="D66" s="207"/>
      <c r="E66" s="205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4</v>
      </c>
      <c r="B67" s="463"/>
      <c r="C67" s="124"/>
      <c r="D67" s="207"/>
      <c r="E67" s="205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5</v>
      </c>
      <c r="B68" s="463"/>
      <c r="C68" s="124"/>
      <c r="D68" s="207"/>
      <c r="E68" s="205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6</v>
      </c>
      <c r="B69" s="463"/>
      <c r="C69" s="124"/>
      <c r="D69" s="207"/>
      <c r="E69" s="205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7</v>
      </c>
      <c r="B70" s="463"/>
      <c r="C70" s="124"/>
      <c r="D70" s="207"/>
      <c r="E70" s="205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5.5" customHeight="1">
      <c r="A71" s="462">
        <v>8</v>
      </c>
      <c r="B71" s="463"/>
      <c r="C71" s="124"/>
      <c r="D71" s="207"/>
      <c r="E71" s="205"/>
      <c r="F71" s="464"/>
      <c r="G71" s="465"/>
      <c r="H71" s="465"/>
      <c r="I71" s="465"/>
      <c r="J71" s="465"/>
      <c r="K71" s="465"/>
      <c r="L71" s="465"/>
      <c r="M71" s="54"/>
      <c r="N71" s="465"/>
      <c r="O71" s="465"/>
      <c r="P71" s="466"/>
      <c r="Q71" s="466"/>
      <c r="R71" s="445"/>
      <c r="S71" s="445"/>
      <c r="T71" s="445"/>
      <c r="U71" s="445"/>
      <c r="V71" s="445"/>
      <c r="W71" s="445"/>
      <c r="X71" s="445"/>
      <c r="Y71" s="445"/>
      <c r="Z71" s="445"/>
      <c r="AA71" s="445"/>
      <c r="AB71" s="465"/>
      <c r="AC71" s="465"/>
      <c r="AD71" s="467"/>
      <c r="AF71" s="53"/>
    </row>
    <row r="72" spans="1:32" ht="26.25" customHeight="1" thickBot="1">
      <c r="A72" s="468" t="s">
        <v>521</v>
      </c>
      <c r="B72" s="468"/>
      <c r="C72" s="468"/>
      <c r="D72" s="468"/>
      <c r="E72" s="468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9" t="s">
        <v>113</v>
      </c>
      <c r="B73" s="470"/>
      <c r="C73" s="206" t="s">
        <v>2</v>
      </c>
      <c r="D73" s="206" t="s">
        <v>37</v>
      </c>
      <c r="E73" s="206" t="s">
        <v>3</v>
      </c>
      <c r="F73" s="470" t="s">
        <v>38</v>
      </c>
      <c r="G73" s="470"/>
      <c r="H73" s="470"/>
      <c r="I73" s="470"/>
      <c r="J73" s="470"/>
      <c r="K73" s="471" t="s">
        <v>58</v>
      </c>
      <c r="L73" s="472"/>
      <c r="M73" s="472"/>
      <c r="N73" s="472"/>
      <c r="O73" s="472"/>
      <c r="P73" s="472"/>
      <c r="Q73" s="472"/>
      <c r="R73" s="472"/>
      <c r="S73" s="473"/>
      <c r="T73" s="470" t="s">
        <v>49</v>
      </c>
      <c r="U73" s="470"/>
      <c r="V73" s="471" t="s">
        <v>50</v>
      </c>
      <c r="W73" s="473"/>
      <c r="X73" s="472" t="s">
        <v>51</v>
      </c>
      <c r="Y73" s="472"/>
      <c r="Z73" s="472"/>
      <c r="AA73" s="472"/>
      <c r="AB73" s="472"/>
      <c r="AC73" s="472"/>
      <c r="AD73" s="474"/>
      <c r="AF73" s="53"/>
    </row>
    <row r="74" spans="1:32" ht="33.75" customHeight="1">
      <c r="A74" s="483">
        <v>1</v>
      </c>
      <c r="B74" s="484"/>
      <c r="C74" s="208" t="s">
        <v>114</v>
      </c>
      <c r="D74" s="208"/>
      <c r="E74" s="71" t="s">
        <v>119</v>
      </c>
      <c r="F74" s="485" t="s">
        <v>120</v>
      </c>
      <c r="G74" s="486"/>
      <c r="H74" s="486"/>
      <c r="I74" s="486"/>
      <c r="J74" s="487"/>
      <c r="K74" s="488" t="s">
        <v>115</v>
      </c>
      <c r="L74" s="489"/>
      <c r="M74" s="489"/>
      <c r="N74" s="489"/>
      <c r="O74" s="489"/>
      <c r="P74" s="489"/>
      <c r="Q74" s="489"/>
      <c r="R74" s="489"/>
      <c r="S74" s="490"/>
      <c r="T74" s="491">
        <v>42901</v>
      </c>
      <c r="U74" s="492"/>
      <c r="V74" s="493"/>
      <c r="W74" s="493"/>
      <c r="X74" s="494"/>
      <c r="Y74" s="494"/>
      <c r="Z74" s="494"/>
      <c r="AA74" s="494"/>
      <c r="AB74" s="494"/>
      <c r="AC74" s="494"/>
      <c r="AD74" s="495"/>
      <c r="AF74" s="53"/>
    </row>
    <row r="75" spans="1:32" ht="30" customHeight="1">
      <c r="A75" s="475">
        <f>A74+1</f>
        <v>2</v>
      </c>
      <c r="B75" s="476"/>
      <c r="C75" s="207" t="s">
        <v>114</v>
      </c>
      <c r="D75" s="207"/>
      <c r="E75" s="35" t="s">
        <v>116</v>
      </c>
      <c r="F75" s="476" t="s">
        <v>117</v>
      </c>
      <c r="G75" s="476"/>
      <c r="H75" s="476"/>
      <c r="I75" s="476"/>
      <c r="J75" s="476"/>
      <c r="K75" s="477" t="s">
        <v>118</v>
      </c>
      <c r="L75" s="478"/>
      <c r="M75" s="478"/>
      <c r="N75" s="478"/>
      <c r="O75" s="478"/>
      <c r="P75" s="478"/>
      <c r="Q75" s="478"/>
      <c r="R75" s="478"/>
      <c r="S75" s="479"/>
      <c r="T75" s="480">
        <v>42867</v>
      </c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ref="A76:A82" si="12">A75+1</f>
        <v>3</v>
      </c>
      <c r="B76" s="476"/>
      <c r="C76" s="207"/>
      <c r="D76" s="207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4</v>
      </c>
      <c r="B77" s="476"/>
      <c r="C77" s="207"/>
      <c r="D77" s="207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5</v>
      </c>
      <c r="B78" s="476"/>
      <c r="C78" s="207"/>
      <c r="D78" s="207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6</v>
      </c>
      <c r="B79" s="476"/>
      <c r="C79" s="207"/>
      <c r="D79" s="207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7</v>
      </c>
      <c r="B80" s="476"/>
      <c r="C80" s="207"/>
      <c r="D80" s="207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8</v>
      </c>
      <c r="B81" s="476"/>
      <c r="C81" s="207"/>
      <c r="D81" s="207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0" customHeight="1">
      <c r="A82" s="475">
        <f t="shared" si="12"/>
        <v>9</v>
      </c>
      <c r="B82" s="476"/>
      <c r="C82" s="207"/>
      <c r="D82" s="207"/>
      <c r="E82" s="35"/>
      <c r="F82" s="476"/>
      <c r="G82" s="476"/>
      <c r="H82" s="476"/>
      <c r="I82" s="476"/>
      <c r="J82" s="476"/>
      <c r="K82" s="477"/>
      <c r="L82" s="478"/>
      <c r="M82" s="478"/>
      <c r="N82" s="478"/>
      <c r="O82" s="478"/>
      <c r="P82" s="478"/>
      <c r="Q82" s="478"/>
      <c r="R82" s="478"/>
      <c r="S82" s="479"/>
      <c r="T82" s="480"/>
      <c r="U82" s="480"/>
      <c r="V82" s="480"/>
      <c r="W82" s="480"/>
      <c r="X82" s="481"/>
      <c r="Y82" s="481"/>
      <c r="Z82" s="481"/>
      <c r="AA82" s="481"/>
      <c r="AB82" s="481"/>
      <c r="AC82" s="481"/>
      <c r="AD82" s="482"/>
      <c r="AF82" s="53"/>
    </row>
    <row r="83" spans="1:32" ht="36" thickBot="1">
      <c r="A83" s="468" t="s">
        <v>522</v>
      </c>
      <c r="B83" s="468"/>
      <c r="C83" s="468"/>
      <c r="D83" s="468"/>
      <c r="E83" s="468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9" t="s">
        <v>113</v>
      </c>
      <c r="B84" s="470"/>
      <c r="C84" s="496" t="s">
        <v>52</v>
      </c>
      <c r="D84" s="496"/>
      <c r="E84" s="496" t="s">
        <v>53</v>
      </c>
      <c r="F84" s="496"/>
      <c r="G84" s="496"/>
      <c r="H84" s="496"/>
      <c r="I84" s="496"/>
      <c r="J84" s="496"/>
      <c r="K84" s="496" t="s">
        <v>54</v>
      </c>
      <c r="L84" s="496"/>
      <c r="M84" s="496"/>
      <c r="N84" s="496"/>
      <c r="O84" s="496"/>
      <c r="P84" s="496"/>
      <c r="Q84" s="496"/>
      <c r="R84" s="496"/>
      <c r="S84" s="496"/>
      <c r="T84" s="496" t="s">
        <v>55</v>
      </c>
      <c r="U84" s="496"/>
      <c r="V84" s="496" t="s">
        <v>56</v>
      </c>
      <c r="W84" s="496"/>
      <c r="X84" s="496"/>
      <c r="Y84" s="496" t="s">
        <v>51</v>
      </c>
      <c r="Z84" s="496"/>
      <c r="AA84" s="496"/>
      <c r="AB84" s="496"/>
      <c r="AC84" s="496"/>
      <c r="AD84" s="497"/>
      <c r="AF84" s="53"/>
    </row>
    <row r="85" spans="1:32" ht="30.75" customHeight="1">
      <c r="A85" s="483">
        <v>1</v>
      </c>
      <c r="B85" s="484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9"/>
      <c r="W85" s="499"/>
      <c r="X85" s="499"/>
      <c r="Y85" s="500"/>
      <c r="Z85" s="500"/>
      <c r="AA85" s="500"/>
      <c r="AB85" s="500"/>
      <c r="AC85" s="500"/>
      <c r="AD85" s="501"/>
      <c r="AF85" s="53"/>
    </row>
    <row r="86" spans="1:32" ht="30.75" customHeight="1">
      <c r="A86" s="475">
        <v>2</v>
      </c>
      <c r="B86" s="476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509"/>
      <c r="R86" s="509"/>
      <c r="S86" s="509"/>
      <c r="T86" s="510"/>
      <c r="U86" s="510"/>
      <c r="V86" s="511"/>
      <c r="W86" s="511"/>
      <c r="X86" s="511"/>
      <c r="Y86" s="502"/>
      <c r="Z86" s="502"/>
      <c r="AA86" s="502"/>
      <c r="AB86" s="502"/>
      <c r="AC86" s="502"/>
      <c r="AD86" s="503"/>
      <c r="AF86" s="53"/>
    </row>
    <row r="87" spans="1:32" ht="30.75" customHeight="1" thickBot="1">
      <c r="A87" s="504">
        <v>3</v>
      </c>
      <c r="B87" s="505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7"/>
      <c r="Z87" s="507"/>
      <c r="AA87" s="507"/>
      <c r="AB87" s="507"/>
      <c r="AC87" s="507"/>
      <c r="AD87" s="508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F58" sqref="F58:M5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523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0.35814376046368707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375</v>
      </c>
      <c r="D7" s="55" t="s">
        <v>376</v>
      </c>
      <c r="E7" s="57" t="s">
        <v>377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L7+2882</f>
        <v>2882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0.35814376046368707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1960</v>
      </c>
      <c r="K8" s="15">
        <f>L8</f>
        <v>1955</v>
      </c>
      <c r="L8" s="15">
        <f>135+1820</f>
        <v>1955</v>
      </c>
      <c r="M8" s="16">
        <f t="shared" si="0"/>
        <v>1955</v>
      </c>
      <c r="N8" s="16">
        <v>0</v>
      </c>
      <c r="O8" s="62">
        <f t="shared" si="1"/>
        <v>0</v>
      </c>
      <c r="P8" s="42">
        <f t="shared" si="2"/>
        <v>16</v>
      </c>
      <c r="Q8" s="43">
        <f t="shared" si="3"/>
        <v>8</v>
      </c>
      <c r="R8" s="7"/>
      <c r="S8" s="6"/>
      <c r="T8" s="17">
        <v>8</v>
      </c>
      <c r="U8" s="17"/>
      <c r="V8" s="18"/>
      <c r="W8" s="19"/>
      <c r="X8" s="17"/>
      <c r="Y8" s="20"/>
      <c r="Z8" s="20"/>
      <c r="AA8" s="21"/>
      <c r="AB8" s="8">
        <f t="shared" si="4"/>
        <v>0.99744897959183676</v>
      </c>
      <c r="AC8" s="9">
        <f t="shared" si="5"/>
        <v>0.66666666666666663</v>
      </c>
      <c r="AD8" s="10">
        <f t="shared" si="6"/>
        <v>0.66496598639455784</v>
      </c>
      <c r="AE8" s="39">
        <f t="shared" si="7"/>
        <v>0.35814376046368707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L9+2017+1262</f>
        <v>3279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0.35814376046368707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200000</v>
      </c>
      <c r="J10" s="14">
        <v>16040</v>
      </c>
      <c r="K10" s="15">
        <f>L10+24784+20920+19906+984+7100+9328+16238+16036</f>
        <v>115296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>
        <v>24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0.35814376046368707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247</v>
      </c>
      <c r="D11" s="55" t="s">
        <v>251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4492</v>
      </c>
      <c r="K11" s="15">
        <f>L11+4928+5337+3014+4086+6043</f>
        <v>27900</v>
      </c>
      <c r="L11" s="15">
        <f>1942+2550</f>
        <v>4492</v>
      </c>
      <c r="M11" s="16">
        <f t="shared" si="0"/>
        <v>4492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9">
        <f t="shared" si="7"/>
        <v>0.35814376046368707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2450</v>
      </c>
      <c r="K12" s="15">
        <f>L12+1265+3160</f>
        <v>6875</v>
      </c>
      <c r="L12" s="15">
        <v>2450</v>
      </c>
      <c r="M12" s="16">
        <f t="shared" si="0"/>
        <v>2450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>
        <v>10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9">
        <f t="shared" si="7"/>
        <v>0.35814376046368707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379</v>
      </c>
      <c r="D13" s="55" t="s">
        <v>125</v>
      </c>
      <c r="E13" s="57" t="s">
        <v>383</v>
      </c>
      <c r="F13" s="12" t="s">
        <v>127</v>
      </c>
      <c r="G13" s="12">
        <v>1</v>
      </c>
      <c r="H13" s="13">
        <v>25</v>
      </c>
      <c r="I13" s="7">
        <v>30000</v>
      </c>
      <c r="J13" s="14">
        <v>10840</v>
      </c>
      <c r="K13" s="15">
        <f>L13+9862+10768+10832</f>
        <v>31462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0.35814376046368707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341</v>
      </c>
      <c r="G14" s="36">
        <v>1</v>
      </c>
      <c r="H14" s="38">
        <v>25</v>
      </c>
      <c r="I14" s="7">
        <v>2600</v>
      </c>
      <c r="J14" s="5">
        <v>823</v>
      </c>
      <c r="K14" s="15">
        <f>L14+362+578+779</f>
        <v>2542</v>
      </c>
      <c r="L14" s="15">
        <v>823</v>
      </c>
      <c r="M14" s="16">
        <f t="shared" si="0"/>
        <v>823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/>
      <c r="T14" s="17"/>
      <c r="U14" s="17"/>
      <c r="V14" s="18">
        <v>12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9">
        <f t="shared" si="7"/>
        <v>0.35814376046368707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528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</f>
        <v>600</v>
      </c>
      <c r="L15" s="15">
        <v>600</v>
      </c>
      <c r="M15" s="16">
        <f t="shared" si="0"/>
        <v>600</v>
      </c>
      <c r="N15" s="16">
        <v>0</v>
      </c>
      <c r="O15" s="62">
        <f t="shared" si="1"/>
        <v>0</v>
      </c>
      <c r="P15" s="42">
        <f t="shared" si="2"/>
        <v>4</v>
      </c>
      <c r="Q15" s="43">
        <f t="shared" si="3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4"/>
        <v>1</v>
      </c>
      <c r="AC15" s="9">
        <f t="shared" si="5"/>
        <v>0.16666666666666666</v>
      </c>
      <c r="AD15" s="10">
        <f t="shared" si="6"/>
        <v>0.16666666666666666</v>
      </c>
      <c r="AE15" s="39">
        <f t="shared" si="7"/>
        <v>0.35814376046368707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247</v>
      </c>
      <c r="D16" s="55" t="s">
        <v>491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9600</v>
      </c>
      <c r="K16" s="15">
        <f>L16+8022</f>
        <v>17620</v>
      </c>
      <c r="L16" s="15">
        <f>2530*2+2269*2</f>
        <v>9598</v>
      </c>
      <c r="M16" s="16">
        <f t="shared" si="0"/>
        <v>9598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0.99979166666666663</v>
      </c>
      <c r="AC16" s="9">
        <f t="shared" si="5"/>
        <v>1</v>
      </c>
      <c r="AD16" s="10">
        <f t="shared" si="6"/>
        <v>0.99979166666666663</v>
      </c>
      <c r="AE16" s="39">
        <f t="shared" si="7"/>
        <v>0.35814376046368707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441</v>
      </c>
      <c r="D17" s="55" t="s">
        <v>442</v>
      </c>
      <c r="E17" s="57" t="s">
        <v>443</v>
      </c>
      <c r="F17" s="12">
        <v>8301</v>
      </c>
      <c r="G17" s="12">
        <v>1</v>
      </c>
      <c r="H17" s="13">
        <v>25</v>
      </c>
      <c r="I17" s="34">
        <v>2000</v>
      </c>
      <c r="J17" s="5">
        <v>2520</v>
      </c>
      <c r="K17" s="15">
        <f>L17+2518</f>
        <v>2518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0.35814376046368707</v>
      </c>
      <c r="AF17" s="94">
        <f t="shared" ref="AF17:AF18" si="9">A17</f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331</v>
      </c>
      <c r="E18" s="57" t="s">
        <v>347</v>
      </c>
      <c r="F18" s="33" t="s">
        <v>348</v>
      </c>
      <c r="G18" s="36">
        <v>1</v>
      </c>
      <c r="H18" s="38">
        <v>25</v>
      </c>
      <c r="I18" s="7">
        <v>30000</v>
      </c>
      <c r="J18" s="5">
        <v>4280</v>
      </c>
      <c r="K18" s="15">
        <f>L18+4325+5084+2994+5501</f>
        <v>22180</v>
      </c>
      <c r="L18" s="15">
        <f>2230+2046</f>
        <v>4276</v>
      </c>
      <c r="M18" s="16">
        <f t="shared" si="0"/>
        <v>4276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0.99906542056074765</v>
      </c>
      <c r="AC18" s="9">
        <f t="shared" si="5"/>
        <v>1</v>
      </c>
      <c r="AD18" s="10">
        <f t="shared" si="6"/>
        <v>0.99906542056074765</v>
      </c>
      <c r="AE18" s="39">
        <f t="shared" si="7"/>
        <v>0.35814376046368707</v>
      </c>
      <c r="AF18" s="94">
        <f t="shared" si="9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545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3100</v>
      </c>
      <c r="K19" s="15">
        <f>L19+3258+4398+5144+3460+6323+4564+5384+7161+2960+2789+7049+2970+3630+7299+2728+7313+2343+2949+7245+6653+3346+1425+4904+7358+4346</f>
        <v>120099</v>
      </c>
      <c r="L19" s="15">
        <v>3100</v>
      </c>
      <c r="M19" s="16">
        <f t="shared" si="0"/>
        <v>3100</v>
      </c>
      <c r="N19" s="16">
        <v>0</v>
      </c>
      <c r="O19" s="62">
        <f t="shared" si="1"/>
        <v>0</v>
      </c>
      <c r="P19" s="42">
        <f t="shared" si="2"/>
        <v>13</v>
      </c>
      <c r="Q19" s="43">
        <f t="shared" si="3"/>
        <v>11</v>
      </c>
      <c r="R19" s="7"/>
      <c r="S19" s="6">
        <v>11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0.54166666666666663</v>
      </c>
      <c r="AD19" s="10">
        <f t="shared" si="6"/>
        <v>0.54166666666666663</v>
      </c>
      <c r="AE19" s="39">
        <f t="shared" si="7"/>
        <v>0.35814376046368707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0.35814376046368707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0">SUM(I6:I20)</f>
        <v>1399100</v>
      </c>
      <c r="J21" s="22">
        <f t="shared" si="10"/>
        <v>71933</v>
      </c>
      <c r="K21" s="23">
        <f t="shared" si="10"/>
        <v>567912</v>
      </c>
      <c r="L21" s="24">
        <f t="shared" si="10"/>
        <v>27294</v>
      </c>
      <c r="M21" s="23">
        <f t="shared" si="10"/>
        <v>27294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129</v>
      </c>
      <c r="Q21" s="46">
        <f t="shared" si="11"/>
        <v>231</v>
      </c>
      <c r="R21" s="26">
        <f t="shared" si="11"/>
        <v>0</v>
      </c>
      <c r="S21" s="27">
        <f t="shared" si="11"/>
        <v>47</v>
      </c>
      <c r="T21" s="27">
        <f t="shared" si="11"/>
        <v>8</v>
      </c>
      <c r="U21" s="27">
        <f t="shared" si="11"/>
        <v>0</v>
      </c>
      <c r="V21" s="28">
        <f t="shared" si="11"/>
        <v>12</v>
      </c>
      <c r="W21" s="29">
        <f t="shared" si="11"/>
        <v>164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0</v>
      </c>
      <c r="AB21" s="31">
        <f>SUM(AB6:AB20)/15</f>
        <v>0.53308707112128351</v>
      </c>
      <c r="AC21" s="4">
        <f>SUM(AC6:AC20)/15</f>
        <v>0.35833333333333334</v>
      </c>
      <c r="AD21" s="4">
        <f>SUM(AD6:AD20)/15</f>
        <v>0.35814376046368707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531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547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19" t="s">
        <v>46</v>
      </c>
      <c r="D50" s="219" t="s">
        <v>47</v>
      </c>
      <c r="E50" s="219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19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532</v>
      </c>
      <c r="B51" s="444"/>
      <c r="C51" s="218" t="s">
        <v>533</v>
      </c>
      <c r="D51" s="215"/>
      <c r="E51" s="218" t="s">
        <v>534</v>
      </c>
      <c r="F51" s="445" t="s">
        <v>137</v>
      </c>
      <c r="G51" s="445"/>
      <c r="H51" s="445"/>
      <c r="I51" s="445"/>
      <c r="J51" s="445"/>
      <c r="K51" s="445"/>
      <c r="L51" s="445"/>
      <c r="M51" s="446"/>
      <c r="N51" s="214" t="s">
        <v>129</v>
      </c>
      <c r="O51" s="74" t="s">
        <v>463</v>
      </c>
      <c r="P51" s="448"/>
      <c r="Q51" s="449"/>
      <c r="R51" s="447" t="s">
        <v>227</v>
      </c>
      <c r="S51" s="447"/>
      <c r="T51" s="447"/>
      <c r="U51" s="447"/>
      <c r="V51" s="445" t="s">
        <v>228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535</v>
      </c>
      <c r="B52" s="444"/>
      <c r="C52" s="218" t="s">
        <v>536</v>
      </c>
      <c r="D52" s="215" t="s">
        <v>537</v>
      </c>
      <c r="E52" s="218" t="s">
        <v>538</v>
      </c>
      <c r="F52" s="445" t="s">
        <v>539</v>
      </c>
      <c r="G52" s="445"/>
      <c r="H52" s="445"/>
      <c r="I52" s="445"/>
      <c r="J52" s="445"/>
      <c r="K52" s="445"/>
      <c r="L52" s="445"/>
      <c r="M52" s="446"/>
      <c r="N52" s="214" t="s">
        <v>548</v>
      </c>
      <c r="O52" s="74" t="s">
        <v>549</v>
      </c>
      <c r="P52" s="448" t="s">
        <v>550</v>
      </c>
      <c r="Q52" s="449"/>
      <c r="R52" s="447" t="s">
        <v>551</v>
      </c>
      <c r="S52" s="447"/>
      <c r="T52" s="447"/>
      <c r="U52" s="447"/>
      <c r="V52" s="445" t="s">
        <v>552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451</v>
      </c>
      <c r="B53" s="447"/>
      <c r="C53" s="215" t="s">
        <v>452</v>
      </c>
      <c r="D53" s="215" t="s">
        <v>453</v>
      </c>
      <c r="E53" s="215" t="s">
        <v>454</v>
      </c>
      <c r="F53" s="445" t="s">
        <v>540</v>
      </c>
      <c r="G53" s="445"/>
      <c r="H53" s="445"/>
      <c r="I53" s="445"/>
      <c r="J53" s="445"/>
      <c r="K53" s="445"/>
      <c r="L53" s="445"/>
      <c r="M53" s="446"/>
      <c r="N53" s="214" t="s">
        <v>553</v>
      </c>
      <c r="O53" s="74" t="s">
        <v>554</v>
      </c>
      <c r="P53" s="447" t="s">
        <v>555</v>
      </c>
      <c r="Q53" s="447"/>
      <c r="R53" s="447" t="s">
        <v>556</v>
      </c>
      <c r="S53" s="447"/>
      <c r="T53" s="447"/>
      <c r="U53" s="447"/>
      <c r="V53" s="445" t="s">
        <v>557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528</v>
      </c>
      <c r="B54" s="447"/>
      <c r="C54" s="215" t="s">
        <v>541</v>
      </c>
      <c r="D54" s="215" t="s">
        <v>529</v>
      </c>
      <c r="E54" s="215" t="s">
        <v>530</v>
      </c>
      <c r="F54" s="445" t="s">
        <v>137</v>
      </c>
      <c r="G54" s="445"/>
      <c r="H54" s="445"/>
      <c r="I54" s="445"/>
      <c r="J54" s="445"/>
      <c r="K54" s="445"/>
      <c r="L54" s="445"/>
      <c r="M54" s="446"/>
      <c r="N54" s="214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542</v>
      </c>
      <c r="B55" s="447"/>
      <c r="C55" s="215" t="s">
        <v>543</v>
      </c>
      <c r="D55" s="215" t="s">
        <v>544</v>
      </c>
      <c r="E55" s="215" t="s">
        <v>545</v>
      </c>
      <c r="F55" s="445" t="s">
        <v>546</v>
      </c>
      <c r="G55" s="445"/>
      <c r="H55" s="445"/>
      <c r="I55" s="445"/>
      <c r="J55" s="445"/>
      <c r="K55" s="445"/>
      <c r="L55" s="445"/>
      <c r="M55" s="446"/>
      <c r="N55" s="214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18"/>
      <c r="D56" s="215"/>
      <c r="E56" s="218"/>
      <c r="F56" s="445"/>
      <c r="G56" s="445"/>
      <c r="H56" s="445"/>
      <c r="I56" s="445"/>
      <c r="J56" s="445"/>
      <c r="K56" s="445"/>
      <c r="L56" s="445"/>
      <c r="M56" s="446"/>
      <c r="N56" s="214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18"/>
      <c r="D57" s="215"/>
      <c r="E57" s="218"/>
      <c r="F57" s="445"/>
      <c r="G57" s="445"/>
      <c r="H57" s="445"/>
      <c r="I57" s="445"/>
      <c r="J57" s="445"/>
      <c r="K57" s="445"/>
      <c r="L57" s="445"/>
      <c r="M57" s="446"/>
      <c r="N57" s="214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18"/>
      <c r="D58" s="215"/>
      <c r="E58" s="218"/>
      <c r="F58" s="445"/>
      <c r="G58" s="445"/>
      <c r="H58" s="445"/>
      <c r="I58" s="445"/>
      <c r="J58" s="445"/>
      <c r="K58" s="445"/>
      <c r="L58" s="445"/>
      <c r="M58" s="446"/>
      <c r="N58" s="214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15"/>
      <c r="D59" s="215"/>
      <c r="E59" s="215"/>
      <c r="F59" s="445"/>
      <c r="G59" s="445"/>
      <c r="H59" s="445"/>
      <c r="I59" s="445"/>
      <c r="J59" s="445"/>
      <c r="K59" s="445"/>
      <c r="L59" s="445"/>
      <c r="M59" s="446"/>
      <c r="N59" s="214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17"/>
      <c r="D60" s="217"/>
      <c r="E60" s="217"/>
      <c r="F60" s="452"/>
      <c r="G60" s="452"/>
      <c r="H60" s="452"/>
      <c r="I60" s="452"/>
      <c r="J60" s="452"/>
      <c r="K60" s="452"/>
      <c r="L60" s="452"/>
      <c r="M60" s="453"/>
      <c r="N60" s="216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558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13" t="s">
        <v>2</v>
      </c>
      <c r="D62" s="213" t="s">
        <v>37</v>
      </c>
      <c r="E62" s="213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13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559</v>
      </c>
      <c r="D63" s="209"/>
      <c r="E63" s="212" t="s">
        <v>560</v>
      </c>
      <c r="F63" s="464" t="s">
        <v>561</v>
      </c>
      <c r="G63" s="465"/>
      <c r="H63" s="465"/>
      <c r="I63" s="465"/>
      <c r="J63" s="465"/>
      <c r="K63" s="465" t="s">
        <v>562</v>
      </c>
      <c r="L63" s="465"/>
      <c r="M63" s="54" t="s">
        <v>563</v>
      </c>
      <c r="N63" s="465">
        <v>4</v>
      </c>
      <c r="O63" s="465"/>
      <c r="P63" s="466">
        <v>200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564</v>
      </c>
      <c r="D64" s="209"/>
      <c r="E64" s="212" t="s">
        <v>529</v>
      </c>
      <c r="F64" s="464" t="s">
        <v>565</v>
      </c>
      <c r="G64" s="465"/>
      <c r="H64" s="465"/>
      <c r="I64" s="465"/>
      <c r="J64" s="465"/>
      <c r="K64" s="465">
        <v>8301</v>
      </c>
      <c r="L64" s="465"/>
      <c r="M64" s="54" t="s">
        <v>563</v>
      </c>
      <c r="N64" s="465">
        <v>10</v>
      </c>
      <c r="O64" s="465"/>
      <c r="P64" s="466">
        <v>50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566</v>
      </c>
      <c r="D65" s="209"/>
      <c r="E65" s="212" t="s">
        <v>567</v>
      </c>
      <c r="F65" s="464" t="s">
        <v>568</v>
      </c>
      <c r="G65" s="465"/>
      <c r="H65" s="465"/>
      <c r="I65" s="465"/>
      <c r="J65" s="465"/>
      <c r="K65" s="465" t="s">
        <v>569</v>
      </c>
      <c r="L65" s="465"/>
      <c r="M65" s="54" t="s">
        <v>563</v>
      </c>
      <c r="N65" s="465">
        <v>12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209"/>
      <c r="E66" s="212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09"/>
      <c r="E67" s="212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09"/>
      <c r="E68" s="212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09"/>
      <c r="E69" s="212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09"/>
      <c r="E70" s="212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570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11" t="s">
        <v>2</v>
      </c>
      <c r="D72" s="211" t="s">
        <v>37</v>
      </c>
      <c r="E72" s="211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10" t="s">
        <v>114</v>
      </c>
      <c r="D73" s="210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09" t="s">
        <v>114</v>
      </c>
      <c r="D74" s="209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2">A74+1</f>
        <v>3</v>
      </c>
      <c r="B75" s="476"/>
      <c r="C75" s="209"/>
      <c r="D75" s="209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2"/>
        <v>4</v>
      </c>
      <c r="B76" s="476"/>
      <c r="C76" s="209"/>
      <c r="D76" s="209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5</v>
      </c>
      <c r="B77" s="476"/>
      <c r="C77" s="209"/>
      <c r="D77" s="209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6</v>
      </c>
      <c r="B78" s="476"/>
      <c r="C78" s="209"/>
      <c r="D78" s="209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7</v>
      </c>
      <c r="B79" s="476"/>
      <c r="C79" s="209"/>
      <c r="D79" s="209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8</v>
      </c>
      <c r="B80" s="476"/>
      <c r="C80" s="209"/>
      <c r="D80" s="209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9</v>
      </c>
      <c r="B81" s="476"/>
      <c r="C81" s="209"/>
      <c r="D81" s="209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571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572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0.43036466400329004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198</v>
      </c>
      <c r="D7" s="55" t="s">
        <v>361</v>
      </c>
      <c r="E7" s="57" t="s">
        <v>362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L7+2882</f>
        <v>2882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0.43036466400329004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3323</v>
      </c>
      <c r="K8" s="15">
        <f>L8+1955</f>
        <v>5278</v>
      </c>
      <c r="L8" s="15">
        <f>1775+1548</f>
        <v>3323</v>
      </c>
      <c r="M8" s="16">
        <f t="shared" si="0"/>
        <v>3323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0.43036466400329004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L9+2017+1262</f>
        <v>3279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0.43036466400329004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6540</v>
      </c>
      <c r="K10" s="15">
        <f>L10</f>
        <v>6534</v>
      </c>
      <c r="L10" s="15">
        <f>3267*2</f>
        <v>6534</v>
      </c>
      <c r="M10" s="16">
        <f t="shared" si="0"/>
        <v>6534</v>
      </c>
      <c r="N10" s="16">
        <v>0</v>
      </c>
      <c r="O10" s="62">
        <f t="shared" si="1"/>
        <v>0</v>
      </c>
      <c r="P10" s="42">
        <f t="shared" si="2"/>
        <v>12</v>
      </c>
      <c r="Q10" s="43">
        <f t="shared" si="3"/>
        <v>12</v>
      </c>
      <c r="R10" s="7"/>
      <c r="S10" s="6">
        <v>12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0.99908256880733948</v>
      </c>
      <c r="AC10" s="9">
        <f t="shared" si="5"/>
        <v>0.5</v>
      </c>
      <c r="AD10" s="10">
        <f t="shared" si="6"/>
        <v>0.49954128440366974</v>
      </c>
      <c r="AE10" s="39">
        <f t="shared" si="7"/>
        <v>0.43036466400329004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146</v>
      </c>
      <c r="D11" s="55" t="s">
        <v>251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5600</v>
      </c>
      <c r="K11" s="15">
        <f>L11+4928+5337+3014+4086+6043+4492</f>
        <v>33497</v>
      </c>
      <c r="L11" s="15">
        <f>2945+2652</f>
        <v>5597</v>
      </c>
      <c r="M11" s="16">
        <f t="shared" si="0"/>
        <v>5597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0.99946428571428569</v>
      </c>
      <c r="AC11" s="9">
        <f t="shared" si="5"/>
        <v>1</v>
      </c>
      <c r="AD11" s="10">
        <f t="shared" si="6"/>
        <v>0.99946428571428569</v>
      </c>
      <c r="AE11" s="39">
        <f t="shared" si="7"/>
        <v>0.43036466400329004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715</v>
      </c>
      <c r="K12" s="15">
        <f>L12+1265+3160+2450</f>
        <v>7590</v>
      </c>
      <c r="L12" s="15">
        <v>715</v>
      </c>
      <c r="M12" s="16">
        <f t="shared" si="0"/>
        <v>715</v>
      </c>
      <c r="N12" s="16">
        <v>0</v>
      </c>
      <c r="O12" s="62">
        <f t="shared" si="1"/>
        <v>0</v>
      </c>
      <c r="P12" s="42">
        <f t="shared" si="2"/>
        <v>3</v>
      </c>
      <c r="Q12" s="43">
        <f t="shared" si="3"/>
        <v>21</v>
      </c>
      <c r="R12" s="7"/>
      <c r="S12" s="6">
        <v>21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0.125</v>
      </c>
      <c r="AD12" s="10">
        <f t="shared" si="6"/>
        <v>0.125</v>
      </c>
      <c r="AE12" s="39">
        <f t="shared" si="7"/>
        <v>0.43036466400329004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379</v>
      </c>
      <c r="D13" s="55" t="s">
        <v>573</v>
      </c>
      <c r="E13" s="57" t="s">
        <v>574</v>
      </c>
      <c r="F13" s="12">
        <v>7301</v>
      </c>
      <c r="G13" s="12">
        <v>1</v>
      </c>
      <c r="H13" s="13">
        <v>25</v>
      </c>
      <c r="I13" s="7">
        <v>2055</v>
      </c>
      <c r="J13" s="14">
        <v>2567</v>
      </c>
      <c r="K13" s="15">
        <f>L13</f>
        <v>2567</v>
      </c>
      <c r="L13" s="15">
        <f>2290+277</f>
        <v>2567</v>
      </c>
      <c r="M13" s="16">
        <f t="shared" si="0"/>
        <v>2567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/>
      <c r="T13" s="17"/>
      <c r="U13" s="17"/>
      <c r="V13" s="18"/>
      <c r="W13" s="19">
        <v>10</v>
      </c>
      <c r="X13" s="17"/>
      <c r="Y13" s="20"/>
      <c r="Z13" s="20"/>
      <c r="AA13" s="21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9">
        <f t="shared" si="7"/>
        <v>0.43036466400329004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778</v>
      </c>
      <c r="K14" s="15">
        <f>L14+362+578+779+823</f>
        <v>3320</v>
      </c>
      <c r="L14" s="15">
        <f>778</f>
        <v>778</v>
      </c>
      <c r="M14" s="16">
        <f t="shared" si="0"/>
        <v>778</v>
      </c>
      <c r="N14" s="16">
        <v>0</v>
      </c>
      <c r="O14" s="62">
        <f t="shared" si="1"/>
        <v>0</v>
      </c>
      <c r="P14" s="42">
        <f t="shared" si="2"/>
        <v>12</v>
      </c>
      <c r="Q14" s="43">
        <f t="shared" si="3"/>
        <v>12</v>
      </c>
      <c r="R14" s="7"/>
      <c r="S14" s="6"/>
      <c r="T14" s="17"/>
      <c r="U14" s="17"/>
      <c r="V14" s="18">
        <v>12</v>
      </c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0.5</v>
      </c>
      <c r="AD14" s="10">
        <f t="shared" si="6"/>
        <v>0.5</v>
      </c>
      <c r="AE14" s="39">
        <f t="shared" si="7"/>
        <v>0.43036466400329004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146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L15+600</f>
        <v>600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0.43036466400329004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11782</v>
      </c>
      <c r="K16" s="15">
        <f>L16+8022+9598</f>
        <v>29402</v>
      </c>
      <c r="L16" s="15">
        <f>3107*2+2784*2</f>
        <v>11782</v>
      </c>
      <c r="M16" s="16">
        <f t="shared" si="0"/>
        <v>11782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0.43036466400329004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</f>
        <v>434</v>
      </c>
      <c r="L17" s="15">
        <f>434</f>
        <v>434</v>
      </c>
      <c r="M17" s="16">
        <f t="shared" si="0"/>
        <v>434</v>
      </c>
      <c r="N17" s="16">
        <v>0</v>
      </c>
      <c r="O17" s="62">
        <f t="shared" si="1"/>
        <v>0</v>
      </c>
      <c r="P17" s="42">
        <f t="shared" si="2"/>
        <v>4</v>
      </c>
      <c r="Q17" s="43">
        <f t="shared" si="3"/>
        <v>20</v>
      </c>
      <c r="R17" s="7"/>
      <c r="S17" s="6"/>
      <c r="T17" s="17"/>
      <c r="U17" s="17"/>
      <c r="V17" s="18"/>
      <c r="W17" s="19">
        <v>20</v>
      </c>
      <c r="X17" s="17"/>
      <c r="Y17" s="20"/>
      <c r="Z17" s="20"/>
      <c r="AA17" s="21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9">
        <f t="shared" si="7"/>
        <v>0.43036466400329004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145</v>
      </c>
      <c r="E18" s="57" t="s">
        <v>328</v>
      </c>
      <c r="F18" s="33" t="s">
        <v>348</v>
      </c>
      <c r="G18" s="36">
        <v>1</v>
      </c>
      <c r="H18" s="38">
        <v>25</v>
      </c>
      <c r="I18" s="7">
        <v>30000</v>
      </c>
      <c r="J18" s="5">
        <v>2810</v>
      </c>
      <c r="K18" s="15">
        <f>L18+4325+5084+2994+5501+4276</f>
        <v>24986</v>
      </c>
      <c r="L18" s="15">
        <f>1605+1201</f>
        <v>2806</v>
      </c>
      <c r="M18" s="16">
        <f t="shared" si="0"/>
        <v>2806</v>
      </c>
      <c r="N18" s="16">
        <v>0</v>
      </c>
      <c r="O18" s="62">
        <f t="shared" si="1"/>
        <v>0</v>
      </c>
      <c r="P18" s="42">
        <f t="shared" si="2"/>
        <v>14</v>
      </c>
      <c r="Q18" s="43">
        <f t="shared" si="3"/>
        <v>10</v>
      </c>
      <c r="R18" s="7"/>
      <c r="S18" s="6">
        <v>10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0.99857651245551604</v>
      </c>
      <c r="AC18" s="9">
        <f t="shared" si="5"/>
        <v>0.58333333333333337</v>
      </c>
      <c r="AD18" s="10">
        <f t="shared" si="6"/>
        <v>0.58250296559905101</v>
      </c>
      <c r="AE18" s="39">
        <f t="shared" si="7"/>
        <v>0.43036466400329004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545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6740</v>
      </c>
      <c r="K19" s="15">
        <f>L19+3258+4398+5144+3460+6323+4564+5384+7161+2960+2789+7049+2970+3630+7299+2728+7313+2343+2949+7245+6653+3346+1425+4904+7358+4346+3100</f>
        <v>126832</v>
      </c>
      <c r="L19" s="15">
        <f>3873+2860</f>
        <v>6733</v>
      </c>
      <c r="M19" s="16">
        <f t="shared" si="0"/>
        <v>6733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0.99896142433234425</v>
      </c>
      <c r="AC19" s="9">
        <f t="shared" si="5"/>
        <v>1</v>
      </c>
      <c r="AD19" s="10">
        <f t="shared" si="6"/>
        <v>0.99896142433234425</v>
      </c>
      <c r="AE19" s="39">
        <f t="shared" si="7"/>
        <v>0.43036466400329004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0.43036466400329004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1318255</v>
      </c>
      <c r="J21" s="22">
        <f t="shared" si="9"/>
        <v>57117</v>
      </c>
      <c r="K21" s="23">
        <f t="shared" si="9"/>
        <v>459905</v>
      </c>
      <c r="L21" s="24">
        <f t="shared" si="9"/>
        <v>41269</v>
      </c>
      <c r="M21" s="23">
        <f t="shared" si="9"/>
        <v>41269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155</v>
      </c>
      <c r="Q21" s="46">
        <f t="shared" si="10"/>
        <v>205</v>
      </c>
      <c r="R21" s="26">
        <f t="shared" si="10"/>
        <v>0</v>
      </c>
      <c r="S21" s="27">
        <f t="shared" si="10"/>
        <v>43</v>
      </c>
      <c r="T21" s="27">
        <f t="shared" si="10"/>
        <v>0</v>
      </c>
      <c r="U21" s="27">
        <f t="shared" si="10"/>
        <v>0</v>
      </c>
      <c r="V21" s="28">
        <f t="shared" si="10"/>
        <v>12</v>
      </c>
      <c r="W21" s="29">
        <f t="shared" si="10"/>
        <v>150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0.66640565275396568</v>
      </c>
      <c r="AC21" s="4">
        <f>SUM(AC6:AC20)/15</f>
        <v>0.43055555555555558</v>
      </c>
      <c r="AD21" s="4">
        <f>SUM(AD6:AD20)/15</f>
        <v>0.43036466400329004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594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595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22" t="s">
        <v>46</v>
      </c>
      <c r="D50" s="222" t="s">
        <v>47</v>
      </c>
      <c r="E50" s="222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22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579</v>
      </c>
      <c r="B51" s="444"/>
      <c r="C51" s="223" t="s">
        <v>580</v>
      </c>
      <c r="D51" s="224" t="s">
        <v>581</v>
      </c>
      <c r="E51" s="223" t="s">
        <v>582</v>
      </c>
      <c r="F51" s="445" t="s">
        <v>137</v>
      </c>
      <c r="G51" s="445"/>
      <c r="H51" s="445"/>
      <c r="I51" s="445"/>
      <c r="J51" s="445"/>
      <c r="K51" s="445"/>
      <c r="L51" s="445"/>
      <c r="M51" s="446"/>
      <c r="N51" s="228" t="s">
        <v>114</v>
      </c>
      <c r="O51" s="74" t="s">
        <v>300</v>
      </c>
      <c r="P51" s="448" t="s">
        <v>597</v>
      </c>
      <c r="Q51" s="449"/>
      <c r="R51" s="447" t="s">
        <v>596</v>
      </c>
      <c r="S51" s="447"/>
      <c r="T51" s="447"/>
      <c r="U51" s="447"/>
      <c r="V51" s="445" t="s">
        <v>598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43" t="s">
        <v>579</v>
      </c>
      <c r="B52" s="444"/>
      <c r="C52" s="223" t="s">
        <v>238</v>
      </c>
      <c r="D52" s="224" t="s">
        <v>583</v>
      </c>
      <c r="E52" s="223" t="s">
        <v>584</v>
      </c>
      <c r="F52" s="445" t="s">
        <v>585</v>
      </c>
      <c r="G52" s="445"/>
      <c r="H52" s="445"/>
      <c r="I52" s="445"/>
      <c r="J52" s="445"/>
      <c r="K52" s="445"/>
      <c r="L52" s="445"/>
      <c r="M52" s="446"/>
      <c r="N52" s="228" t="s">
        <v>114</v>
      </c>
      <c r="O52" s="74" t="s">
        <v>549</v>
      </c>
      <c r="P52" s="448" t="s">
        <v>550</v>
      </c>
      <c r="Q52" s="449"/>
      <c r="R52" s="447" t="s">
        <v>551</v>
      </c>
      <c r="S52" s="447"/>
      <c r="T52" s="447"/>
      <c r="U52" s="447"/>
      <c r="V52" s="445" t="s">
        <v>164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451</v>
      </c>
      <c r="B53" s="447"/>
      <c r="C53" s="224" t="s">
        <v>452</v>
      </c>
      <c r="D53" s="224" t="s">
        <v>453</v>
      </c>
      <c r="E53" s="224" t="s">
        <v>454</v>
      </c>
      <c r="F53" s="445" t="s">
        <v>586</v>
      </c>
      <c r="G53" s="445"/>
      <c r="H53" s="445"/>
      <c r="I53" s="445"/>
      <c r="J53" s="445"/>
      <c r="K53" s="445"/>
      <c r="L53" s="445"/>
      <c r="M53" s="446"/>
      <c r="N53" s="228" t="s">
        <v>114</v>
      </c>
      <c r="O53" s="74" t="s">
        <v>238</v>
      </c>
      <c r="P53" s="447" t="s">
        <v>145</v>
      </c>
      <c r="Q53" s="447"/>
      <c r="R53" s="447" t="s">
        <v>556</v>
      </c>
      <c r="S53" s="447"/>
      <c r="T53" s="447"/>
      <c r="U53" s="447"/>
      <c r="V53" s="445" t="s">
        <v>164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146</v>
      </c>
      <c r="B54" s="447"/>
      <c r="C54" s="224" t="s">
        <v>587</v>
      </c>
      <c r="D54" s="224" t="s">
        <v>588</v>
      </c>
      <c r="E54" s="224" t="s">
        <v>589</v>
      </c>
      <c r="F54" s="445" t="s">
        <v>590</v>
      </c>
      <c r="G54" s="445"/>
      <c r="H54" s="445"/>
      <c r="I54" s="445"/>
      <c r="J54" s="445"/>
      <c r="K54" s="445"/>
      <c r="L54" s="445"/>
      <c r="M54" s="446"/>
      <c r="N54" s="228" t="s">
        <v>114</v>
      </c>
      <c r="O54" s="74" t="s">
        <v>600</v>
      </c>
      <c r="P54" s="447" t="s">
        <v>581</v>
      </c>
      <c r="Q54" s="447"/>
      <c r="R54" s="447" t="s">
        <v>599</v>
      </c>
      <c r="S54" s="447"/>
      <c r="T54" s="447"/>
      <c r="U54" s="447"/>
      <c r="V54" s="445" t="s">
        <v>598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542</v>
      </c>
      <c r="B55" s="447"/>
      <c r="C55" s="224" t="s">
        <v>253</v>
      </c>
      <c r="D55" s="224" t="s">
        <v>591</v>
      </c>
      <c r="E55" s="224" t="s">
        <v>592</v>
      </c>
      <c r="F55" s="445" t="s">
        <v>593</v>
      </c>
      <c r="G55" s="445"/>
      <c r="H55" s="445"/>
      <c r="I55" s="445"/>
      <c r="J55" s="445"/>
      <c r="K55" s="445"/>
      <c r="L55" s="445"/>
      <c r="M55" s="446"/>
      <c r="N55" s="228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23"/>
      <c r="D56" s="224"/>
      <c r="E56" s="223"/>
      <c r="F56" s="445"/>
      <c r="G56" s="445"/>
      <c r="H56" s="445"/>
      <c r="I56" s="445"/>
      <c r="J56" s="445"/>
      <c r="K56" s="445"/>
      <c r="L56" s="445"/>
      <c r="M56" s="446"/>
      <c r="N56" s="228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23"/>
      <c r="D57" s="224"/>
      <c r="E57" s="223"/>
      <c r="F57" s="445"/>
      <c r="G57" s="445"/>
      <c r="H57" s="445"/>
      <c r="I57" s="445"/>
      <c r="J57" s="445"/>
      <c r="K57" s="445"/>
      <c r="L57" s="445"/>
      <c r="M57" s="446"/>
      <c r="N57" s="228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23"/>
      <c r="D58" s="224"/>
      <c r="E58" s="223"/>
      <c r="F58" s="445"/>
      <c r="G58" s="445"/>
      <c r="H58" s="445"/>
      <c r="I58" s="445"/>
      <c r="J58" s="445"/>
      <c r="K58" s="445"/>
      <c r="L58" s="445"/>
      <c r="M58" s="446"/>
      <c r="N58" s="228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24"/>
      <c r="D59" s="224"/>
      <c r="E59" s="224"/>
      <c r="F59" s="445"/>
      <c r="G59" s="445"/>
      <c r="H59" s="445"/>
      <c r="I59" s="445"/>
      <c r="J59" s="445"/>
      <c r="K59" s="445"/>
      <c r="L59" s="445"/>
      <c r="M59" s="446"/>
      <c r="N59" s="228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26"/>
      <c r="D60" s="226"/>
      <c r="E60" s="226"/>
      <c r="F60" s="452"/>
      <c r="G60" s="452"/>
      <c r="H60" s="452"/>
      <c r="I60" s="452"/>
      <c r="J60" s="452"/>
      <c r="K60" s="452"/>
      <c r="L60" s="452"/>
      <c r="M60" s="453"/>
      <c r="N60" s="225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601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27" t="s">
        <v>2</v>
      </c>
      <c r="D62" s="227" t="s">
        <v>37</v>
      </c>
      <c r="E62" s="227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27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146</v>
      </c>
      <c r="D63" s="231"/>
      <c r="E63" s="229" t="s">
        <v>172</v>
      </c>
      <c r="F63" s="464" t="s">
        <v>602</v>
      </c>
      <c r="G63" s="465"/>
      <c r="H63" s="465"/>
      <c r="I63" s="465"/>
      <c r="J63" s="465"/>
      <c r="K63" s="465" t="s">
        <v>562</v>
      </c>
      <c r="L63" s="465"/>
      <c r="M63" s="54" t="s">
        <v>170</v>
      </c>
      <c r="N63" s="465">
        <v>4</v>
      </c>
      <c r="O63" s="465"/>
      <c r="P63" s="466">
        <v>200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564</v>
      </c>
      <c r="D64" s="231"/>
      <c r="E64" s="229" t="s">
        <v>603</v>
      </c>
      <c r="F64" s="464" t="s">
        <v>604</v>
      </c>
      <c r="G64" s="465"/>
      <c r="H64" s="465"/>
      <c r="I64" s="465"/>
      <c r="J64" s="465"/>
      <c r="K64" s="465" t="s">
        <v>605</v>
      </c>
      <c r="L64" s="465"/>
      <c r="M64" s="54" t="s">
        <v>170</v>
      </c>
      <c r="N64" s="465">
        <v>4</v>
      </c>
      <c r="O64" s="465"/>
      <c r="P64" s="466"/>
      <c r="Q64" s="466"/>
      <c r="R64" s="445" t="s">
        <v>606</v>
      </c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231"/>
      <c r="E65" s="229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231"/>
      <c r="E66" s="229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31"/>
      <c r="E67" s="229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31"/>
      <c r="E68" s="229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31"/>
      <c r="E69" s="229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31"/>
      <c r="E70" s="229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607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30" t="s">
        <v>2</v>
      </c>
      <c r="D72" s="230" t="s">
        <v>37</v>
      </c>
      <c r="E72" s="230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32" t="s">
        <v>114</v>
      </c>
      <c r="D73" s="232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31" t="s">
        <v>114</v>
      </c>
      <c r="D74" s="231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31"/>
      <c r="D75" s="231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31"/>
      <c r="D76" s="231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31"/>
      <c r="D77" s="231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31"/>
      <c r="D78" s="231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31"/>
      <c r="D79" s="231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31"/>
      <c r="D80" s="231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31"/>
      <c r="D81" s="231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608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R64" sqref="R64:AA6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609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44" t="s">
        <v>17</v>
      </c>
      <c r="L5" s="244" t="s">
        <v>18</v>
      </c>
      <c r="M5" s="244" t="s">
        <v>19</v>
      </c>
      <c r="N5" s="24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0.41371133780230418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198</v>
      </c>
      <c r="D7" s="55" t="s">
        <v>361</v>
      </c>
      <c r="E7" s="57" t="s">
        <v>362</v>
      </c>
      <c r="F7" s="33" t="s">
        <v>378</v>
      </c>
      <c r="G7" s="12">
        <v>2</v>
      </c>
      <c r="H7" s="13">
        <v>25</v>
      </c>
      <c r="I7" s="34">
        <v>1000</v>
      </c>
      <c r="J7" s="5">
        <v>2890</v>
      </c>
      <c r="K7" s="15">
        <f>L7+2882</f>
        <v>2882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0.41371133780230418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3370</v>
      </c>
      <c r="K8" s="15">
        <f>L8+1955+3323</f>
        <v>8646</v>
      </c>
      <c r="L8" s="15">
        <f>1777+1591</f>
        <v>3368</v>
      </c>
      <c r="M8" s="16">
        <f t="shared" si="0"/>
        <v>3368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0.99940652818991094</v>
      </c>
      <c r="AC8" s="9">
        <f t="shared" si="5"/>
        <v>1</v>
      </c>
      <c r="AD8" s="10">
        <f t="shared" si="6"/>
        <v>0.99940652818991094</v>
      </c>
      <c r="AE8" s="39">
        <f t="shared" si="7"/>
        <v>0.41371133780230418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L9+2017+1262</f>
        <v>3279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0.41371133780230418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16360</v>
      </c>
      <c r="K10" s="15">
        <f>L10+6534</f>
        <v>22894</v>
      </c>
      <c r="L10" s="15">
        <f>4185*2+3995*2</f>
        <v>16360</v>
      </c>
      <c r="M10" s="16">
        <f t="shared" si="0"/>
        <v>16360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0.41371133780230418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146</v>
      </c>
      <c r="D11" s="55" t="s">
        <v>251</v>
      </c>
      <c r="E11" s="57" t="s">
        <v>243</v>
      </c>
      <c r="F11" s="12" t="s">
        <v>275</v>
      </c>
      <c r="G11" s="12">
        <v>1</v>
      </c>
      <c r="H11" s="13">
        <v>25</v>
      </c>
      <c r="I11" s="34">
        <v>30000</v>
      </c>
      <c r="J11" s="14">
        <v>5990</v>
      </c>
      <c r="K11" s="15">
        <f>L11+4928+5337+3014+4086+6043+4492+5597</f>
        <v>39483</v>
      </c>
      <c r="L11" s="15">
        <f>2929+410+2647</f>
        <v>5986</v>
      </c>
      <c r="M11" s="16">
        <f t="shared" si="0"/>
        <v>5986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0.99933222036727876</v>
      </c>
      <c r="AC11" s="9">
        <f t="shared" si="5"/>
        <v>1</v>
      </c>
      <c r="AD11" s="10">
        <f t="shared" si="6"/>
        <v>0.99933222036727876</v>
      </c>
      <c r="AE11" s="39">
        <f t="shared" si="7"/>
        <v>0.41371133780230418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715</v>
      </c>
      <c r="K12" s="15">
        <f>L12+1265+3160+2450+715</f>
        <v>7590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0.41371133780230418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610</v>
      </c>
      <c r="D13" s="55" t="s">
        <v>611</v>
      </c>
      <c r="E13" s="57" t="s">
        <v>612</v>
      </c>
      <c r="F13" s="12" t="s">
        <v>613</v>
      </c>
      <c r="G13" s="12">
        <v>1</v>
      </c>
      <c r="H13" s="13">
        <v>25</v>
      </c>
      <c r="I13" s="7">
        <v>1500</v>
      </c>
      <c r="J13" s="14">
        <v>2550</v>
      </c>
      <c r="K13" s="15">
        <f>L13</f>
        <v>2549</v>
      </c>
      <c r="L13" s="15">
        <f>2211+338</f>
        <v>2549</v>
      </c>
      <c r="M13" s="16">
        <f t="shared" si="0"/>
        <v>2549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/>
      <c r="T13" s="17"/>
      <c r="U13" s="17"/>
      <c r="V13" s="18"/>
      <c r="W13" s="19">
        <v>10</v>
      </c>
      <c r="X13" s="17"/>
      <c r="Y13" s="20"/>
      <c r="Z13" s="20"/>
      <c r="AA13" s="21"/>
      <c r="AB13" s="8">
        <f t="shared" si="4"/>
        <v>0.99960784313725493</v>
      </c>
      <c r="AC13" s="9">
        <f t="shared" si="5"/>
        <v>0.58333333333333337</v>
      </c>
      <c r="AD13" s="10">
        <f t="shared" si="6"/>
        <v>0.58310457516339875</v>
      </c>
      <c r="AE13" s="39">
        <f t="shared" si="7"/>
        <v>0.41371133780230418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</f>
        <v>3862</v>
      </c>
      <c r="L14" s="15">
        <v>542</v>
      </c>
      <c r="M14" s="16">
        <f t="shared" si="0"/>
        <v>542</v>
      </c>
      <c r="N14" s="16">
        <v>0</v>
      </c>
      <c r="O14" s="62">
        <f t="shared" si="1"/>
        <v>0</v>
      </c>
      <c r="P14" s="42">
        <f t="shared" si="2"/>
        <v>6</v>
      </c>
      <c r="Q14" s="43">
        <f t="shared" si="3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9">
        <f t="shared" si="7"/>
        <v>0.41371133780230418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146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L15+600</f>
        <v>600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0.41371133780230418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11800</v>
      </c>
      <c r="K16" s="15">
        <f>L16+8022+9598+11782</f>
        <v>41200</v>
      </c>
      <c r="L16" s="15">
        <f>3120*2+2779*2</f>
        <v>11798</v>
      </c>
      <c r="M16" s="16">
        <f t="shared" si="0"/>
        <v>11798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0.99983050847457622</v>
      </c>
      <c r="AC16" s="9">
        <f t="shared" si="5"/>
        <v>1</v>
      </c>
      <c r="AD16" s="10">
        <f t="shared" si="6"/>
        <v>0.99983050847457622</v>
      </c>
      <c r="AE16" s="39">
        <f t="shared" si="7"/>
        <v>0.41371133780230418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0.41371133780230418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145</v>
      </c>
      <c r="E18" s="57" t="s">
        <v>328</v>
      </c>
      <c r="F18" s="33" t="s">
        <v>348</v>
      </c>
      <c r="G18" s="36">
        <v>1</v>
      </c>
      <c r="H18" s="38">
        <v>25</v>
      </c>
      <c r="I18" s="7">
        <v>30000</v>
      </c>
      <c r="J18" s="5">
        <v>1640</v>
      </c>
      <c r="K18" s="15">
        <f>L18+4325+5084+2994+5501+4276+2806</f>
        <v>26624</v>
      </c>
      <c r="L18" s="15">
        <f>1117+521</f>
        <v>1638</v>
      </c>
      <c r="M18" s="16">
        <f t="shared" si="0"/>
        <v>1638</v>
      </c>
      <c r="N18" s="16">
        <v>0</v>
      </c>
      <c r="O18" s="62">
        <f t="shared" si="1"/>
        <v>0</v>
      </c>
      <c r="P18" s="42">
        <f t="shared" si="2"/>
        <v>9</v>
      </c>
      <c r="Q18" s="43">
        <f t="shared" si="3"/>
        <v>15</v>
      </c>
      <c r="R18" s="7"/>
      <c r="S18" s="6">
        <v>15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0.99878048780487805</v>
      </c>
      <c r="AC18" s="9">
        <f t="shared" si="5"/>
        <v>0.375</v>
      </c>
      <c r="AD18" s="10">
        <f t="shared" si="6"/>
        <v>0.37454268292682924</v>
      </c>
      <c r="AE18" s="39">
        <f t="shared" si="7"/>
        <v>0.41371133780230418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545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7320</v>
      </c>
      <c r="K19" s="15">
        <f>L19+3258+4398+5144+3460+6323+4564+5384+7161+2960+2789+7049+2970+3630+7299+2728+7313+2343+2949+7245+6653+3346+1425+4904+7358+4346+3100+6733</f>
        <v>134148</v>
      </c>
      <c r="L19" s="15">
        <f>3441+3875</f>
        <v>7316</v>
      </c>
      <c r="M19" s="16">
        <f t="shared" si="0"/>
        <v>7316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0.99945355191256835</v>
      </c>
      <c r="AC19" s="9">
        <f t="shared" si="5"/>
        <v>1</v>
      </c>
      <c r="AD19" s="10">
        <f t="shared" si="6"/>
        <v>0.99945355191256835</v>
      </c>
      <c r="AE19" s="39">
        <f t="shared" si="7"/>
        <v>0.41371133780230418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0.41371133780230418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1317700</v>
      </c>
      <c r="J21" s="22">
        <f t="shared" si="9"/>
        <v>66549</v>
      </c>
      <c r="K21" s="23">
        <f t="shared" si="9"/>
        <v>506895</v>
      </c>
      <c r="L21" s="24">
        <f t="shared" si="9"/>
        <v>49557</v>
      </c>
      <c r="M21" s="23">
        <f t="shared" si="9"/>
        <v>49557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149</v>
      </c>
      <c r="Q21" s="46">
        <f t="shared" si="10"/>
        <v>211</v>
      </c>
      <c r="R21" s="26">
        <f t="shared" si="10"/>
        <v>0</v>
      </c>
      <c r="S21" s="27">
        <f t="shared" si="10"/>
        <v>39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0.53309407599243108</v>
      </c>
      <c r="AC21" s="4">
        <f>SUM(AC6:AC20)/15</f>
        <v>0.41388888888888892</v>
      </c>
      <c r="AD21" s="4">
        <f>SUM(AD6:AD20)/15</f>
        <v>0.41371133780230418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614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620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43" t="s">
        <v>46</v>
      </c>
      <c r="D50" s="243" t="s">
        <v>47</v>
      </c>
      <c r="E50" s="243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43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579</v>
      </c>
      <c r="B51" s="444"/>
      <c r="C51" s="242" t="s">
        <v>238</v>
      </c>
      <c r="D51" s="239" t="s">
        <v>583</v>
      </c>
      <c r="E51" s="242" t="s">
        <v>584</v>
      </c>
      <c r="F51" s="445" t="s">
        <v>615</v>
      </c>
      <c r="G51" s="445"/>
      <c r="H51" s="445"/>
      <c r="I51" s="445"/>
      <c r="J51" s="445"/>
      <c r="K51" s="445"/>
      <c r="L51" s="445"/>
      <c r="M51" s="446"/>
      <c r="N51" s="238" t="s">
        <v>114</v>
      </c>
      <c r="O51" s="74" t="s">
        <v>549</v>
      </c>
      <c r="P51" s="448" t="s">
        <v>550</v>
      </c>
      <c r="Q51" s="449"/>
      <c r="R51" s="447" t="s">
        <v>551</v>
      </c>
      <c r="S51" s="447"/>
      <c r="T51" s="447"/>
      <c r="U51" s="447"/>
      <c r="V51" s="445" t="s">
        <v>164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451</v>
      </c>
      <c r="B52" s="447"/>
      <c r="C52" s="239" t="s">
        <v>452</v>
      </c>
      <c r="D52" s="239" t="s">
        <v>453</v>
      </c>
      <c r="E52" s="239" t="s">
        <v>454</v>
      </c>
      <c r="F52" s="445" t="s">
        <v>616</v>
      </c>
      <c r="G52" s="445"/>
      <c r="H52" s="445"/>
      <c r="I52" s="445"/>
      <c r="J52" s="445"/>
      <c r="K52" s="445"/>
      <c r="L52" s="445"/>
      <c r="M52" s="446"/>
      <c r="N52" s="238" t="s">
        <v>114</v>
      </c>
      <c r="O52" s="74" t="s">
        <v>238</v>
      </c>
      <c r="P52" s="447" t="s">
        <v>145</v>
      </c>
      <c r="Q52" s="447"/>
      <c r="R52" s="447" t="s">
        <v>556</v>
      </c>
      <c r="S52" s="447"/>
      <c r="T52" s="447"/>
      <c r="U52" s="447"/>
      <c r="V52" s="445" t="s">
        <v>164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610</v>
      </c>
      <c r="B53" s="447"/>
      <c r="C53" s="239" t="s">
        <v>300</v>
      </c>
      <c r="D53" s="239" t="s">
        <v>617</v>
      </c>
      <c r="E53" s="239" t="s">
        <v>618</v>
      </c>
      <c r="F53" s="445" t="s">
        <v>619</v>
      </c>
      <c r="G53" s="445"/>
      <c r="H53" s="445"/>
      <c r="I53" s="445"/>
      <c r="J53" s="445"/>
      <c r="K53" s="445"/>
      <c r="L53" s="445"/>
      <c r="M53" s="446"/>
      <c r="N53" s="238" t="s">
        <v>114</v>
      </c>
      <c r="O53" s="74" t="s">
        <v>600</v>
      </c>
      <c r="P53" s="447" t="s">
        <v>581</v>
      </c>
      <c r="Q53" s="447"/>
      <c r="R53" s="447" t="s">
        <v>599</v>
      </c>
      <c r="S53" s="447"/>
      <c r="T53" s="447"/>
      <c r="U53" s="447"/>
      <c r="V53" s="445" t="s">
        <v>598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239"/>
      <c r="D54" s="239"/>
      <c r="E54" s="239"/>
      <c r="F54" s="445"/>
      <c r="G54" s="445"/>
      <c r="H54" s="445"/>
      <c r="I54" s="445"/>
      <c r="J54" s="445"/>
      <c r="K54" s="445"/>
      <c r="L54" s="445"/>
      <c r="M54" s="446"/>
      <c r="N54" s="238" t="s">
        <v>621</v>
      </c>
      <c r="O54" s="74" t="s">
        <v>300</v>
      </c>
      <c r="P54" s="447" t="s">
        <v>622</v>
      </c>
      <c r="Q54" s="447"/>
      <c r="R54" s="447" t="s">
        <v>623</v>
      </c>
      <c r="S54" s="447"/>
      <c r="T54" s="447"/>
      <c r="U54" s="447"/>
      <c r="V54" s="445" t="s">
        <v>598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239"/>
      <c r="D55" s="239"/>
      <c r="E55" s="239"/>
      <c r="F55" s="445"/>
      <c r="G55" s="445"/>
      <c r="H55" s="445"/>
      <c r="I55" s="445"/>
      <c r="J55" s="445"/>
      <c r="K55" s="445"/>
      <c r="L55" s="445"/>
      <c r="M55" s="446"/>
      <c r="N55" s="238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42"/>
      <c r="D56" s="239"/>
      <c r="E56" s="242"/>
      <c r="F56" s="445"/>
      <c r="G56" s="445"/>
      <c r="H56" s="445"/>
      <c r="I56" s="445"/>
      <c r="J56" s="445"/>
      <c r="K56" s="445"/>
      <c r="L56" s="445"/>
      <c r="M56" s="446"/>
      <c r="N56" s="238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42"/>
      <c r="D57" s="239"/>
      <c r="E57" s="242"/>
      <c r="F57" s="445"/>
      <c r="G57" s="445"/>
      <c r="H57" s="445"/>
      <c r="I57" s="445"/>
      <c r="J57" s="445"/>
      <c r="K57" s="445"/>
      <c r="L57" s="445"/>
      <c r="M57" s="446"/>
      <c r="N57" s="238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42"/>
      <c r="D58" s="239"/>
      <c r="E58" s="242"/>
      <c r="F58" s="445"/>
      <c r="G58" s="445"/>
      <c r="H58" s="445"/>
      <c r="I58" s="445"/>
      <c r="J58" s="445"/>
      <c r="K58" s="445"/>
      <c r="L58" s="445"/>
      <c r="M58" s="446"/>
      <c r="N58" s="238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39"/>
      <c r="D59" s="239"/>
      <c r="E59" s="239"/>
      <c r="F59" s="445"/>
      <c r="G59" s="445"/>
      <c r="H59" s="445"/>
      <c r="I59" s="445"/>
      <c r="J59" s="445"/>
      <c r="K59" s="445"/>
      <c r="L59" s="445"/>
      <c r="M59" s="446"/>
      <c r="N59" s="238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41"/>
      <c r="D60" s="241"/>
      <c r="E60" s="241"/>
      <c r="F60" s="452"/>
      <c r="G60" s="452"/>
      <c r="H60" s="452"/>
      <c r="I60" s="452"/>
      <c r="J60" s="452"/>
      <c r="K60" s="452"/>
      <c r="L60" s="452"/>
      <c r="M60" s="453"/>
      <c r="N60" s="240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624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37" t="s">
        <v>2</v>
      </c>
      <c r="D62" s="237" t="s">
        <v>37</v>
      </c>
      <c r="E62" s="237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37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396</v>
      </c>
      <c r="D63" s="233"/>
      <c r="E63" s="236"/>
      <c r="F63" s="464" t="s">
        <v>626</v>
      </c>
      <c r="G63" s="465"/>
      <c r="H63" s="465"/>
      <c r="I63" s="465"/>
      <c r="J63" s="465"/>
      <c r="K63" s="465" t="s">
        <v>625</v>
      </c>
      <c r="L63" s="465"/>
      <c r="M63" s="54" t="s">
        <v>170</v>
      </c>
      <c r="N63" s="465">
        <v>4</v>
      </c>
      <c r="O63" s="465"/>
      <c r="P63" s="466"/>
      <c r="Q63" s="466"/>
      <c r="R63" s="445" t="s">
        <v>629</v>
      </c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233"/>
      <c r="E64" s="236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233"/>
      <c r="E65" s="236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233"/>
      <c r="E66" s="236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33"/>
      <c r="E67" s="236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33"/>
      <c r="E68" s="236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33"/>
      <c r="E69" s="236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33"/>
      <c r="E70" s="236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627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35" t="s">
        <v>2</v>
      </c>
      <c r="D72" s="235" t="s">
        <v>37</v>
      </c>
      <c r="E72" s="235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34" t="s">
        <v>114</v>
      </c>
      <c r="D73" s="234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33" t="s">
        <v>114</v>
      </c>
      <c r="D74" s="233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33"/>
      <c r="D75" s="233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33"/>
      <c r="D76" s="233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33"/>
      <c r="D77" s="233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33"/>
      <c r="D78" s="233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33"/>
      <c r="D79" s="233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33"/>
      <c r="D80" s="233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33"/>
      <c r="D81" s="233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628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A65" sqref="A65:XFD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630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0.46614808256339813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631</v>
      </c>
      <c r="D7" s="55" t="s">
        <v>632</v>
      </c>
      <c r="E7" s="57" t="s">
        <v>633</v>
      </c>
      <c r="F7" s="33" t="s">
        <v>634</v>
      </c>
      <c r="G7" s="12">
        <v>1</v>
      </c>
      <c r="H7" s="13">
        <v>25</v>
      </c>
      <c r="I7" s="34">
        <v>6000</v>
      </c>
      <c r="J7" s="5">
        <v>3700</v>
      </c>
      <c r="K7" s="15">
        <f>L7</f>
        <v>3691</v>
      </c>
      <c r="L7" s="15">
        <f>2415+1276</f>
        <v>3691</v>
      </c>
      <c r="M7" s="16">
        <f t="shared" si="0"/>
        <v>3691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/>
      <c r="T7" s="17">
        <v>3</v>
      </c>
      <c r="U7" s="17"/>
      <c r="V7" s="18"/>
      <c r="W7" s="19"/>
      <c r="X7" s="17"/>
      <c r="Y7" s="20"/>
      <c r="Z7" s="20"/>
      <c r="AA7" s="21"/>
      <c r="AB7" s="8">
        <f t="shared" si="4"/>
        <v>0.99756756756756759</v>
      </c>
      <c r="AC7" s="9">
        <f t="shared" si="5"/>
        <v>0.875</v>
      </c>
      <c r="AD7" s="10">
        <f t="shared" si="6"/>
        <v>0.87287162162162168</v>
      </c>
      <c r="AE7" s="39">
        <f t="shared" si="7"/>
        <v>0.46614808256339813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3350</v>
      </c>
      <c r="K8" s="15">
        <f>L8+1955+3323+3368</f>
        <v>11991</v>
      </c>
      <c r="L8" s="15">
        <f>1776+1569</f>
        <v>3345</v>
      </c>
      <c r="M8" s="16">
        <f t="shared" si="0"/>
        <v>3345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0.9985074626865672</v>
      </c>
      <c r="AC8" s="9">
        <f t="shared" si="5"/>
        <v>1</v>
      </c>
      <c r="AD8" s="10">
        <f t="shared" si="6"/>
        <v>0.9985074626865672</v>
      </c>
      <c r="AE8" s="39">
        <f t="shared" si="7"/>
        <v>0.46614808256339813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L9+2017+1262</f>
        <v>3279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0.46614808256339813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16960</v>
      </c>
      <c r="K10" s="15">
        <f>L10+6534+16360</f>
        <v>39848</v>
      </c>
      <c r="L10" s="15">
        <f>4591*2+3886*2</f>
        <v>16954</v>
      </c>
      <c r="M10" s="16">
        <f t="shared" si="0"/>
        <v>16954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0.99964622641509437</v>
      </c>
      <c r="AC10" s="9">
        <f t="shared" si="5"/>
        <v>1</v>
      </c>
      <c r="AD10" s="10">
        <f t="shared" si="6"/>
        <v>0.99964622641509437</v>
      </c>
      <c r="AE10" s="39">
        <f t="shared" si="7"/>
        <v>0.46614808256339813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635</v>
      </c>
      <c r="E11" s="57" t="s">
        <v>636</v>
      </c>
      <c r="F11" s="12" t="s">
        <v>637</v>
      </c>
      <c r="G11" s="12">
        <v>1</v>
      </c>
      <c r="H11" s="13">
        <v>25</v>
      </c>
      <c r="I11" s="34">
        <v>250</v>
      </c>
      <c r="J11" s="14">
        <v>540</v>
      </c>
      <c r="K11" s="15">
        <f>L11</f>
        <v>540</v>
      </c>
      <c r="L11" s="15">
        <f>540</f>
        <v>540</v>
      </c>
      <c r="M11" s="16">
        <f t="shared" si="0"/>
        <v>540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0.46614808256339813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2960</v>
      </c>
      <c r="K12" s="15">
        <f>L12+1265+3160+2450+715</f>
        <v>10542</v>
      </c>
      <c r="L12" s="15">
        <f>392+2560</f>
        <v>2952</v>
      </c>
      <c r="M12" s="16">
        <f t="shared" si="0"/>
        <v>2952</v>
      </c>
      <c r="N12" s="16">
        <v>0</v>
      </c>
      <c r="O12" s="62">
        <f t="shared" si="1"/>
        <v>0</v>
      </c>
      <c r="P12" s="42">
        <f t="shared" si="2"/>
        <v>17</v>
      </c>
      <c r="Q12" s="43">
        <f t="shared" si="3"/>
        <v>7</v>
      </c>
      <c r="R12" s="7"/>
      <c r="S12" s="6">
        <v>7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0.99729729729729732</v>
      </c>
      <c r="AC12" s="9">
        <f t="shared" si="5"/>
        <v>0.70833333333333337</v>
      </c>
      <c r="AD12" s="10">
        <f t="shared" si="6"/>
        <v>0.70641891891891895</v>
      </c>
      <c r="AE12" s="39">
        <f t="shared" si="7"/>
        <v>0.46614808256339813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638</v>
      </c>
      <c r="D13" s="55" t="s">
        <v>639</v>
      </c>
      <c r="E13" s="57" t="s">
        <v>640</v>
      </c>
      <c r="F13" s="12" t="s">
        <v>641</v>
      </c>
      <c r="G13" s="12">
        <v>1</v>
      </c>
      <c r="H13" s="13">
        <v>25</v>
      </c>
      <c r="I13" s="7">
        <v>1000</v>
      </c>
      <c r="J13" s="14">
        <v>1160</v>
      </c>
      <c r="K13" s="15">
        <f>L13</f>
        <v>1159</v>
      </c>
      <c r="L13" s="15">
        <f>1159</f>
        <v>1159</v>
      </c>
      <c r="M13" s="16">
        <f t="shared" si="0"/>
        <v>1159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0.99913793103448278</v>
      </c>
      <c r="AC13" s="9">
        <f t="shared" si="5"/>
        <v>0.41666666666666669</v>
      </c>
      <c r="AD13" s="10">
        <f t="shared" si="6"/>
        <v>0.41630747126436785</v>
      </c>
      <c r="AE13" s="39">
        <f t="shared" si="7"/>
        <v>0.46614808256339813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0.46614808256339813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146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L15+600</f>
        <v>600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0.46614808256339813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11820</v>
      </c>
      <c r="K16" s="15">
        <f>L16+8022+9598+11782+11798</f>
        <v>53016</v>
      </c>
      <c r="L16" s="15">
        <f>2776*2+3132*2</f>
        <v>11816</v>
      </c>
      <c r="M16" s="16">
        <f t="shared" si="0"/>
        <v>11816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0.99966159052453474</v>
      </c>
      <c r="AC16" s="9">
        <f t="shared" si="5"/>
        <v>1</v>
      </c>
      <c r="AD16" s="10">
        <f t="shared" si="6"/>
        <v>0.99966159052453474</v>
      </c>
      <c r="AE16" s="39">
        <f t="shared" si="7"/>
        <v>0.46614808256339813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0.46614808256339813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145</v>
      </c>
      <c r="E18" s="57" t="s">
        <v>328</v>
      </c>
      <c r="F18" s="33" t="s">
        <v>348</v>
      </c>
      <c r="G18" s="36">
        <v>1</v>
      </c>
      <c r="H18" s="38">
        <v>25</v>
      </c>
      <c r="I18" s="7">
        <v>30000</v>
      </c>
      <c r="J18" s="5">
        <v>3880</v>
      </c>
      <c r="K18" s="15">
        <f>L18+4325+5084+2994+5501+4276+2806+1638</f>
        <v>30504</v>
      </c>
      <c r="L18" s="15">
        <f>2720+1160</f>
        <v>3880</v>
      </c>
      <c r="M18" s="16">
        <f t="shared" si="0"/>
        <v>3880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0.83333333333333337</v>
      </c>
      <c r="AD18" s="10">
        <f t="shared" si="6"/>
        <v>0.83333333333333337</v>
      </c>
      <c r="AE18" s="39">
        <f t="shared" si="7"/>
        <v>0.46614808256339813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133</v>
      </c>
      <c r="E19" s="57" t="s">
        <v>132</v>
      </c>
      <c r="F19" s="12" t="s">
        <v>127</v>
      </c>
      <c r="G19" s="12" t="s">
        <v>134</v>
      </c>
      <c r="H19" s="13">
        <v>25</v>
      </c>
      <c r="I19" s="7">
        <v>130000</v>
      </c>
      <c r="J19" s="14">
        <v>7550</v>
      </c>
      <c r="K19" s="15">
        <f>L19+3258+4398+5144+3460+6323+4564+5384+7161+2960+2789+7049+2970+3630+7299+2728+7313+2343+2949+7245+6653+3346+1425+4904+7358+4346+3100+6733+7316</f>
        <v>141689</v>
      </c>
      <c r="L19" s="15">
        <f>4014+3527</f>
        <v>7541</v>
      </c>
      <c r="M19" s="16">
        <f t="shared" si="0"/>
        <v>7541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0.99880794701986753</v>
      </c>
      <c r="AC19" s="9">
        <f t="shared" si="5"/>
        <v>1</v>
      </c>
      <c r="AD19" s="10">
        <f t="shared" si="6"/>
        <v>0.99880794701986753</v>
      </c>
      <c r="AE19" s="39">
        <f t="shared" si="7"/>
        <v>0.46614808256339813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0.46614808256339813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1292450</v>
      </c>
      <c r="J21" s="22">
        <f t="shared" si="9"/>
        <v>65834</v>
      </c>
      <c r="K21" s="23">
        <f t="shared" si="9"/>
        <v>513859</v>
      </c>
      <c r="L21" s="24">
        <f t="shared" si="9"/>
        <v>51878</v>
      </c>
      <c r="M21" s="23">
        <f t="shared" si="9"/>
        <v>51878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168</v>
      </c>
      <c r="Q21" s="46">
        <f t="shared" si="10"/>
        <v>192</v>
      </c>
      <c r="R21" s="26">
        <f t="shared" si="10"/>
        <v>0</v>
      </c>
      <c r="S21" s="27">
        <f t="shared" si="10"/>
        <v>11</v>
      </c>
      <c r="T21" s="27">
        <f t="shared" si="10"/>
        <v>3</v>
      </c>
      <c r="U21" s="27">
        <f t="shared" si="10"/>
        <v>0</v>
      </c>
      <c r="V21" s="28">
        <f t="shared" si="10"/>
        <v>0</v>
      </c>
      <c r="W21" s="29">
        <f t="shared" si="10"/>
        <v>178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0.5993750681696941</v>
      </c>
      <c r="AC21" s="4">
        <f>SUM(AC6:AC20)/15</f>
        <v>0.46666666666666667</v>
      </c>
      <c r="AD21" s="4">
        <f>SUM(AD6:AD20)/15</f>
        <v>0.46614808256339813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642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650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46" t="s">
        <v>46</v>
      </c>
      <c r="D50" s="246" t="s">
        <v>47</v>
      </c>
      <c r="E50" s="246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46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579</v>
      </c>
      <c r="B51" s="444"/>
      <c r="C51" s="247" t="s">
        <v>238</v>
      </c>
      <c r="D51" s="248" t="s">
        <v>583</v>
      </c>
      <c r="E51" s="247" t="s">
        <v>584</v>
      </c>
      <c r="F51" s="445" t="s">
        <v>643</v>
      </c>
      <c r="G51" s="445"/>
      <c r="H51" s="445"/>
      <c r="I51" s="445"/>
      <c r="J51" s="445"/>
      <c r="K51" s="445"/>
      <c r="L51" s="445"/>
      <c r="M51" s="446"/>
      <c r="N51" s="252" t="s">
        <v>647</v>
      </c>
      <c r="O51" s="74" t="s">
        <v>651</v>
      </c>
      <c r="P51" s="448" t="s">
        <v>652</v>
      </c>
      <c r="Q51" s="449"/>
      <c r="R51" s="447" t="s">
        <v>653</v>
      </c>
      <c r="S51" s="447"/>
      <c r="T51" s="447"/>
      <c r="U51" s="447"/>
      <c r="V51" s="445" t="s">
        <v>654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451</v>
      </c>
      <c r="B52" s="447"/>
      <c r="C52" s="248" t="s">
        <v>452</v>
      </c>
      <c r="D52" s="248" t="s">
        <v>453</v>
      </c>
      <c r="E52" s="248" t="s">
        <v>454</v>
      </c>
      <c r="F52" s="445" t="s">
        <v>644</v>
      </c>
      <c r="G52" s="445"/>
      <c r="H52" s="445"/>
      <c r="I52" s="445"/>
      <c r="J52" s="445"/>
      <c r="K52" s="445"/>
      <c r="L52" s="445"/>
      <c r="M52" s="446"/>
      <c r="N52" s="252" t="s">
        <v>631</v>
      </c>
      <c r="O52" s="74" t="s">
        <v>655</v>
      </c>
      <c r="P52" s="447" t="s">
        <v>656</v>
      </c>
      <c r="Q52" s="447"/>
      <c r="R52" s="447" t="s">
        <v>657</v>
      </c>
      <c r="S52" s="447"/>
      <c r="T52" s="447"/>
      <c r="U52" s="447"/>
      <c r="V52" s="445" t="s">
        <v>654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645</v>
      </c>
      <c r="B53" s="447"/>
      <c r="C53" s="248" t="s">
        <v>300</v>
      </c>
      <c r="D53" s="248" t="s">
        <v>646</v>
      </c>
      <c r="E53" s="248" t="s">
        <v>640</v>
      </c>
      <c r="F53" s="445" t="s">
        <v>619</v>
      </c>
      <c r="G53" s="445"/>
      <c r="H53" s="445"/>
      <c r="I53" s="445"/>
      <c r="J53" s="445"/>
      <c r="K53" s="445"/>
      <c r="L53" s="445"/>
      <c r="M53" s="446"/>
      <c r="N53" s="252" t="s">
        <v>659</v>
      </c>
      <c r="O53" s="74" t="s">
        <v>660</v>
      </c>
      <c r="P53" s="447"/>
      <c r="Q53" s="447"/>
      <c r="R53" s="447" t="s">
        <v>132</v>
      </c>
      <c r="S53" s="447"/>
      <c r="T53" s="447"/>
      <c r="U53" s="447"/>
      <c r="V53" s="445" t="s">
        <v>658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647</v>
      </c>
      <c r="B54" s="447"/>
      <c r="C54" s="248" t="s">
        <v>128</v>
      </c>
      <c r="D54" s="248" t="s">
        <v>648</v>
      </c>
      <c r="E54" s="248" t="s">
        <v>633</v>
      </c>
      <c r="F54" s="445" t="s">
        <v>619</v>
      </c>
      <c r="G54" s="445"/>
      <c r="H54" s="445"/>
      <c r="I54" s="445"/>
      <c r="J54" s="445"/>
      <c r="K54" s="445"/>
      <c r="L54" s="445"/>
      <c r="M54" s="446"/>
      <c r="N54" s="252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114</v>
      </c>
      <c r="B55" s="447"/>
      <c r="C55" s="248" t="s">
        <v>135</v>
      </c>
      <c r="D55" s="248" t="s">
        <v>649</v>
      </c>
      <c r="E55" s="248" t="s">
        <v>636</v>
      </c>
      <c r="F55" s="445" t="s">
        <v>619</v>
      </c>
      <c r="G55" s="445"/>
      <c r="H55" s="445"/>
      <c r="I55" s="445"/>
      <c r="J55" s="445"/>
      <c r="K55" s="445"/>
      <c r="L55" s="445"/>
      <c r="M55" s="446"/>
      <c r="N55" s="252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47"/>
      <c r="D56" s="248"/>
      <c r="E56" s="247"/>
      <c r="F56" s="445"/>
      <c r="G56" s="445"/>
      <c r="H56" s="445"/>
      <c r="I56" s="445"/>
      <c r="J56" s="445"/>
      <c r="K56" s="445"/>
      <c r="L56" s="445"/>
      <c r="M56" s="446"/>
      <c r="N56" s="252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47"/>
      <c r="D57" s="248"/>
      <c r="E57" s="247"/>
      <c r="F57" s="445"/>
      <c r="G57" s="445"/>
      <c r="H57" s="445"/>
      <c r="I57" s="445"/>
      <c r="J57" s="445"/>
      <c r="K57" s="445"/>
      <c r="L57" s="445"/>
      <c r="M57" s="446"/>
      <c r="N57" s="252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47"/>
      <c r="D58" s="248"/>
      <c r="E58" s="247"/>
      <c r="F58" s="445"/>
      <c r="G58" s="445"/>
      <c r="H58" s="445"/>
      <c r="I58" s="445"/>
      <c r="J58" s="445"/>
      <c r="K58" s="445"/>
      <c r="L58" s="445"/>
      <c r="M58" s="446"/>
      <c r="N58" s="252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48"/>
      <c r="D59" s="248"/>
      <c r="E59" s="248"/>
      <c r="F59" s="445"/>
      <c r="G59" s="445"/>
      <c r="H59" s="445"/>
      <c r="I59" s="445"/>
      <c r="J59" s="445"/>
      <c r="K59" s="445"/>
      <c r="L59" s="445"/>
      <c r="M59" s="446"/>
      <c r="N59" s="252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50"/>
      <c r="D60" s="250"/>
      <c r="E60" s="250"/>
      <c r="F60" s="452"/>
      <c r="G60" s="452"/>
      <c r="H60" s="452"/>
      <c r="I60" s="452"/>
      <c r="J60" s="452"/>
      <c r="K60" s="452"/>
      <c r="L60" s="452"/>
      <c r="M60" s="453"/>
      <c r="N60" s="249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661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51" t="s">
        <v>2</v>
      </c>
      <c r="D62" s="251" t="s">
        <v>37</v>
      </c>
      <c r="E62" s="251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51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114</v>
      </c>
      <c r="D63" s="255"/>
      <c r="E63" s="253" t="s">
        <v>662</v>
      </c>
      <c r="F63" s="464" t="s">
        <v>663</v>
      </c>
      <c r="G63" s="465"/>
      <c r="H63" s="465"/>
      <c r="I63" s="465"/>
      <c r="J63" s="465"/>
      <c r="K63" s="465">
        <v>7301</v>
      </c>
      <c r="L63" s="465"/>
      <c r="M63" s="54" t="s">
        <v>664</v>
      </c>
      <c r="N63" s="465">
        <v>9</v>
      </c>
      <c r="O63" s="465"/>
      <c r="P63" s="466">
        <v>10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647</v>
      </c>
      <c r="D64" s="255"/>
      <c r="E64" s="253" t="s">
        <v>125</v>
      </c>
      <c r="F64" s="464" t="s">
        <v>665</v>
      </c>
      <c r="G64" s="465"/>
      <c r="H64" s="465"/>
      <c r="I64" s="465"/>
      <c r="J64" s="465"/>
      <c r="K64" s="465" t="s">
        <v>666</v>
      </c>
      <c r="L64" s="465"/>
      <c r="M64" s="54" t="s">
        <v>667</v>
      </c>
      <c r="N64" s="465">
        <v>4</v>
      </c>
      <c r="O64" s="465"/>
      <c r="P64" s="466"/>
      <c r="Q64" s="466"/>
      <c r="R64" s="445" t="s">
        <v>668</v>
      </c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669</v>
      </c>
      <c r="D65" s="255"/>
      <c r="E65" s="253" t="s">
        <v>670</v>
      </c>
      <c r="F65" s="464" t="s">
        <v>671</v>
      </c>
      <c r="G65" s="465"/>
      <c r="H65" s="465"/>
      <c r="I65" s="465"/>
      <c r="J65" s="465"/>
      <c r="K65" s="465" t="s">
        <v>672</v>
      </c>
      <c r="L65" s="465"/>
      <c r="M65" s="54" t="s">
        <v>673</v>
      </c>
      <c r="N65" s="465">
        <v>12</v>
      </c>
      <c r="O65" s="465"/>
      <c r="P65" s="466">
        <v>70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255"/>
      <c r="E66" s="253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55"/>
      <c r="E67" s="253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55"/>
      <c r="E68" s="253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55"/>
      <c r="E69" s="253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55"/>
      <c r="E70" s="253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674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54" t="s">
        <v>2</v>
      </c>
      <c r="D72" s="254" t="s">
        <v>37</v>
      </c>
      <c r="E72" s="254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56" t="s">
        <v>114</v>
      </c>
      <c r="D73" s="256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55" t="s">
        <v>114</v>
      </c>
      <c r="D74" s="255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55"/>
      <c r="D75" s="255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55"/>
      <c r="D76" s="255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55"/>
      <c r="D77" s="255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55"/>
      <c r="D78" s="255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55"/>
      <c r="D79" s="255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55"/>
      <c r="D80" s="255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55"/>
      <c r="D81" s="255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675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58" zoomScale="72" zoomScaleNormal="72" zoomScaleSheetLayoutView="70" workbookViewId="0">
      <selection activeCell="C66" sqref="C66:AA6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676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68" t="s">
        <v>17</v>
      </c>
      <c r="L5" s="268" t="s">
        <v>18</v>
      </c>
      <c r="M5" s="268" t="s">
        <v>19</v>
      </c>
      <c r="N5" s="26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0.41091730543534272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631</v>
      </c>
      <c r="D7" s="55" t="s">
        <v>632</v>
      </c>
      <c r="E7" s="57" t="s">
        <v>633</v>
      </c>
      <c r="F7" s="33" t="s">
        <v>634</v>
      </c>
      <c r="G7" s="12">
        <v>1</v>
      </c>
      <c r="H7" s="13">
        <v>25</v>
      </c>
      <c r="I7" s="34">
        <v>6000</v>
      </c>
      <c r="J7" s="5">
        <v>4500</v>
      </c>
      <c r="K7" s="15">
        <f>L7+3691</f>
        <v>8189</v>
      </c>
      <c r="L7" s="15">
        <f>2390+2108</f>
        <v>4498</v>
      </c>
      <c r="M7" s="16">
        <f t="shared" si="0"/>
        <v>4498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0.99955555555555553</v>
      </c>
      <c r="AC7" s="9">
        <f t="shared" si="5"/>
        <v>1</v>
      </c>
      <c r="AD7" s="10">
        <f t="shared" si="6"/>
        <v>0.99955555555555553</v>
      </c>
      <c r="AE7" s="39">
        <f t="shared" si="7"/>
        <v>0.41091730543534272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3308</v>
      </c>
      <c r="K8" s="15">
        <f>L8+1955+3323+3368+3345</f>
        <v>15299</v>
      </c>
      <c r="L8" s="15">
        <f>1769+1539</f>
        <v>3308</v>
      </c>
      <c r="M8" s="16">
        <f t="shared" si="0"/>
        <v>3308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0.41091730543534272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431</v>
      </c>
      <c r="D9" s="55"/>
      <c r="E9" s="57" t="s">
        <v>432</v>
      </c>
      <c r="F9" s="33" t="s">
        <v>433</v>
      </c>
      <c r="G9" s="36">
        <v>1</v>
      </c>
      <c r="H9" s="38">
        <v>25</v>
      </c>
      <c r="I9" s="7">
        <v>2000</v>
      </c>
      <c r="J9" s="5">
        <v>1262</v>
      </c>
      <c r="K9" s="15">
        <f>L9+2017+1262</f>
        <v>3279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0.41091730543534272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16460</v>
      </c>
      <c r="K10" s="15">
        <f>L10+6534+16360+16954</f>
        <v>56304</v>
      </c>
      <c r="L10" s="15">
        <f>4247*2+3981*2</f>
        <v>16456</v>
      </c>
      <c r="M10" s="16">
        <f t="shared" si="0"/>
        <v>16456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0.99975698663426493</v>
      </c>
      <c r="AC10" s="9">
        <f t="shared" si="5"/>
        <v>1</v>
      </c>
      <c r="AD10" s="10">
        <f t="shared" si="6"/>
        <v>0.99975698663426493</v>
      </c>
      <c r="AE10" s="39">
        <f t="shared" si="7"/>
        <v>0.41091730543534272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635</v>
      </c>
      <c r="E11" s="57" t="s">
        <v>636</v>
      </c>
      <c r="F11" s="12" t="s">
        <v>637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0.41091730543534272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1460</v>
      </c>
      <c r="K12" s="15">
        <f>L12+1265+3160+2450+715+2952</f>
        <v>12000</v>
      </c>
      <c r="L12" s="15">
        <f>1458</f>
        <v>1458</v>
      </c>
      <c r="M12" s="16">
        <f t="shared" si="0"/>
        <v>1458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>
        <v>18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0.99863013698630132</v>
      </c>
      <c r="AC12" s="9">
        <f t="shared" si="5"/>
        <v>0.25</v>
      </c>
      <c r="AD12" s="10">
        <f t="shared" si="6"/>
        <v>0.24965753424657533</v>
      </c>
      <c r="AE12" s="39">
        <f t="shared" si="7"/>
        <v>0.41091730543534272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638</v>
      </c>
      <c r="D13" s="55" t="s">
        <v>639</v>
      </c>
      <c r="E13" s="57" t="s">
        <v>640</v>
      </c>
      <c r="F13" s="12" t="s">
        <v>641</v>
      </c>
      <c r="G13" s="12">
        <v>1</v>
      </c>
      <c r="H13" s="13">
        <v>25</v>
      </c>
      <c r="I13" s="7">
        <v>1000</v>
      </c>
      <c r="J13" s="14">
        <v>1160</v>
      </c>
      <c r="K13" s="15">
        <f>L13+1159</f>
        <v>1159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0.41091730543534272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0.41091730543534272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146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L15+600</f>
        <v>600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0.41091730543534272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11790</v>
      </c>
      <c r="K16" s="15">
        <f>L16+8022+9598+11782+11798+11816</f>
        <v>64804</v>
      </c>
      <c r="L16" s="15">
        <f>3143*2+2751*2</f>
        <v>11788</v>
      </c>
      <c r="M16" s="16">
        <f t="shared" si="0"/>
        <v>11788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0.99983036471586095</v>
      </c>
      <c r="AC16" s="9">
        <f t="shared" si="5"/>
        <v>1</v>
      </c>
      <c r="AD16" s="10">
        <f t="shared" si="6"/>
        <v>0.99983036471586095</v>
      </c>
      <c r="AE16" s="39">
        <f t="shared" si="7"/>
        <v>0.41091730543534272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0.41091730543534272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145</v>
      </c>
      <c r="E18" s="57" t="s">
        <v>328</v>
      </c>
      <c r="F18" s="33" t="s">
        <v>348</v>
      </c>
      <c r="G18" s="36">
        <v>1</v>
      </c>
      <c r="H18" s="38">
        <v>25</v>
      </c>
      <c r="I18" s="7">
        <v>30000</v>
      </c>
      <c r="J18" s="5">
        <v>4970</v>
      </c>
      <c r="K18" s="15">
        <f>L18+4325+5084+2994+5501+4276+2806+1638+3880</f>
        <v>35467</v>
      </c>
      <c r="L18" s="15">
        <f>2642+2321</f>
        <v>4963</v>
      </c>
      <c r="M18" s="16">
        <f t="shared" si="0"/>
        <v>4963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0.99859154929577465</v>
      </c>
      <c r="AC18" s="9">
        <f t="shared" si="5"/>
        <v>1</v>
      </c>
      <c r="AD18" s="10">
        <f t="shared" si="6"/>
        <v>0.99859154929577465</v>
      </c>
      <c r="AE18" s="39">
        <f t="shared" si="7"/>
        <v>0.41091730543534272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679</v>
      </c>
      <c r="E19" s="57" t="s">
        <v>678</v>
      </c>
      <c r="F19" s="12" t="s">
        <v>127</v>
      </c>
      <c r="G19" s="12" t="s">
        <v>677</v>
      </c>
      <c r="H19" s="13">
        <v>25</v>
      </c>
      <c r="I19" s="7">
        <v>25000</v>
      </c>
      <c r="J19" s="14">
        <v>6130</v>
      </c>
      <c r="K19" s="15">
        <f>L19</f>
        <v>6128</v>
      </c>
      <c r="L19" s="15">
        <f>2160+330+3638</f>
        <v>6128</v>
      </c>
      <c r="M19" s="16">
        <f t="shared" si="0"/>
        <v>6128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0.99967373572593798</v>
      </c>
      <c r="AC19" s="9">
        <f t="shared" si="5"/>
        <v>0.91666666666666663</v>
      </c>
      <c r="AD19" s="10">
        <f t="shared" si="6"/>
        <v>0.91636759108210974</v>
      </c>
      <c r="AE19" s="39">
        <f t="shared" si="7"/>
        <v>0.41091730543534272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0.41091730543534272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1187450</v>
      </c>
      <c r="J21" s="22">
        <f t="shared" si="9"/>
        <v>64232</v>
      </c>
      <c r="K21" s="23">
        <f t="shared" si="9"/>
        <v>420769</v>
      </c>
      <c r="L21" s="24">
        <f t="shared" si="9"/>
        <v>48599</v>
      </c>
      <c r="M21" s="23">
        <f t="shared" si="9"/>
        <v>48599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148</v>
      </c>
      <c r="Q21" s="46">
        <f t="shared" si="10"/>
        <v>212</v>
      </c>
      <c r="R21" s="26">
        <f t="shared" si="10"/>
        <v>0</v>
      </c>
      <c r="S21" s="27">
        <f t="shared" si="10"/>
        <v>20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192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0.46640255526091301</v>
      </c>
      <c r="AC21" s="4">
        <f>SUM(AC6:AC20)/15</f>
        <v>0.41111111111111115</v>
      </c>
      <c r="AD21" s="4">
        <f>SUM(AD6:AD20)/15</f>
        <v>0.41091730543534272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681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686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67" t="s">
        <v>46</v>
      </c>
      <c r="D50" s="267" t="s">
        <v>47</v>
      </c>
      <c r="E50" s="267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67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451</v>
      </c>
      <c r="B51" s="447"/>
      <c r="C51" s="263" t="s">
        <v>452</v>
      </c>
      <c r="D51" s="263" t="s">
        <v>453</v>
      </c>
      <c r="E51" s="263" t="s">
        <v>454</v>
      </c>
      <c r="F51" s="445" t="s">
        <v>680</v>
      </c>
      <c r="G51" s="445"/>
      <c r="H51" s="445"/>
      <c r="I51" s="445"/>
      <c r="J51" s="445"/>
      <c r="K51" s="445"/>
      <c r="L51" s="445"/>
      <c r="M51" s="446"/>
      <c r="N51" s="262" t="s">
        <v>687</v>
      </c>
      <c r="O51" s="74" t="s">
        <v>651</v>
      </c>
      <c r="P51" s="448" t="s">
        <v>688</v>
      </c>
      <c r="Q51" s="449"/>
      <c r="R51" s="447" t="s">
        <v>689</v>
      </c>
      <c r="S51" s="447"/>
      <c r="T51" s="447"/>
      <c r="U51" s="447"/>
      <c r="V51" s="445" t="s">
        <v>654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682</v>
      </c>
      <c r="B52" s="447"/>
      <c r="C52" s="263" t="s">
        <v>683</v>
      </c>
      <c r="D52" s="263"/>
      <c r="E52" s="263" t="s">
        <v>684</v>
      </c>
      <c r="F52" s="445" t="s">
        <v>685</v>
      </c>
      <c r="G52" s="445"/>
      <c r="H52" s="445"/>
      <c r="I52" s="445"/>
      <c r="J52" s="445"/>
      <c r="K52" s="445"/>
      <c r="L52" s="445"/>
      <c r="M52" s="446"/>
      <c r="N52" s="262" t="s">
        <v>631</v>
      </c>
      <c r="O52" s="74" t="s">
        <v>655</v>
      </c>
      <c r="P52" s="447" t="s">
        <v>690</v>
      </c>
      <c r="Q52" s="447"/>
      <c r="R52" s="447" t="s">
        <v>691</v>
      </c>
      <c r="S52" s="447"/>
      <c r="T52" s="447"/>
      <c r="U52" s="447"/>
      <c r="V52" s="445" t="s">
        <v>654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/>
      <c r="B53" s="447"/>
      <c r="C53" s="263"/>
      <c r="D53" s="263"/>
      <c r="E53" s="263"/>
      <c r="F53" s="445"/>
      <c r="G53" s="445"/>
      <c r="H53" s="445"/>
      <c r="I53" s="445"/>
      <c r="J53" s="445"/>
      <c r="K53" s="445"/>
      <c r="L53" s="445"/>
      <c r="M53" s="446"/>
      <c r="N53" s="262" t="s">
        <v>692</v>
      </c>
      <c r="O53" s="74" t="s">
        <v>549</v>
      </c>
      <c r="P53" s="447" t="s">
        <v>693</v>
      </c>
      <c r="Q53" s="447"/>
      <c r="R53" s="447" t="s">
        <v>694</v>
      </c>
      <c r="S53" s="447"/>
      <c r="T53" s="447"/>
      <c r="U53" s="447"/>
      <c r="V53" s="445" t="s">
        <v>695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263"/>
      <c r="D54" s="263"/>
      <c r="E54" s="263"/>
      <c r="F54" s="445"/>
      <c r="G54" s="445"/>
      <c r="H54" s="445"/>
      <c r="I54" s="445"/>
      <c r="J54" s="445"/>
      <c r="K54" s="445"/>
      <c r="L54" s="445"/>
      <c r="M54" s="446"/>
      <c r="N54" s="262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263"/>
      <c r="D55" s="263"/>
      <c r="E55" s="263"/>
      <c r="F55" s="445"/>
      <c r="G55" s="445"/>
      <c r="H55" s="445"/>
      <c r="I55" s="445"/>
      <c r="J55" s="445"/>
      <c r="K55" s="445"/>
      <c r="L55" s="445"/>
      <c r="M55" s="446"/>
      <c r="N55" s="262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66"/>
      <c r="D56" s="263"/>
      <c r="E56" s="266"/>
      <c r="F56" s="445"/>
      <c r="G56" s="445"/>
      <c r="H56" s="445"/>
      <c r="I56" s="445"/>
      <c r="J56" s="445"/>
      <c r="K56" s="445"/>
      <c r="L56" s="445"/>
      <c r="M56" s="446"/>
      <c r="N56" s="262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66"/>
      <c r="D57" s="263"/>
      <c r="E57" s="266"/>
      <c r="F57" s="445"/>
      <c r="G57" s="445"/>
      <c r="H57" s="445"/>
      <c r="I57" s="445"/>
      <c r="J57" s="445"/>
      <c r="K57" s="445"/>
      <c r="L57" s="445"/>
      <c r="M57" s="446"/>
      <c r="N57" s="262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66"/>
      <c r="D58" s="263"/>
      <c r="E58" s="266"/>
      <c r="F58" s="445"/>
      <c r="G58" s="445"/>
      <c r="H58" s="445"/>
      <c r="I58" s="445"/>
      <c r="J58" s="445"/>
      <c r="K58" s="445"/>
      <c r="L58" s="445"/>
      <c r="M58" s="446"/>
      <c r="N58" s="262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63"/>
      <c r="D59" s="263"/>
      <c r="E59" s="263"/>
      <c r="F59" s="445"/>
      <c r="G59" s="445"/>
      <c r="H59" s="445"/>
      <c r="I59" s="445"/>
      <c r="J59" s="445"/>
      <c r="K59" s="445"/>
      <c r="L59" s="445"/>
      <c r="M59" s="446"/>
      <c r="N59" s="262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65"/>
      <c r="D60" s="265"/>
      <c r="E60" s="265"/>
      <c r="F60" s="452"/>
      <c r="G60" s="452"/>
      <c r="H60" s="452"/>
      <c r="I60" s="452"/>
      <c r="J60" s="452"/>
      <c r="K60" s="452"/>
      <c r="L60" s="452"/>
      <c r="M60" s="453"/>
      <c r="N60" s="264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696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61" t="s">
        <v>2</v>
      </c>
      <c r="D62" s="261" t="s">
        <v>37</v>
      </c>
      <c r="E62" s="261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61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647</v>
      </c>
      <c r="D63" s="257"/>
      <c r="E63" s="260" t="s">
        <v>125</v>
      </c>
      <c r="F63" s="464" t="s">
        <v>665</v>
      </c>
      <c r="G63" s="465"/>
      <c r="H63" s="465"/>
      <c r="I63" s="465"/>
      <c r="J63" s="465"/>
      <c r="K63" s="465" t="s">
        <v>666</v>
      </c>
      <c r="L63" s="465"/>
      <c r="M63" s="54" t="s">
        <v>667</v>
      </c>
      <c r="N63" s="465">
        <v>4</v>
      </c>
      <c r="O63" s="465"/>
      <c r="P63" s="466"/>
      <c r="Q63" s="466"/>
      <c r="R63" s="445" t="s">
        <v>697</v>
      </c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647</v>
      </c>
      <c r="D64" s="257"/>
      <c r="E64" s="260" t="s">
        <v>698</v>
      </c>
      <c r="F64" s="464" t="s">
        <v>699</v>
      </c>
      <c r="G64" s="465"/>
      <c r="H64" s="465"/>
      <c r="I64" s="465"/>
      <c r="J64" s="465"/>
      <c r="K64" s="465" t="s">
        <v>700</v>
      </c>
      <c r="L64" s="465"/>
      <c r="M64" s="54" t="s">
        <v>667</v>
      </c>
      <c r="N64" s="465">
        <v>6</v>
      </c>
      <c r="O64" s="465"/>
      <c r="P64" s="466">
        <v>260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669</v>
      </c>
      <c r="D65" s="257"/>
      <c r="E65" s="260" t="s">
        <v>701</v>
      </c>
      <c r="F65" s="464" t="s">
        <v>702</v>
      </c>
      <c r="G65" s="465"/>
      <c r="H65" s="465"/>
      <c r="I65" s="465"/>
      <c r="J65" s="465"/>
      <c r="K65" s="465" t="s">
        <v>703</v>
      </c>
      <c r="L65" s="465"/>
      <c r="M65" s="54" t="s">
        <v>673</v>
      </c>
      <c r="N65" s="465">
        <v>8</v>
      </c>
      <c r="O65" s="465"/>
      <c r="P65" s="466" t="s">
        <v>704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 t="s">
        <v>535</v>
      </c>
      <c r="D66" s="257"/>
      <c r="E66" s="260" t="s">
        <v>705</v>
      </c>
      <c r="F66" s="464" t="s">
        <v>706</v>
      </c>
      <c r="G66" s="465"/>
      <c r="H66" s="465"/>
      <c r="I66" s="465"/>
      <c r="J66" s="465"/>
      <c r="K66" s="465" t="s">
        <v>703</v>
      </c>
      <c r="L66" s="465"/>
      <c r="M66" s="54" t="s">
        <v>673</v>
      </c>
      <c r="N66" s="465">
        <v>8</v>
      </c>
      <c r="O66" s="465"/>
      <c r="P66" s="466" t="s">
        <v>704</v>
      </c>
      <c r="Q66" s="466"/>
      <c r="R66" s="445" t="s">
        <v>707</v>
      </c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57"/>
      <c r="E67" s="260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57"/>
      <c r="E68" s="260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57"/>
      <c r="E69" s="260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57"/>
      <c r="E70" s="260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708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59" t="s">
        <v>2</v>
      </c>
      <c r="D72" s="259" t="s">
        <v>37</v>
      </c>
      <c r="E72" s="259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58" t="s">
        <v>114</v>
      </c>
      <c r="D73" s="258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57" t="s">
        <v>114</v>
      </c>
      <c r="D74" s="257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57"/>
      <c r="D75" s="257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57"/>
      <c r="D76" s="257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57"/>
      <c r="D77" s="257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57"/>
      <c r="D78" s="257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57"/>
      <c r="D79" s="257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57"/>
      <c r="D80" s="257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57"/>
      <c r="D81" s="257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709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6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710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0.48298259854643288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631</v>
      </c>
      <c r="D7" s="55" t="s">
        <v>632</v>
      </c>
      <c r="E7" s="57" t="s">
        <v>633</v>
      </c>
      <c r="F7" s="33" t="s">
        <v>634</v>
      </c>
      <c r="G7" s="12">
        <v>1</v>
      </c>
      <c r="H7" s="13">
        <v>25</v>
      </c>
      <c r="I7" s="34">
        <v>6000</v>
      </c>
      <c r="J7" s="5">
        <v>4500</v>
      </c>
      <c r="K7" s="15">
        <f>L7+3691+4498</f>
        <v>8189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0.48298259854643288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/>
      <c r="E8" s="57" t="s">
        <v>525</v>
      </c>
      <c r="F8" s="33" t="s">
        <v>526</v>
      </c>
      <c r="G8" s="12" t="s">
        <v>527</v>
      </c>
      <c r="H8" s="13">
        <v>25</v>
      </c>
      <c r="I8" s="34">
        <v>15000</v>
      </c>
      <c r="J8" s="5">
        <v>2140</v>
      </c>
      <c r="K8" s="15">
        <f>L8+1955+3323+3368+3345+3308</f>
        <v>17433</v>
      </c>
      <c r="L8" s="15">
        <f>768+1366</f>
        <v>2134</v>
      </c>
      <c r="M8" s="16">
        <f t="shared" si="0"/>
        <v>2134</v>
      </c>
      <c r="N8" s="16">
        <v>0</v>
      </c>
      <c r="O8" s="62">
        <f t="shared" si="1"/>
        <v>0</v>
      </c>
      <c r="P8" s="42">
        <f t="shared" si="2"/>
        <v>20</v>
      </c>
      <c r="Q8" s="43">
        <f t="shared" si="3"/>
        <v>4</v>
      </c>
      <c r="R8" s="7"/>
      <c r="S8" s="6"/>
      <c r="T8" s="17"/>
      <c r="U8" s="17"/>
      <c r="V8" s="18"/>
      <c r="W8" s="19">
        <v>4</v>
      </c>
      <c r="X8" s="17"/>
      <c r="Y8" s="20"/>
      <c r="Z8" s="20"/>
      <c r="AA8" s="21"/>
      <c r="AB8" s="8">
        <f t="shared" si="4"/>
        <v>0.99719626168224296</v>
      </c>
      <c r="AC8" s="9">
        <f t="shared" si="5"/>
        <v>0.83333333333333337</v>
      </c>
      <c r="AD8" s="10">
        <f t="shared" si="6"/>
        <v>0.8309968847352025</v>
      </c>
      <c r="AE8" s="39">
        <f t="shared" si="7"/>
        <v>0.48298259854643288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711</v>
      </c>
      <c r="E9" s="57" t="s">
        <v>712</v>
      </c>
      <c r="F9" s="33" t="s">
        <v>713</v>
      </c>
      <c r="G9" s="36">
        <v>1</v>
      </c>
      <c r="H9" s="38">
        <v>25</v>
      </c>
      <c r="I9" s="7">
        <v>6000</v>
      </c>
      <c r="J9" s="5">
        <v>3530</v>
      </c>
      <c r="K9" s="15">
        <f>L9</f>
        <v>3530</v>
      </c>
      <c r="L9" s="15">
        <f>166+3364</f>
        <v>3530</v>
      </c>
      <c r="M9" s="16">
        <f t="shared" si="0"/>
        <v>3530</v>
      </c>
      <c r="N9" s="16">
        <v>0</v>
      </c>
      <c r="O9" s="62">
        <f t="shared" si="1"/>
        <v>0</v>
      </c>
      <c r="P9" s="42">
        <f t="shared" si="2"/>
        <v>18</v>
      </c>
      <c r="Q9" s="43">
        <f t="shared" si="3"/>
        <v>6</v>
      </c>
      <c r="R9" s="7"/>
      <c r="S9" s="6"/>
      <c r="T9" s="17">
        <v>6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9">
        <f t="shared" si="7"/>
        <v>0.48298259854643288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16070</v>
      </c>
      <c r="K10" s="15">
        <f>L10+6534+16360+16954+16456</f>
        <v>72366</v>
      </c>
      <c r="L10" s="15">
        <f>4588*2+3443*2</f>
        <v>16062</v>
      </c>
      <c r="M10" s="16">
        <f t="shared" si="0"/>
        <v>16062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0.99950217797137519</v>
      </c>
      <c r="AC10" s="9">
        <f t="shared" si="5"/>
        <v>1</v>
      </c>
      <c r="AD10" s="10">
        <f t="shared" si="6"/>
        <v>0.99950217797137519</v>
      </c>
      <c r="AE10" s="39">
        <f t="shared" si="7"/>
        <v>0.48298259854643288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635</v>
      </c>
      <c r="E11" s="57" t="s">
        <v>636</v>
      </c>
      <c r="F11" s="12" t="s">
        <v>637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0.48298259854643288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2590</v>
      </c>
      <c r="K12" s="15">
        <f>L12+1265+3160+2450+715+2952+1458</f>
        <v>14589</v>
      </c>
      <c r="L12" s="15">
        <f>1586+1003</f>
        <v>2589</v>
      </c>
      <c r="M12" s="16">
        <f t="shared" si="0"/>
        <v>2589</v>
      </c>
      <c r="N12" s="16">
        <v>0</v>
      </c>
      <c r="O12" s="62">
        <f t="shared" si="1"/>
        <v>0</v>
      </c>
      <c r="P12" s="42">
        <f t="shared" si="2"/>
        <v>17</v>
      </c>
      <c r="Q12" s="43">
        <f t="shared" si="3"/>
        <v>7</v>
      </c>
      <c r="R12" s="7"/>
      <c r="S12" s="6">
        <v>7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0.99961389961389957</v>
      </c>
      <c r="AC12" s="9">
        <f t="shared" si="5"/>
        <v>0.70833333333333337</v>
      </c>
      <c r="AD12" s="10">
        <f t="shared" si="6"/>
        <v>0.70805984555984558</v>
      </c>
      <c r="AE12" s="39">
        <f t="shared" si="7"/>
        <v>0.48298259854643288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714</v>
      </c>
      <c r="E13" s="57" t="s">
        <v>715</v>
      </c>
      <c r="F13" s="12" t="s">
        <v>716</v>
      </c>
      <c r="G13" s="12">
        <v>1</v>
      </c>
      <c r="H13" s="13">
        <v>25</v>
      </c>
      <c r="I13" s="7">
        <v>3000</v>
      </c>
      <c r="J13" s="14">
        <v>5060</v>
      </c>
      <c r="K13" s="15">
        <f>L13</f>
        <v>5056</v>
      </c>
      <c r="L13" s="15">
        <f>1505+3294+257</f>
        <v>5056</v>
      </c>
      <c r="M13" s="16">
        <f t="shared" si="0"/>
        <v>5056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>
        <v>1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0.99920948616600791</v>
      </c>
      <c r="AC13" s="9">
        <f t="shared" si="5"/>
        <v>0.95833333333333337</v>
      </c>
      <c r="AD13" s="10">
        <f t="shared" si="6"/>
        <v>0.95757575757575764</v>
      </c>
      <c r="AE13" s="39">
        <f t="shared" si="7"/>
        <v>0.48298259854643288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0.48298259854643288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146</v>
      </c>
      <c r="D15" s="55" t="s">
        <v>529</v>
      </c>
      <c r="E15" s="57" t="s">
        <v>530</v>
      </c>
      <c r="F15" s="12">
        <v>8301</v>
      </c>
      <c r="G15" s="12">
        <v>1</v>
      </c>
      <c r="H15" s="13">
        <v>24</v>
      </c>
      <c r="I15" s="34">
        <v>500</v>
      </c>
      <c r="J15" s="14">
        <v>600</v>
      </c>
      <c r="K15" s="15">
        <f>L15+600</f>
        <v>600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0.48298259854643288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12090</v>
      </c>
      <c r="K16" s="15">
        <f>L16+8022+9598+11782+11798+11816+11788</f>
        <v>76894</v>
      </c>
      <c r="L16" s="15">
        <f>3661*2+2384*2</f>
        <v>12090</v>
      </c>
      <c r="M16" s="16">
        <f t="shared" si="0"/>
        <v>12090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0.48298259854643288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0.48298259854643288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145</v>
      </c>
      <c r="E18" s="57" t="s">
        <v>328</v>
      </c>
      <c r="F18" s="33" t="s">
        <v>348</v>
      </c>
      <c r="G18" s="36">
        <v>1</v>
      </c>
      <c r="H18" s="38">
        <v>25</v>
      </c>
      <c r="I18" s="7">
        <v>30000</v>
      </c>
      <c r="J18" s="5">
        <v>4800</v>
      </c>
      <c r="K18" s="15">
        <f>L18+4325+5084+2994+5501+4276+2806+1638+3880+4963</f>
        <v>40265</v>
      </c>
      <c r="L18" s="15">
        <f>2847+1951</f>
        <v>4798</v>
      </c>
      <c r="M18" s="16">
        <f t="shared" si="0"/>
        <v>4798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0.99958333333333338</v>
      </c>
      <c r="AC18" s="9">
        <f t="shared" si="5"/>
        <v>1</v>
      </c>
      <c r="AD18" s="10">
        <f t="shared" si="6"/>
        <v>0.99958333333333338</v>
      </c>
      <c r="AE18" s="39">
        <f t="shared" si="7"/>
        <v>0.48298259854643288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679</v>
      </c>
      <c r="E19" s="57" t="s">
        <v>678</v>
      </c>
      <c r="F19" s="12" t="s">
        <v>127</v>
      </c>
      <c r="G19" s="12" t="s">
        <v>677</v>
      </c>
      <c r="H19" s="13">
        <v>25</v>
      </c>
      <c r="I19" s="7">
        <v>25000</v>
      </c>
      <c r="J19" s="14">
        <v>7150</v>
      </c>
      <c r="K19" s="15">
        <f>6128+L19</f>
        <v>13271</v>
      </c>
      <c r="L19" s="15">
        <f>3997+314+2832</f>
        <v>7143</v>
      </c>
      <c r="M19" s="16">
        <f t="shared" si="0"/>
        <v>7143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0.99902097902097897</v>
      </c>
      <c r="AC19" s="9">
        <f t="shared" si="5"/>
        <v>1</v>
      </c>
      <c r="AD19" s="10">
        <f t="shared" si="6"/>
        <v>0.99902097902097897</v>
      </c>
      <c r="AE19" s="39">
        <f t="shared" si="7"/>
        <v>0.48298259854643288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0.48298259854643288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1193450</v>
      </c>
      <c r="J21" s="22">
        <f t="shared" si="9"/>
        <v>71122</v>
      </c>
      <c r="K21" s="23">
        <f t="shared" si="9"/>
        <v>469733</v>
      </c>
      <c r="L21" s="24">
        <f t="shared" si="9"/>
        <v>53402</v>
      </c>
      <c r="M21" s="23">
        <f t="shared" si="9"/>
        <v>53402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174</v>
      </c>
      <c r="Q21" s="46">
        <f t="shared" si="10"/>
        <v>186</v>
      </c>
      <c r="R21" s="26">
        <f t="shared" si="10"/>
        <v>0</v>
      </c>
      <c r="S21" s="27">
        <f t="shared" si="10"/>
        <v>8</v>
      </c>
      <c r="T21" s="27">
        <f t="shared" si="10"/>
        <v>6</v>
      </c>
      <c r="U21" s="27">
        <f t="shared" si="10"/>
        <v>0</v>
      </c>
      <c r="V21" s="28">
        <f t="shared" si="10"/>
        <v>0</v>
      </c>
      <c r="W21" s="29">
        <f t="shared" si="10"/>
        <v>172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0.53294174251918924</v>
      </c>
      <c r="AC21" s="4">
        <f>SUM(AC6:AC20)/15</f>
        <v>0.48333333333333334</v>
      </c>
      <c r="AD21" s="4">
        <f>SUM(AD6:AD20)/15</f>
        <v>0.48298259854643288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718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719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70" t="s">
        <v>46</v>
      </c>
      <c r="D50" s="270" t="s">
        <v>47</v>
      </c>
      <c r="E50" s="270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70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451</v>
      </c>
      <c r="B51" s="447"/>
      <c r="C51" s="272" t="s">
        <v>452</v>
      </c>
      <c r="D51" s="272" t="s">
        <v>453</v>
      </c>
      <c r="E51" s="272" t="s">
        <v>454</v>
      </c>
      <c r="F51" s="445" t="s">
        <v>717</v>
      </c>
      <c r="G51" s="445"/>
      <c r="H51" s="445"/>
      <c r="I51" s="445"/>
      <c r="J51" s="445"/>
      <c r="K51" s="445"/>
      <c r="L51" s="445"/>
      <c r="M51" s="446"/>
      <c r="N51" s="276" t="s">
        <v>692</v>
      </c>
      <c r="O51" s="74" t="s">
        <v>549</v>
      </c>
      <c r="P51" s="447" t="s">
        <v>693</v>
      </c>
      <c r="Q51" s="447"/>
      <c r="R51" s="447" t="s">
        <v>694</v>
      </c>
      <c r="S51" s="447"/>
      <c r="T51" s="447"/>
      <c r="U51" s="447"/>
      <c r="V51" s="445" t="s">
        <v>695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720</v>
      </c>
      <c r="B52" s="447"/>
      <c r="C52" s="272" t="s">
        <v>721</v>
      </c>
      <c r="D52" s="272" t="s">
        <v>125</v>
      </c>
      <c r="E52" s="272" t="s">
        <v>722</v>
      </c>
      <c r="F52" s="445" t="s">
        <v>723</v>
      </c>
      <c r="G52" s="445"/>
      <c r="H52" s="445"/>
      <c r="I52" s="445"/>
      <c r="J52" s="445"/>
      <c r="K52" s="445"/>
      <c r="L52" s="445"/>
      <c r="M52" s="446"/>
      <c r="N52" s="276" t="s">
        <v>725</v>
      </c>
      <c r="O52" s="74" t="s">
        <v>726</v>
      </c>
      <c r="P52" s="447" t="s">
        <v>727</v>
      </c>
      <c r="Q52" s="447"/>
      <c r="R52" s="447" t="s">
        <v>728</v>
      </c>
      <c r="S52" s="447"/>
      <c r="T52" s="447"/>
      <c r="U52" s="447"/>
      <c r="V52" s="445" t="s">
        <v>729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121</v>
      </c>
      <c r="B53" s="447"/>
      <c r="C53" s="272" t="s">
        <v>724</v>
      </c>
      <c r="D53" s="272" t="s">
        <v>711</v>
      </c>
      <c r="E53" s="272" t="s">
        <v>712</v>
      </c>
      <c r="F53" s="445" t="s">
        <v>723</v>
      </c>
      <c r="G53" s="445"/>
      <c r="H53" s="445"/>
      <c r="I53" s="445"/>
      <c r="J53" s="445"/>
      <c r="K53" s="445"/>
      <c r="L53" s="445"/>
      <c r="M53" s="446"/>
      <c r="N53" s="276" t="s">
        <v>730</v>
      </c>
      <c r="O53" s="74" t="s">
        <v>731</v>
      </c>
      <c r="P53" s="447" t="s">
        <v>732</v>
      </c>
      <c r="Q53" s="447"/>
      <c r="R53" s="447"/>
      <c r="S53" s="447"/>
      <c r="T53" s="447"/>
      <c r="U53" s="447"/>
      <c r="V53" s="445" t="s">
        <v>723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272"/>
      <c r="D54" s="272"/>
      <c r="E54" s="272"/>
      <c r="F54" s="445"/>
      <c r="G54" s="445"/>
      <c r="H54" s="445"/>
      <c r="I54" s="445"/>
      <c r="J54" s="445"/>
      <c r="K54" s="445"/>
      <c r="L54" s="445"/>
      <c r="M54" s="446"/>
      <c r="N54" s="276" t="s">
        <v>733</v>
      </c>
      <c r="O54" s="74" t="s">
        <v>734</v>
      </c>
      <c r="P54" s="447" t="s">
        <v>735</v>
      </c>
      <c r="Q54" s="447"/>
      <c r="R54" s="447"/>
      <c r="S54" s="447"/>
      <c r="T54" s="447"/>
      <c r="U54" s="447"/>
      <c r="V54" s="445" t="s">
        <v>723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272"/>
      <c r="D55" s="272"/>
      <c r="E55" s="272"/>
      <c r="F55" s="445"/>
      <c r="G55" s="445"/>
      <c r="H55" s="445"/>
      <c r="I55" s="445"/>
      <c r="J55" s="445"/>
      <c r="K55" s="445"/>
      <c r="L55" s="445"/>
      <c r="M55" s="446"/>
      <c r="N55" s="276" t="s">
        <v>733</v>
      </c>
      <c r="O55" s="74" t="s">
        <v>736</v>
      </c>
      <c r="P55" s="447" t="s">
        <v>711</v>
      </c>
      <c r="Q55" s="447"/>
      <c r="R55" s="447"/>
      <c r="S55" s="447"/>
      <c r="T55" s="447"/>
      <c r="U55" s="447"/>
      <c r="V55" s="445" t="s">
        <v>723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71"/>
      <c r="D56" s="272"/>
      <c r="E56" s="271"/>
      <c r="F56" s="445"/>
      <c r="G56" s="445"/>
      <c r="H56" s="445"/>
      <c r="I56" s="445"/>
      <c r="J56" s="445"/>
      <c r="K56" s="445"/>
      <c r="L56" s="445"/>
      <c r="M56" s="446"/>
      <c r="N56" s="276" t="s">
        <v>738</v>
      </c>
      <c r="O56" s="74" t="s">
        <v>739</v>
      </c>
      <c r="P56" s="447" t="s">
        <v>740</v>
      </c>
      <c r="Q56" s="447"/>
      <c r="R56" s="447" t="s">
        <v>737</v>
      </c>
      <c r="S56" s="447"/>
      <c r="T56" s="447"/>
      <c r="U56" s="447"/>
      <c r="V56" s="445" t="s">
        <v>723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71"/>
      <c r="D57" s="272"/>
      <c r="E57" s="271"/>
      <c r="F57" s="445"/>
      <c r="G57" s="445"/>
      <c r="H57" s="445"/>
      <c r="I57" s="445"/>
      <c r="J57" s="445"/>
      <c r="K57" s="445"/>
      <c r="L57" s="445"/>
      <c r="M57" s="446"/>
      <c r="N57" s="276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71"/>
      <c r="D58" s="272"/>
      <c r="E58" s="271"/>
      <c r="F58" s="445"/>
      <c r="G58" s="445"/>
      <c r="H58" s="445"/>
      <c r="I58" s="445"/>
      <c r="J58" s="445"/>
      <c r="K58" s="445"/>
      <c r="L58" s="445"/>
      <c r="M58" s="446"/>
      <c r="N58" s="276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72"/>
      <c r="D59" s="272"/>
      <c r="E59" s="272"/>
      <c r="F59" s="445"/>
      <c r="G59" s="445"/>
      <c r="H59" s="445"/>
      <c r="I59" s="445"/>
      <c r="J59" s="445"/>
      <c r="K59" s="445"/>
      <c r="L59" s="445"/>
      <c r="M59" s="446"/>
      <c r="N59" s="276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74"/>
      <c r="D60" s="274"/>
      <c r="E60" s="274"/>
      <c r="F60" s="452"/>
      <c r="G60" s="452"/>
      <c r="H60" s="452"/>
      <c r="I60" s="452"/>
      <c r="J60" s="452"/>
      <c r="K60" s="452"/>
      <c r="L60" s="452"/>
      <c r="M60" s="453"/>
      <c r="N60" s="273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741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75" t="s">
        <v>2</v>
      </c>
      <c r="D62" s="275" t="s">
        <v>37</v>
      </c>
      <c r="E62" s="275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75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647</v>
      </c>
      <c r="D63" s="279"/>
      <c r="E63" s="277" t="s">
        <v>125</v>
      </c>
      <c r="F63" s="464" t="s">
        <v>665</v>
      </c>
      <c r="G63" s="465"/>
      <c r="H63" s="465"/>
      <c r="I63" s="465"/>
      <c r="J63" s="465"/>
      <c r="K63" s="465" t="s">
        <v>666</v>
      </c>
      <c r="L63" s="465"/>
      <c r="M63" s="54" t="s">
        <v>667</v>
      </c>
      <c r="N63" s="465">
        <v>4</v>
      </c>
      <c r="O63" s="465"/>
      <c r="P63" s="466"/>
      <c r="Q63" s="466"/>
      <c r="R63" s="445" t="s">
        <v>697</v>
      </c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279"/>
      <c r="E64" s="277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279"/>
      <c r="E65" s="277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279"/>
      <c r="E66" s="277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279"/>
      <c r="E67" s="277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279"/>
      <c r="E68" s="277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79"/>
      <c r="E69" s="277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79"/>
      <c r="E70" s="277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742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78" t="s">
        <v>2</v>
      </c>
      <c r="D72" s="278" t="s">
        <v>37</v>
      </c>
      <c r="E72" s="278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80" t="s">
        <v>114</v>
      </c>
      <c r="D73" s="280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79" t="s">
        <v>114</v>
      </c>
      <c r="D74" s="279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79"/>
      <c r="D75" s="279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79"/>
      <c r="D76" s="279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79"/>
      <c r="D77" s="279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79"/>
      <c r="D78" s="279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79"/>
      <c r="D79" s="279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79"/>
      <c r="D80" s="279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79"/>
      <c r="D81" s="279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743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C65" sqref="C65:Q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744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0.41891714237882133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745</v>
      </c>
      <c r="D7" s="55" t="s">
        <v>746</v>
      </c>
      <c r="E7" s="57" t="s">
        <v>747</v>
      </c>
      <c r="F7" s="33" t="s">
        <v>748</v>
      </c>
      <c r="G7" s="12">
        <v>2</v>
      </c>
      <c r="H7" s="13">
        <v>25</v>
      </c>
      <c r="I7" s="34">
        <v>10000</v>
      </c>
      <c r="J7" s="5">
        <v>4820</v>
      </c>
      <c r="K7" s="15">
        <f>L7</f>
        <v>4816</v>
      </c>
      <c r="L7" s="15">
        <f>1818*2+590*2</f>
        <v>4816</v>
      </c>
      <c r="M7" s="16">
        <f t="shared" si="0"/>
        <v>4816</v>
      </c>
      <c r="N7" s="16">
        <v>0</v>
      </c>
      <c r="O7" s="62">
        <f t="shared" si="1"/>
        <v>0</v>
      </c>
      <c r="P7" s="42">
        <f t="shared" si="2"/>
        <v>21</v>
      </c>
      <c r="Q7" s="43">
        <f t="shared" si="3"/>
        <v>3</v>
      </c>
      <c r="R7" s="7"/>
      <c r="S7" s="6"/>
      <c r="T7" s="17">
        <v>3</v>
      </c>
      <c r="U7" s="17"/>
      <c r="V7" s="18"/>
      <c r="W7" s="19"/>
      <c r="X7" s="17"/>
      <c r="Y7" s="20"/>
      <c r="Z7" s="20"/>
      <c r="AA7" s="21"/>
      <c r="AB7" s="8">
        <f t="shared" si="4"/>
        <v>0.9991701244813278</v>
      </c>
      <c r="AC7" s="9">
        <f t="shared" si="5"/>
        <v>0.875</v>
      </c>
      <c r="AD7" s="10">
        <f t="shared" si="6"/>
        <v>0.87427385892116183</v>
      </c>
      <c r="AE7" s="39">
        <f t="shared" si="7"/>
        <v>0.41891714237882133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749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3030</v>
      </c>
      <c r="K8" s="15">
        <f>L8</f>
        <v>3024</v>
      </c>
      <c r="L8" s="15">
        <f>1814+1210</f>
        <v>3024</v>
      </c>
      <c r="M8" s="16">
        <f t="shared" si="0"/>
        <v>3024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/>
      <c r="T8" s="17">
        <v>2</v>
      </c>
      <c r="U8" s="17"/>
      <c r="V8" s="18"/>
      <c r="W8" s="19"/>
      <c r="X8" s="17"/>
      <c r="Y8" s="20"/>
      <c r="Z8" s="20"/>
      <c r="AA8" s="21"/>
      <c r="AB8" s="8">
        <f t="shared" si="4"/>
        <v>0.99801980198019802</v>
      </c>
      <c r="AC8" s="9">
        <f t="shared" si="5"/>
        <v>0.91666666666666663</v>
      </c>
      <c r="AD8" s="10">
        <f t="shared" si="6"/>
        <v>0.91485148514851478</v>
      </c>
      <c r="AE8" s="39">
        <f t="shared" si="7"/>
        <v>0.41891714237882133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711</v>
      </c>
      <c r="E9" s="57" t="s">
        <v>712</v>
      </c>
      <c r="F9" s="33" t="s">
        <v>713</v>
      </c>
      <c r="G9" s="36">
        <v>1</v>
      </c>
      <c r="H9" s="38">
        <v>25</v>
      </c>
      <c r="I9" s="7">
        <v>6000</v>
      </c>
      <c r="J9" s="5">
        <v>3530</v>
      </c>
      <c r="K9" s="15">
        <f>L9+3530</f>
        <v>3530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0.41891714237882133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8820</v>
      </c>
      <c r="K10" s="15">
        <f>L10+6534+16360+16954+16456+16062</f>
        <v>81178</v>
      </c>
      <c r="L10" s="15">
        <f>4406*2</f>
        <v>8812</v>
      </c>
      <c r="M10" s="16">
        <f t="shared" si="0"/>
        <v>8812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>
        <v>10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0.999092970521542</v>
      </c>
      <c r="AC10" s="9">
        <f t="shared" si="5"/>
        <v>0.58333333333333337</v>
      </c>
      <c r="AD10" s="10">
        <f t="shared" si="6"/>
        <v>0.58280423280423288</v>
      </c>
      <c r="AE10" s="39">
        <f t="shared" si="7"/>
        <v>0.41891714237882133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635</v>
      </c>
      <c r="E11" s="57" t="s">
        <v>636</v>
      </c>
      <c r="F11" s="12" t="s">
        <v>637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0.41891714237882133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3080</v>
      </c>
      <c r="K12" s="15">
        <f>L12+1265+3160+2450+715+2952+1458+2589</f>
        <v>17667</v>
      </c>
      <c r="L12" s="15">
        <f>2524+554</f>
        <v>3078</v>
      </c>
      <c r="M12" s="16">
        <f t="shared" si="0"/>
        <v>3078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>
        <v>6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0.99935064935064932</v>
      </c>
      <c r="AC12" s="9">
        <f t="shared" si="5"/>
        <v>0.75</v>
      </c>
      <c r="AD12" s="10">
        <f t="shared" si="6"/>
        <v>0.74951298701298696</v>
      </c>
      <c r="AE12" s="39">
        <f t="shared" si="7"/>
        <v>0.41891714237882133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714</v>
      </c>
      <c r="E13" s="57" t="s">
        <v>715</v>
      </c>
      <c r="F13" s="12" t="s">
        <v>716</v>
      </c>
      <c r="G13" s="12">
        <v>1</v>
      </c>
      <c r="H13" s="13">
        <v>25</v>
      </c>
      <c r="I13" s="7">
        <v>3000</v>
      </c>
      <c r="J13" s="14">
        <v>990</v>
      </c>
      <c r="K13" s="15">
        <f>L13+5056</f>
        <v>6040</v>
      </c>
      <c r="L13" s="15">
        <v>984</v>
      </c>
      <c r="M13" s="16">
        <f t="shared" si="0"/>
        <v>984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18</v>
      </c>
      <c r="AB13" s="8">
        <f t="shared" si="4"/>
        <v>0.9939393939393939</v>
      </c>
      <c r="AC13" s="9">
        <f t="shared" si="5"/>
        <v>0.25</v>
      </c>
      <c r="AD13" s="10">
        <f t="shared" si="6"/>
        <v>0.24848484848484848</v>
      </c>
      <c r="AE13" s="39">
        <f t="shared" si="7"/>
        <v>0.41891714237882133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0.41891714237882133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745</v>
      </c>
      <c r="D15" s="55" t="s">
        <v>752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3590</v>
      </c>
      <c r="K15" s="15">
        <f>L15</f>
        <v>3581</v>
      </c>
      <c r="L15" s="15">
        <f>1116+2465</f>
        <v>3581</v>
      </c>
      <c r="M15" s="16">
        <f t="shared" si="0"/>
        <v>3581</v>
      </c>
      <c r="N15" s="16">
        <v>0</v>
      </c>
      <c r="O15" s="62">
        <f t="shared" si="1"/>
        <v>0</v>
      </c>
      <c r="P15" s="42">
        <f t="shared" si="2"/>
        <v>21</v>
      </c>
      <c r="Q15" s="43">
        <f t="shared" si="3"/>
        <v>3</v>
      </c>
      <c r="R15" s="7"/>
      <c r="S15" s="6"/>
      <c r="T15" s="17">
        <v>3</v>
      </c>
      <c r="U15" s="17"/>
      <c r="V15" s="18"/>
      <c r="W15" s="19"/>
      <c r="X15" s="17"/>
      <c r="Y15" s="20"/>
      <c r="Z15" s="20"/>
      <c r="AA15" s="21"/>
      <c r="AB15" s="8">
        <f t="shared" si="4"/>
        <v>0.99749303621169916</v>
      </c>
      <c r="AC15" s="9">
        <f t="shared" si="5"/>
        <v>0.875</v>
      </c>
      <c r="AD15" s="10">
        <f t="shared" si="6"/>
        <v>0.87280640668523679</v>
      </c>
      <c r="AE15" s="39">
        <f t="shared" si="7"/>
        <v>0.41891714237882133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6820</v>
      </c>
      <c r="K16" s="15">
        <f>L16+8022+9598+11782+11798+11816+11788+12090</f>
        <v>83712</v>
      </c>
      <c r="L16" s="15">
        <f>3025*2+384*2</f>
        <v>6818</v>
      </c>
      <c r="M16" s="16">
        <f t="shared" si="0"/>
        <v>6818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0.99970674486803524</v>
      </c>
      <c r="AC16" s="9">
        <f t="shared" si="5"/>
        <v>0.75</v>
      </c>
      <c r="AD16" s="10">
        <f t="shared" si="6"/>
        <v>0.74978005865102637</v>
      </c>
      <c r="AE16" s="39">
        <f t="shared" si="7"/>
        <v>0.41891714237882133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575</v>
      </c>
      <c r="D17" s="55" t="s">
        <v>576</v>
      </c>
      <c r="E17" s="57" t="s">
        <v>577</v>
      </c>
      <c r="F17" s="12" t="s">
        <v>578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0.41891714237882133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754</v>
      </c>
      <c r="E18" s="57" t="s">
        <v>755</v>
      </c>
      <c r="F18" s="33" t="s">
        <v>756</v>
      </c>
      <c r="G18" s="36">
        <v>1</v>
      </c>
      <c r="H18" s="38">
        <v>25</v>
      </c>
      <c r="I18" s="7">
        <v>3300</v>
      </c>
      <c r="J18" s="5">
        <v>1082</v>
      </c>
      <c r="K18" s="15">
        <f>L18</f>
        <v>1081</v>
      </c>
      <c r="L18" s="15">
        <f>1081</f>
        <v>1081</v>
      </c>
      <c r="M18" s="16">
        <f t="shared" si="0"/>
        <v>1081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>
        <v>15</v>
      </c>
      <c r="T18" s="17">
        <v>2</v>
      </c>
      <c r="U18" s="17"/>
      <c r="V18" s="18"/>
      <c r="W18" s="19"/>
      <c r="X18" s="17"/>
      <c r="Y18" s="20"/>
      <c r="Z18" s="20"/>
      <c r="AA18" s="21"/>
      <c r="AB18" s="8">
        <f t="shared" si="4"/>
        <v>0.99907578558225507</v>
      </c>
      <c r="AC18" s="9">
        <f t="shared" si="5"/>
        <v>0.29166666666666669</v>
      </c>
      <c r="AD18" s="10">
        <f t="shared" si="6"/>
        <v>0.29139710412815772</v>
      </c>
      <c r="AE18" s="39">
        <f t="shared" si="7"/>
        <v>0.41891714237882133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679</v>
      </c>
      <c r="E19" s="57" t="s">
        <v>678</v>
      </c>
      <c r="F19" s="12" t="s">
        <v>127</v>
      </c>
      <c r="G19" s="12" t="s">
        <v>677</v>
      </c>
      <c r="H19" s="13">
        <v>25</v>
      </c>
      <c r="I19" s="7">
        <v>25000</v>
      </c>
      <c r="J19" s="14">
        <v>6500</v>
      </c>
      <c r="K19" s="15">
        <f>6128+L19+7143</f>
        <v>19770</v>
      </c>
      <c r="L19" s="15">
        <f>2816+3683</f>
        <v>6499</v>
      </c>
      <c r="M19" s="16">
        <f t="shared" si="0"/>
        <v>6499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0.99984615384615383</v>
      </c>
      <c r="AC19" s="9">
        <f t="shared" si="5"/>
        <v>1</v>
      </c>
      <c r="AD19" s="10">
        <f t="shared" si="6"/>
        <v>0.99984615384615383</v>
      </c>
      <c r="AE19" s="39">
        <f t="shared" si="7"/>
        <v>0.41891714237882133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0.41891714237882133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1180250</v>
      </c>
      <c r="J21" s="22">
        <f t="shared" si="9"/>
        <v>54854</v>
      </c>
      <c r="K21" s="23">
        <f t="shared" si="9"/>
        <v>441939</v>
      </c>
      <c r="L21" s="24">
        <f t="shared" si="9"/>
        <v>38693</v>
      </c>
      <c r="M21" s="23">
        <f t="shared" si="9"/>
        <v>38693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151</v>
      </c>
      <c r="Q21" s="46">
        <f t="shared" si="10"/>
        <v>209</v>
      </c>
      <c r="R21" s="26">
        <f t="shared" si="10"/>
        <v>0</v>
      </c>
      <c r="S21" s="27">
        <f t="shared" si="10"/>
        <v>37</v>
      </c>
      <c r="T21" s="27">
        <f t="shared" si="10"/>
        <v>10</v>
      </c>
      <c r="U21" s="27">
        <f t="shared" si="10"/>
        <v>0</v>
      </c>
      <c r="V21" s="28">
        <f t="shared" si="10"/>
        <v>0</v>
      </c>
      <c r="W21" s="29">
        <f t="shared" si="10"/>
        <v>120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42</v>
      </c>
      <c r="AB21" s="31">
        <f>SUM(AB6:AB20)/15</f>
        <v>0.59904631071875025</v>
      </c>
      <c r="AC21" s="4">
        <f>SUM(AC6:AC20)/15</f>
        <v>0.41944444444444445</v>
      </c>
      <c r="AD21" s="4">
        <f>SUM(AD6:AD20)/15</f>
        <v>0.41891714237882133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757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778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91" t="s">
        <v>46</v>
      </c>
      <c r="D50" s="291" t="s">
        <v>47</v>
      </c>
      <c r="E50" s="291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91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451</v>
      </c>
      <c r="B51" s="447"/>
      <c r="C51" s="287" t="s">
        <v>452</v>
      </c>
      <c r="D51" s="287" t="s">
        <v>453</v>
      </c>
      <c r="E51" s="287" t="s">
        <v>454</v>
      </c>
      <c r="F51" s="445" t="s">
        <v>767</v>
      </c>
      <c r="G51" s="445"/>
      <c r="H51" s="445"/>
      <c r="I51" s="445"/>
      <c r="J51" s="445"/>
      <c r="K51" s="445"/>
      <c r="L51" s="445"/>
      <c r="M51" s="446"/>
      <c r="N51" s="286" t="s">
        <v>771</v>
      </c>
      <c r="O51" s="74" t="s">
        <v>772</v>
      </c>
      <c r="P51" s="447" t="s">
        <v>773</v>
      </c>
      <c r="Q51" s="447"/>
      <c r="R51" s="447" t="s">
        <v>779</v>
      </c>
      <c r="S51" s="447"/>
      <c r="T51" s="447"/>
      <c r="U51" s="447"/>
      <c r="V51" s="445" t="s">
        <v>780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758</v>
      </c>
      <c r="B52" s="447"/>
      <c r="C52" s="287" t="s">
        <v>759</v>
      </c>
      <c r="D52" s="287"/>
      <c r="E52" s="287" t="s">
        <v>760</v>
      </c>
      <c r="F52" s="445" t="s">
        <v>723</v>
      </c>
      <c r="G52" s="445"/>
      <c r="H52" s="445"/>
      <c r="I52" s="445"/>
      <c r="J52" s="445"/>
      <c r="K52" s="445"/>
      <c r="L52" s="445"/>
      <c r="M52" s="446"/>
      <c r="N52" s="286"/>
      <c r="O52" s="74"/>
      <c r="P52" s="447"/>
      <c r="Q52" s="447"/>
      <c r="R52" s="447"/>
      <c r="S52" s="447"/>
      <c r="T52" s="447"/>
      <c r="U52" s="447"/>
      <c r="V52" s="445"/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758</v>
      </c>
      <c r="B53" s="447"/>
      <c r="C53" s="287" t="s">
        <v>761</v>
      </c>
      <c r="D53" s="287"/>
      <c r="E53" s="287" t="s">
        <v>762</v>
      </c>
      <c r="F53" s="445" t="s">
        <v>723</v>
      </c>
      <c r="G53" s="445"/>
      <c r="H53" s="445"/>
      <c r="I53" s="445"/>
      <c r="J53" s="445"/>
      <c r="K53" s="445"/>
      <c r="L53" s="445"/>
      <c r="M53" s="446"/>
      <c r="N53" s="286"/>
      <c r="O53" s="74"/>
      <c r="P53" s="447"/>
      <c r="Q53" s="447"/>
      <c r="R53" s="447"/>
      <c r="S53" s="447"/>
      <c r="T53" s="447"/>
      <c r="U53" s="447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764</v>
      </c>
      <c r="B54" s="447"/>
      <c r="C54" s="287" t="s">
        <v>765</v>
      </c>
      <c r="D54" s="287"/>
      <c r="E54" s="287" t="s">
        <v>763</v>
      </c>
      <c r="F54" s="445" t="s">
        <v>766</v>
      </c>
      <c r="G54" s="445"/>
      <c r="H54" s="445"/>
      <c r="I54" s="445"/>
      <c r="J54" s="445"/>
      <c r="K54" s="445"/>
      <c r="L54" s="445"/>
      <c r="M54" s="446"/>
      <c r="N54" s="286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758</v>
      </c>
      <c r="B55" s="447"/>
      <c r="C55" s="287" t="s">
        <v>768</v>
      </c>
      <c r="D55" s="287"/>
      <c r="E55" s="287" t="s">
        <v>752</v>
      </c>
      <c r="F55" s="445" t="s">
        <v>723</v>
      </c>
      <c r="G55" s="445"/>
      <c r="H55" s="445"/>
      <c r="I55" s="445"/>
      <c r="J55" s="445"/>
      <c r="K55" s="445"/>
      <c r="L55" s="445"/>
      <c r="M55" s="446"/>
      <c r="N55" s="286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 t="s">
        <v>771</v>
      </c>
      <c r="B56" s="444"/>
      <c r="C56" s="290" t="s">
        <v>772</v>
      </c>
      <c r="D56" s="287" t="s">
        <v>773</v>
      </c>
      <c r="E56" s="290" t="s">
        <v>769</v>
      </c>
      <c r="F56" s="445" t="s">
        <v>770</v>
      </c>
      <c r="G56" s="445"/>
      <c r="H56" s="445"/>
      <c r="I56" s="445"/>
      <c r="J56" s="445"/>
      <c r="K56" s="445"/>
      <c r="L56" s="445"/>
      <c r="M56" s="446"/>
      <c r="N56" s="286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 t="s">
        <v>775</v>
      </c>
      <c r="B57" s="444"/>
      <c r="C57" s="290" t="s">
        <v>776</v>
      </c>
      <c r="D57" s="287" t="s">
        <v>777</v>
      </c>
      <c r="E57" s="290" t="s">
        <v>774</v>
      </c>
      <c r="F57" s="445" t="s">
        <v>766</v>
      </c>
      <c r="G57" s="445"/>
      <c r="H57" s="445"/>
      <c r="I57" s="445"/>
      <c r="J57" s="445"/>
      <c r="K57" s="445"/>
      <c r="L57" s="445"/>
      <c r="M57" s="446"/>
      <c r="N57" s="286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90"/>
      <c r="D58" s="287"/>
      <c r="E58" s="290"/>
      <c r="F58" s="445"/>
      <c r="G58" s="445"/>
      <c r="H58" s="445"/>
      <c r="I58" s="445"/>
      <c r="J58" s="445"/>
      <c r="K58" s="445"/>
      <c r="L58" s="445"/>
      <c r="M58" s="446"/>
      <c r="N58" s="286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87"/>
      <c r="D59" s="287"/>
      <c r="E59" s="287"/>
      <c r="F59" s="445"/>
      <c r="G59" s="445"/>
      <c r="H59" s="445"/>
      <c r="I59" s="445"/>
      <c r="J59" s="445"/>
      <c r="K59" s="445"/>
      <c r="L59" s="445"/>
      <c r="M59" s="446"/>
      <c r="N59" s="286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89"/>
      <c r="D60" s="289"/>
      <c r="E60" s="289"/>
      <c r="F60" s="452"/>
      <c r="G60" s="452"/>
      <c r="H60" s="452"/>
      <c r="I60" s="452"/>
      <c r="J60" s="452"/>
      <c r="K60" s="452"/>
      <c r="L60" s="452"/>
      <c r="M60" s="453"/>
      <c r="N60" s="288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781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85" t="s">
        <v>2</v>
      </c>
      <c r="D62" s="285" t="s">
        <v>37</v>
      </c>
      <c r="E62" s="285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85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647</v>
      </c>
      <c r="D63" s="281"/>
      <c r="E63" s="284" t="s">
        <v>782</v>
      </c>
      <c r="F63" s="464" t="s">
        <v>783</v>
      </c>
      <c r="G63" s="465"/>
      <c r="H63" s="465"/>
      <c r="I63" s="465"/>
      <c r="J63" s="465"/>
      <c r="K63" s="465" t="s">
        <v>784</v>
      </c>
      <c r="L63" s="465"/>
      <c r="M63" s="54" t="s">
        <v>785</v>
      </c>
      <c r="N63" s="465">
        <v>4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788</v>
      </c>
      <c r="D64" s="281"/>
      <c r="E64" s="284" t="s">
        <v>787</v>
      </c>
      <c r="F64" s="464" t="s">
        <v>786</v>
      </c>
      <c r="G64" s="465"/>
      <c r="H64" s="465"/>
      <c r="I64" s="465"/>
      <c r="J64" s="465"/>
      <c r="K64" s="465" t="s">
        <v>784</v>
      </c>
      <c r="L64" s="465"/>
      <c r="M64" s="54" t="s">
        <v>785</v>
      </c>
      <c r="N64" s="465">
        <v>4</v>
      </c>
      <c r="O64" s="465"/>
      <c r="P64" s="466">
        <v>50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788</v>
      </c>
      <c r="D65" s="281"/>
      <c r="E65" s="284" t="s">
        <v>789</v>
      </c>
      <c r="F65" s="464" t="s">
        <v>790</v>
      </c>
      <c r="G65" s="465"/>
      <c r="H65" s="465"/>
      <c r="I65" s="465"/>
      <c r="J65" s="465"/>
      <c r="K65" s="465" t="s">
        <v>784</v>
      </c>
      <c r="L65" s="465"/>
      <c r="M65" s="54" t="s">
        <v>785</v>
      </c>
      <c r="N65" s="465">
        <v>8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 t="s">
        <v>791</v>
      </c>
      <c r="D66" s="281"/>
      <c r="E66" s="284" t="s">
        <v>792</v>
      </c>
      <c r="F66" s="464" t="s">
        <v>793</v>
      </c>
      <c r="G66" s="465"/>
      <c r="H66" s="465"/>
      <c r="I66" s="465"/>
      <c r="J66" s="465"/>
      <c r="K66" s="465" t="s">
        <v>784</v>
      </c>
      <c r="L66" s="465"/>
      <c r="M66" s="54" t="s">
        <v>785</v>
      </c>
      <c r="N66" s="465">
        <v>4</v>
      </c>
      <c r="O66" s="465"/>
      <c r="P66" s="466">
        <v>50</v>
      </c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 t="s">
        <v>788</v>
      </c>
      <c r="D67" s="281"/>
      <c r="E67" s="284" t="s">
        <v>794</v>
      </c>
      <c r="F67" s="464" t="s">
        <v>795</v>
      </c>
      <c r="G67" s="465"/>
      <c r="H67" s="465"/>
      <c r="I67" s="465"/>
      <c r="J67" s="465"/>
      <c r="K67" s="465">
        <v>8301</v>
      </c>
      <c r="L67" s="465"/>
      <c r="M67" s="54" t="s">
        <v>796</v>
      </c>
      <c r="N67" s="465">
        <v>12</v>
      </c>
      <c r="O67" s="465"/>
      <c r="P67" s="466">
        <v>50</v>
      </c>
      <c r="Q67" s="466"/>
      <c r="R67" s="445" t="s">
        <v>797</v>
      </c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 t="s">
        <v>764</v>
      </c>
      <c r="D68" s="281"/>
      <c r="E68" s="284"/>
      <c r="F68" s="464" t="s">
        <v>798</v>
      </c>
      <c r="G68" s="465"/>
      <c r="H68" s="465"/>
      <c r="I68" s="465"/>
      <c r="J68" s="465"/>
      <c r="K68" s="465" t="s">
        <v>799</v>
      </c>
      <c r="L68" s="465"/>
      <c r="M68" s="54" t="s">
        <v>796</v>
      </c>
      <c r="N68" s="465">
        <v>5</v>
      </c>
      <c r="O68" s="465"/>
      <c r="P68" s="466">
        <v>100</v>
      </c>
      <c r="Q68" s="466"/>
      <c r="R68" s="445" t="s">
        <v>800</v>
      </c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281"/>
      <c r="E69" s="284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281"/>
      <c r="E70" s="284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801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283" t="s">
        <v>2</v>
      </c>
      <c r="D72" s="283" t="s">
        <v>37</v>
      </c>
      <c r="E72" s="283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282" t="s">
        <v>114</v>
      </c>
      <c r="D73" s="282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281" t="s">
        <v>114</v>
      </c>
      <c r="D74" s="281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281"/>
      <c r="D75" s="281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281"/>
      <c r="D76" s="281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281"/>
      <c r="D77" s="281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281"/>
      <c r="D78" s="281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281"/>
      <c r="D79" s="281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281"/>
      <c r="D80" s="281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281"/>
      <c r="D81" s="281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802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6" zoomScale="72" zoomScaleNormal="72" zoomScaleSheetLayoutView="70" workbookViewId="0">
      <selection activeCell="C67" sqref="C67:Q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803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486</v>
      </c>
      <c r="F6" s="33" t="s">
        <v>161</v>
      </c>
      <c r="G6" s="36">
        <v>1</v>
      </c>
      <c r="H6" s="38">
        <v>25</v>
      </c>
      <c r="I6" s="7">
        <v>1000</v>
      </c>
      <c r="J6" s="5">
        <v>1076</v>
      </c>
      <c r="K6" s="15">
        <f>L6+1076</f>
        <v>1076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0.48590297154931683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524</v>
      </c>
      <c r="D7" s="55" t="s">
        <v>168</v>
      </c>
      <c r="E7" s="57" t="s">
        <v>747</v>
      </c>
      <c r="F7" s="33" t="s">
        <v>433</v>
      </c>
      <c r="G7" s="12">
        <v>2</v>
      </c>
      <c r="H7" s="13">
        <v>25</v>
      </c>
      <c r="I7" s="34">
        <v>10000</v>
      </c>
      <c r="J7" s="5">
        <v>5450</v>
      </c>
      <c r="K7" s="15">
        <f>L7+4816</f>
        <v>10258</v>
      </c>
      <c r="L7" s="15">
        <f>1183*2+1538*2</f>
        <v>5442</v>
      </c>
      <c r="M7" s="16">
        <f t="shared" si="0"/>
        <v>5442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/>
      <c r="T7" s="17"/>
      <c r="U7" s="17"/>
      <c r="V7" s="18"/>
      <c r="W7" s="19">
        <v>5</v>
      </c>
      <c r="X7" s="17"/>
      <c r="Y7" s="20"/>
      <c r="Z7" s="20"/>
      <c r="AA7" s="21"/>
      <c r="AB7" s="8">
        <f t="shared" si="4"/>
        <v>0.99853211009174314</v>
      </c>
      <c r="AC7" s="9">
        <f t="shared" si="5"/>
        <v>0.79166666666666663</v>
      </c>
      <c r="AD7" s="10">
        <f t="shared" si="6"/>
        <v>0.79050458715596328</v>
      </c>
      <c r="AE7" s="39">
        <f t="shared" si="7"/>
        <v>0.48590297154931683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3380</v>
      </c>
      <c r="K8" s="15">
        <f>L8+3024</f>
        <v>6398</v>
      </c>
      <c r="L8" s="15">
        <f>1811+1563</f>
        <v>3374</v>
      </c>
      <c r="M8" s="16">
        <f t="shared" si="0"/>
        <v>3374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0.99822485207100586</v>
      </c>
      <c r="AC8" s="9">
        <f t="shared" si="5"/>
        <v>1</v>
      </c>
      <c r="AD8" s="10">
        <f t="shared" si="6"/>
        <v>0.99822485207100586</v>
      </c>
      <c r="AE8" s="39">
        <f t="shared" si="7"/>
        <v>0.48590297154931683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711</v>
      </c>
      <c r="E9" s="57" t="s">
        <v>712</v>
      </c>
      <c r="F9" s="33" t="s">
        <v>713</v>
      </c>
      <c r="G9" s="36">
        <v>1</v>
      </c>
      <c r="H9" s="38">
        <v>25</v>
      </c>
      <c r="I9" s="7">
        <v>6000</v>
      </c>
      <c r="J9" s="5">
        <v>3530</v>
      </c>
      <c r="K9" s="15">
        <f>L9+3530</f>
        <v>3530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0.48590297154931683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14140</v>
      </c>
      <c r="K10" s="15">
        <f>L10+6534+16360+16954+16456+16062+8812</f>
        <v>95314</v>
      </c>
      <c r="L10" s="15">
        <f>4566*2+2502*2</f>
        <v>14136</v>
      </c>
      <c r="M10" s="16">
        <f t="shared" si="0"/>
        <v>14136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>
        <v>3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0.99971711456859969</v>
      </c>
      <c r="AC10" s="9">
        <f t="shared" si="5"/>
        <v>0.875</v>
      </c>
      <c r="AD10" s="10">
        <f t="shared" si="6"/>
        <v>0.87475247524752475</v>
      </c>
      <c r="AE10" s="39">
        <f t="shared" si="7"/>
        <v>0.48590297154931683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0.48590297154931683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434</v>
      </c>
      <c r="E12" s="57" t="s">
        <v>435</v>
      </c>
      <c r="F12" s="12" t="s">
        <v>436</v>
      </c>
      <c r="G12" s="12">
        <v>1</v>
      </c>
      <c r="H12" s="13">
        <v>25</v>
      </c>
      <c r="I12" s="7">
        <v>15000</v>
      </c>
      <c r="J12" s="14">
        <v>3080</v>
      </c>
      <c r="K12" s="15">
        <f>L12+1265+3160+2450+715+2952+1458+2589+3078</f>
        <v>20759</v>
      </c>
      <c r="L12" s="15">
        <f>1283+1809</f>
        <v>3092</v>
      </c>
      <c r="M12" s="16">
        <f t="shared" si="0"/>
        <v>3092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/>
      <c r="T12" s="17"/>
      <c r="U12" s="17"/>
      <c r="V12" s="18"/>
      <c r="W12" s="19">
        <v>5</v>
      </c>
      <c r="X12" s="17"/>
      <c r="Y12" s="20"/>
      <c r="Z12" s="20"/>
      <c r="AA12" s="21"/>
      <c r="AB12" s="8">
        <f t="shared" si="4"/>
        <v>1.0038961038961038</v>
      </c>
      <c r="AC12" s="9">
        <f t="shared" si="5"/>
        <v>0.79166666666666663</v>
      </c>
      <c r="AD12" s="10">
        <f t="shared" si="6"/>
        <v>0.79475108225108215</v>
      </c>
      <c r="AE12" s="39">
        <f t="shared" si="7"/>
        <v>0.48590297154931683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165</v>
      </c>
      <c r="E13" s="57" t="s">
        <v>162</v>
      </c>
      <c r="F13" s="12" t="s">
        <v>716</v>
      </c>
      <c r="G13" s="12">
        <v>1</v>
      </c>
      <c r="H13" s="13">
        <v>25</v>
      </c>
      <c r="I13" s="7">
        <v>3000</v>
      </c>
      <c r="J13" s="14">
        <v>990</v>
      </c>
      <c r="K13" s="15">
        <f>L13+5056+984</f>
        <v>6040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0.48590297154931683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0.48590297154931683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4540</v>
      </c>
      <c r="K15" s="15">
        <f>L15+3581</f>
        <v>8119</v>
      </c>
      <c r="L15" s="15">
        <f>2445+2093</f>
        <v>4538</v>
      </c>
      <c r="M15" s="16">
        <f t="shared" si="0"/>
        <v>4538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0.99955947136563872</v>
      </c>
      <c r="AC15" s="9">
        <f t="shared" si="5"/>
        <v>1</v>
      </c>
      <c r="AD15" s="10">
        <f t="shared" si="6"/>
        <v>0.99955947136563872</v>
      </c>
      <c r="AE15" s="39">
        <f t="shared" si="7"/>
        <v>0.48590297154931683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11510</v>
      </c>
      <c r="K16" s="15">
        <f>L16+8022+9598+11782+11798+11816+11788+12090+6818</f>
        <v>95218</v>
      </c>
      <c r="L16" s="15">
        <f>3103*2+2650*2</f>
        <v>11506</v>
      </c>
      <c r="M16" s="16">
        <f t="shared" si="0"/>
        <v>11506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0.99965247610773245</v>
      </c>
      <c r="AC16" s="9">
        <f t="shared" si="5"/>
        <v>1</v>
      </c>
      <c r="AD16" s="10">
        <f t="shared" si="6"/>
        <v>0.99965247610773245</v>
      </c>
      <c r="AE16" s="39">
        <f t="shared" si="7"/>
        <v>0.48590297154931683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175</v>
      </c>
      <c r="D17" s="55" t="s">
        <v>576</v>
      </c>
      <c r="E17" s="57" t="s">
        <v>577</v>
      </c>
      <c r="F17" s="12" t="s">
        <v>417</v>
      </c>
      <c r="G17" s="12">
        <v>1</v>
      </c>
      <c r="H17" s="13">
        <v>25</v>
      </c>
      <c r="I17" s="34">
        <v>100</v>
      </c>
      <c r="J17" s="5">
        <v>434</v>
      </c>
      <c r="K17" s="15">
        <f>L17+434</f>
        <v>434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0.48590297154931683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754</v>
      </c>
      <c r="E18" s="57" t="s">
        <v>755</v>
      </c>
      <c r="F18" s="33" t="s">
        <v>174</v>
      </c>
      <c r="G18" s="36">
        <v>1</v>
      </c>
      <c r="H18" s="38">
        <v>25</v>
      </c>
      <c r="I18" s="7">
        <v>3300</v>
      </c>
      <c r="J18" s="5">
        <v>3700</v>
      </c>
      <c r="K18" s="15">
        <f>L18+1081</f>
        <v>4775</v>
      </c>
      <c r="L18" s="15">
        <f>2274+1420</f>
        <v>3694</v>
      </c>
      <c r="M18" s="16">
        <f t="shared" si="0"/>
        <v>3694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>
        <v>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0.99837837837837839</v>
      </c>
      <c r="AC18" s="9">
        <f t="shared" si="5"/>
        <v>0.83333333333333337</v>
      </c>
      <c r="AD18" s="10">
        <f t="shared" si="6"/>
        <v>0.83198198198198203</v>
      </c>
      <c r="AE18" s="39">
        <f t="shared" si="7"/>
        <v>0.48590297154931683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129</v>
      </c>
      <c r="D19" s="55" t="s">
        <v>679</v>
      </c>
      <c r="E19" s="57" t="s">
        <v>678</v>
      </c>
      <c r="F19" s="12" t="s">
        <v>127</v>
      </c>
      <c r="G19" s="12" t="s">
        <v>219</v>
      </c>
      <c r="H19" s="13">
        <v>25</v>
      </c>
      <c r="I19" s="7">
        <v>25000</v>
      </c>
      <c r="J19" s="14">
        <v>6800</v>
      </c>
      <c r="K19" s="15">
        <f>6128+L19+7143+6499</f>
        <v>26564</v>
      </c>
      <c r="L19" s="15">
        <f>3633+3161</f>
        <v>6794</v>
      </c>
      <c r="M19" s="16">
        <f t="shared" si="0"/>
        <v>6794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0.99911764705882355</v>
      </c>
      <c r="AC19" s="9">
        <f t="shared" si="5"/>
        <v>1</v>
      </c>
      <c r="AD19" s="10">
        <f t="shared" si="6"/>
        <v>0.99911764705882355</v>
      </c>
      <c r="AE19" s="39">
        <f t="shared" si="7"/>
        <v>0.48590297154931683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0.48590297154931683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1180250</v>
      </c>
      <c r="J21" s="22">
        <f t="shared" si="9"/>
        <v>69712</v>
      </c>
      <c r="K21" s="23">
        <f t="shared" si="9"/>
        <v>494515</v>
      </c>
      <c r="L21" s="24">
        <f t="shared" si="9"/>
        <v>52576</v>
      </c>
      <c r="M21" s="23">
        <f t="shared" si="9"/>
        <v>52576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175</v>
      </c>
      <c r="Q21" s="46">
        <f t="shared" si="10"/>
        <v>185</v>
      </c>
      <c r="R21" s="26">
        <f t="shared" si="10"/>
        <v>0</v>
      </c>
      <c r="S21" s="27">
        <f t="shared" si="10"/>
        <v>7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82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96</v>
      </c>
      <c r="AB21" s="31">
        <f>SUM(AB6:AB20)/15</f>
        <v>0.53313854356920165</v>
      </c>
      <c r="AC21" s="4">
        <f>SUM(AC6:AC20)/15</f>
        <v>0.48611111111111105</v>
      </c>
      <c r="AD21" s="4">
        <f>SUM(AD6:AD20)/15</f>
        <v>0.48590297154931683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804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807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294" t="s">
        <v>46</v>
      </c>
      <c r="D50" s="294" t="s">
        <v>47</v>
      </c>
      <c r="E50" s="294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294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43" t="s">
        <v>771</v>
      </c>
      <c r="B51" s="444"/>
      <c r="C51" s="295" t="s">
        <v>238</v>
      </c>
      <c r="D51" s="296" t="s">
        <v>740</v>
      </c>
      <c r="E51" s="295" t="s">
        <v>755</v>
      </c>
      <c r="F51" s="445" t="s">
        <v>805</v>
      </c>
      <c r="G51" s="445"/>
      <c r="H51" s="445"/>
      <c r="I51" s="445"/>
      <c r="J51" s="445"/>
      <c r="K51" s="445"/>
      <c r="L51" s="445"/>
      <c r="M51" s="446"/>
      <c r="N51" s="300" t="s">
        <v>808</v>
      </c>
      <c r="O51" s="74" t="s">
        <v>248</v>
      </c>
      <c r="P51" s="447"/>
      <c r="Q51" s="447"/>
      <c r="R51" s="447" t="s">
        <v>812</v>
      </c>
      <c r="S51" s="447"/>
      <c r="T51" s="447"/>
      <c r="U51" s="447"/>
      <c r="V51" s="445" t="s">
        <v>809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177</v>
      </c>
      <c r="B52" s="447"/>
      <c r="C52" s="296" t="s">
        <v>463</v>
      </c>
      <c r="D52" s="296"/>
      <c r="E52" s="296" t="s">
        <v>143</v>
      </c>
      <c r="F52" s="445" t="s">
        <v>806</v>
      </c>
      <c r="G52" s="445"/>
      <c r="H52" s="445"/>
      <c r="I52" s="445"/>
      <c r="J52" s="445"/>
      <c r="K52" s="445"/>
      <c r="L52" s="445"/>
      <c r="M52" s="446"/>
      <c r="N52" s="300" t="s">
        <v>810</v>
      </c>
      <c r="O52" s="74" t="s">
        <v>446</v>
      </c>
      <c r="P52" s="447"/>
      <c r="Q52" s="447"/>
      <c r="R52" s="447" t="s">
        <v>811</v>
      </c>
      <c r="S52" s="447"/>
      <c r="T52" s="447"/>
      <c r="U52" s="447"/>
      <c r="V52" s="445" t="s">
        <v>809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/>
      <c r="B53" s="447"/>
      <c r="C53" s="296"/>
      <c r="D53" s="296"/>
      <c r="E53" s="296"/>
      <c r="F53" s="445"/>
      <c r="G53" s="445"/>
      <c r="H53" s="445"/>
      <c r="I53" s="445"/>
      <c r="J53" s="445"/>
      <c r="K53" s="445"/>
      <c r="L53" s="445"/>
      <c r="M53" s="446"/>
      <c r="N53" s="300" t="s">
        <v>814</v>
      </c>
      <c r="O53" s="74" t="s">
        <v>245</v>
      </c>
      <c r="P53" s="447" t="s">
        <v>815</v>
      </c>
      <c r="Q53" s="447"/>
      <c r="R53" s="447" t="s">
        <v>813</v>
      </c>
      <c r="S53" s="447"/>
      <c r="T53" s="447"/>
      <c r="U53" s="447"/>
      <c r="V53" s="445" t="s">
        <v>809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296"/>
      <c r="D54" s="296"/>
      <c r="E54" s="296"/>
      <c r="F54" s="445"/>
      <c r="G54" s="445"/>
      <c r="H54" s="445"/>
      <c r="I54" s="445"/>
      <c r="J54" s="445"/>
      <c r="K54" s="445"/>
      <c r="L54" s="445"/>
      <c r="M54" s="446"/>
      <c r="N54" s="300" t="s">
        <v>817</v>
      </c>
      <c r="O54" s="74" t="s">
        <v>818</v>
      </c>
      <c r="P54" s="447" t="s">
        <v>819</v>
      </c>
      <c r="Q54" s="447"/>
      <c r="R54" s="447" t="s">
        <v>816</v>
      </c>
      <c r="S54" s="447"/>
      <c r="T54" s="447"/>
      <c r="U54" s="447"/>
      <c r="V54" s="445" t="s">
        <v>809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296"/>
      <c r="D55" s="296"/>
      <c r="E55" s="296"/>
      <c r="F55" s="445"/>
      <c r="G55" s="445"/>
      <c r="H55" s="445"/>
      <c r="I55" s="445"/>
      <c r="J55" s="445"/>
      <c r="K55" s="445"/>
      <c r="L55" s="445"/>
      <c r="M55" s="446"/>
      <c r="N55" s="300" t="s">
        <v>817</v>
      </c>
      <c r="O55" s="74" t="s">
        <v>820</v>
      </c>
      <c r="P55" s="447" t="s">
        <v>821</v>
      </c>
      <c r="Q55" s="447"/>
      <c r="R55" s="447" t="s">
        <v>822</v>
      </c>
      <c r="S55" s="447"/>
      <c r="T55" s="447"/>
      <c r="U55" s="447"/>
      <c r="V55" s="445" t="s">
        <v>809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295"/>
      <c r="D56" s="296"/>
      <c r="E56" s="295"/>
      <c r="F56" s="445"/>
      <c r="G56" s="445"/>
      <c r="H56" s="445"/>
      <c r="I56" s="445"/>
      <c r="J56" s="445"/>
      <c r="K56" s="445"/>
      <c r="L56" s="445"/>
      <c r="M56" s="446"/>
      <c r="N56" s="300" t="s">
        <v>262</v>
      </c>
      <c r="O56" s="74" t="s">
        <v>824</v>
      </c>
      <c r="P56" s="447" t="s">
        <v>819</v>
      </c>
      <c r="Q56" s="447"/>
      <c r="R56" s="447" t="s">
        <v>823</v>
      </c>
      <c r="S56" s="447"/>
      <c r="T56" s="447"/>
      <c r="U56" s="447"/>
      <c r="V56" s="445" t="s">
        <v>809</v>
      </c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295"/>
      <c r="D57" s="296"/>
      <c r="E57" s="295"/>
      <c r="F57" s="445"/>
      <c r="G57" s="445"/>
      <c r="H57" s="445"/>
      <c r="I57" s="445"/>
      <c r="J57" s="445"/>
      <c r="K57" s="445"/>
      <c r="L57" s="445"/>
      <c r="M57" s="446"/>
      <c r="N57" s="300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295"/>
      <c r="D58" s="296"/>
      <c r="E58" s="295"/>
      <c r="F58" s="445"/>
      <c r="G58" s="445"/>
      <c r="H58" s="445"/>
      <c r="I58" s="445"/>
      <c r="J58" s="445"/>
      <c r="K58" s="445"/>
      <c r="L58" s="445"/>
      <c r="M58" s="446"/>
      <c r="N58" s="300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296"/>
      <c r="D59" s="296"/>
      <c r="E59" s="296"/>
      <c r="F59" s="445"/>
      <c r="G59" s="445"/>
      <c r="H59" s="445"/>
      <c r="I59" s="445"/>
      <c r="J59" s="445"/>
      <c r="K59" s="445"/>
      <c r="L59" s="445"/>
      <c r="M59" s="446"/>
      <c r="N59" s="300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298"/>
      <c r="D60" s="298"/>
      <c r="E60" s="298"/>
      <c r="F60" s="452"/>
      <c r="G60" s="452"/>
      <c r="H60" s="452"/>
      <c r="I60" s="452"/>
      <c r="J60" s="452"/>
      <c r="K60" s="452"/>
      <c r="L60" s="452"/>
      <c r="M60" s="453"/>
      <c r="N60" s="297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825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299" t="s">
        <v>2</v>
      </c>
      <c r="D62" s="299" t="s">
        <v>37</v>
      </c>
      <c r="E62" s="299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299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647</v>
      </c>
      <c r="D63" s="303"/>
      <c r="E63" s="301" t="s">
        <v>826</v>
      </c>
      <c r="F63" s="464" t="s">
        <v>827</v>
      </c>
      <c r="G63" s="465"/>
      <c r="H63" s="465"/>
      <c r="I63" s="465"/>
      <c r="J63" s="465"/>
      <c r="K63" s="465" t="s">
        <v>634</v>
      </c>
      <c r="L63" s="465"/>
      <c r="M63" s="54" t="s">
        <v>785</v>
      </c>
      <c r="N63" s="465">
        <v>4</v>
      </c>
      <c r="O63" s="465"/>
      <c r="P63" s="466">
        <v>100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262</v>
      </c>
      <c r="D64" s="303"/>
      <c r="E64" s="301" t="s">
        <v>165</v>
      </c>
      <c r="F64" s="464" t="s">
        <v>828</v>
      </c>
      <c r="G64" s="465"/>
      <c r="H64" s="465"/>
      <c r="I64" s="465"/>
      <c r="J64" s="465"/>
      <c r="K64" s="465" t="s">
        <v>829</v>
      </c>
      <c r="L64" s="465"/>
      <c r="M64" s="54" t="s">
        <v>785</v>
      </c>
      <c r="N64" s="465">
        <v>8</v>
      </c>
      <c r="O64" s="465"/>
      <c r="P64" s="466">
        <v>50</v>
      </c>
      <c r="Q64" s="466"/>
      <c r="R64" s="445" t="s">
        <v>832</v>
      </c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262</v>
      </c>
      <c r="D65" s="303"/>
      <c r="E65" s="301" t="s">
        <v>794</v>
      </c>
      <c r="F65" s="464" t="s">
        <v>425</v>
      </c>
      <c r="G65" s="465"/>
      <c r="H65" s="465"/>
      <c r="I65" s="465"/>
      <c r="J65" s="465"/>
      <c r="K65" s="465">
        <v>8301</v>
      </c>
      <c r="L65" s="465"/>
      <c r="M65" s="54" t="s">
        <v>796</v>
      </c>
      <c r="N65" s="465">
        <v>12</v>
      </c>
      <c r="O65" s="465"/>
      <c r="P65" s="466">
        <v>50</v>
      </c>
      <c r="Q65" s="466"/>
      <c r="R65" s="445" t="s">
        <v>371</v>
      </c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 t="s">
        <v>146</v>
      </c>
      <c r="D66" s="303"/>
      <c r="E66" s="301" t="s">
        <v>701</v>
      </c>
      <c r="F66" s="464" t="s">
        <v>702</v>
      </c>
      <c r="G66" s="465"/>
      <c r="H66" s="465"/>
      <c r="I66" s="465"/>
      <c r="J66" s="465"/>
      <c r="K66" s="465" t="s">
        <v>703</v>
      </c>
      <c r="L66" s="465"/>
      <c r="M66" s="54" t="s">
        <v>831</v>
      </c>
      <c r="N66" s="465">
        <v>8</v>
      </c>
      <c r="O66" s="465"/>
      <c r="P66" s="466" t="s">
        <v>830</v>
      </c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 t="s">
        <v>146</v>
      </c>
      <c r="D67" s="303"/>
      <c r="E67" s="301" t="s">
        <v>670</v>
      </c>
      <c r="F67" s="464" t="s">
        <v>671</v>
      </c>
      <c r="G67" s="465"/>
      <c r="H67" s="465"/>
      <c r="I67" s="465"/>
      <c r="J67" s="465"/>
      <c r="K67" s="465" t="s">
        <v>520</v>
      </c>
      <c r="L67" s="465"/>
      <c r="M67" s="54" t="s">
        <v>831</v>
      </c>
      <c r="N67" s="465">
        <v>6</v>
      </c>
      <c r="O67" s="465"/>
      <c r="P67" s="466">
        <v>100</v>
      </c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 t="s">
        <v>647</v>
      </c>
      <c r="D68" s="303"/>
      <c r="E68" s="301" t="s">
        <v>415</v>
      </c>
      <c r="F68" s="464" t="s">
        <v>699</v>
      </c>
      <c r="G68" s="465"/>
      <c r="H68" s="465"/>
      <c r="I68" s="465"/>
      <c r="J68" s="465"/>
      <c r="K68" s="465" t="s">
        <v>700</v>
      </c>
      <c r="L68" s="465"/>
      <c r="M68" s="54" t="s">
        <v>667</v>
      </c>
      <c r="N68" s="465">
        <v>6</v>
      </c>
      <c r="O68" s="465"/>
      <c r="P68" s="466">
        <v>50</v>
      </c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03"/>
      <c r="E69" s="301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03"/>
      <c r="E70" s="301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833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02" t="s">
        <v>2</v>
      </c>
      <c r="D72" s="302" t="s">
        <v>37</v>
      </c>
      <c r="E72" s="302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304" t="s">
        <v>114</v>
      </c>
      <c r="D73" s="304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03" t="s">
        <v>114</v>
      </c>
      <c r="D74" s="303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303"/>
      <c r="D75" s="303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303"/>
      <c r="D76" s="303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303"/>
      <c r="D77" s="303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303"/>
      <c r="D78" s="303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303"/>
      <c r="D79" s="303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303"/>
      <c r="D80" s="303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303"/>
      <c r="D81" s="303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834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E92" sqref="E9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835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4690</v>
      </c>
      <c r="K6" s="15">
        <f>L6+1076</f>
        <v>5763</v>
      </c>
      <c r="L6" s="15">
        <f>2716+1971</f>
        <v>4687</v>
      </c>
      <c r="M6" s="16">
        <f t="shared" ref="M6:M21" si="0">L6-N6</f>
        <v>4687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0.99936034115138594</v>
      </c>
      <c r="AC6" s="9">
        <f t="shared" ref="AC6:AC21" si="5">IF(P6=0,"0",(P6/24))</f>
        <v>1</v>
      </c>
      <c r="AD6" s="10">
        <f t="shared" ref="AD6:AD21" si="6">AC6*AB6*(1-O6)</f>
        <v>0.99936034115138594</v>
      </c>
      <c r="AE6" s="39">
        <f t="shared" ref="AE6:AE17" si="7">$AD$22</f>
        <v>0.61332024015450215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2651</v>
      </c>
      <c r="K7" s="15">
        <f>L7</f>
        <v>2651</v>
      </c>
      <c r="L7" s="15">
        <f>934+1717</f>
        <v>2651</v>
      </c>
      <c r="M7" s="16">
        <f t="shared" si="0"/>
        <v>2651</v>
      </c>
      <c r="N7" s="16">
        <v>0</v>
      </c>
      <c r="O7" s="62">
        <f t="shared" si="1"/>
        <v>0</v>
      </c>
      <c r="P7" s="42">
        <f t="shared" si="2"/>
        <v>20</v>
      </c>
      <c r="Q7" s="43">
        <f t="shared" si="3"/>
        <v>4</v>
      </c>
      <c r="R7" s="7"/>
      <c r="S7" s="6"/>
      <c r="T7" s="17">
        <v>4</v>
      </c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9">
        <f t="shared" si="7"/>
        <v>0.61332024015450215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3255</v>
      </c>
      <c r="K8" s="15">
        <f>L8+3024+3374</f>
        <v>9652</v>
      </c>
      <c r="L8" s="15">
        <f>1675+1579</f>
        <v>3254</v>
      </c>
      <c r="M8" s="16">
        <f t="shared" si="0"/>
        <v>3254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0.99969278033794162</v>
      </c>
      <c r="AC8" s="9">
        <f t="shared" si="5"/>
        <v>1</v>
      </c>
      <c r="AD8" s="10">
        <f t="shared" si="6"/>
        <v>0.99969278033794162</v>
      </c>
      <c r="AE8" s="39">
        <f t="shared" si="7"/>
        <v>0.61332024015450215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841</v>
      </c>
      <c r="D9" s="55"/>
      <c r="E9" s="57" t="s">
        <v>842</v>
      </c>
      <c r="F9" s="33" t="s">
        <v>843</v>
      </c>
      <c r="G9" s="36">
        <v>1</v>
      </c>
      <c r="H9" s="38">
        <v>25</v>
      </c>
      <c r="I9" s="7">
        <v>2000</v>
      </c>
      <c r="J9" s="5">
        <v>2220</v>
      </c>
      <c r="K9" s="15">
        <f>L9</f>
        <v>2218</v>
      </c>
      <c r="L9" s="15">
        <v>2218</v>
      </c>
      <c r="M9" s="16">
        <f t="shared" si="0"/>
        <v>2218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/>
      <c r="T9" s="17"/>
      <c r="U9" s="17"/>
      <c r="V9" s="18"/>
      <c r="W9" s="19"/>
      <c r="X9" s="17"/>
      <c r="Y9" s="20"/>
      <c r="Z9" s="20"/>
      <c r="AA9" s="21">
        <v>10</v>
      </c>
      <c r="AB9" s="8">
        <f t="shared" si="4"/>
        <v>0.99909909909909911</v>
      </c>
      <c r="AC9" s="9">
        <f t="shared" si="5"/>
        <v>0.58333333333333337</v>
      </c>
      <c r="AD9" s="10">
        <f t="shared" si="6"/>
        <v>0.58280780780780783</v>
      </c>
      <c r="AE9" s="39">
        <f t="shared" si="7"/>
        <v>0.61332024015450215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16900</v>
      </c>
      <c r="K10" s="15">
        <f>L10+6534+16360+16954+16456+16062+8812+14136</f>
        <v>112206</v>
      </c>
      <c r="L10" s="15">
        <f>4495*2+3951*2</f>
        <v>16892</v>
      </c>
      <c r="M10" s="16">
        <f t="shared" si="0"/>
        <v>16892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0.99952662721893493</v>
      </c>
      <c r="AC10" s="9">
        <f t="shared" si="5"/>
        <v>1</v>
      </c>
      <c r="AD10" s="10">
        <f t="shared" si="6"/>
        <v>0.99952662721893493</v>
      </c>
      <c r="AE10" s="39">
        <f t="shared" si="7"/>
        <v>0.61332024015450215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0.61332024015450215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844</v>
      </c>
      <c r="D12" s="55" t="s">
        <v>125</v>
      </c>
      <c r="E12" s="57" t="s">
        <v>845</v>
      </c>
      <c r="F12" s="12" t="s">
        <v>846</v>
      </c>
      <c r="G12" s="12">
        <v>1</v>
      </c>
      <c r="H12" s="13">
        <v>25</v>
      </c>
      <c r="I12" s="7">
        <v>2500</v>
      </c>
      <c r="J12" s="14">
        <v>770</v>
      </c>
      <c r="K12" s="15">
        <f>L12</f>
        <v>764</v>
      </c>
      <c r="L12" s="15">
        <f>764</f>
        <v>764</v>
      </c>
      <c r="M12" s="16">
        <f t="shared" si="0"/>
        <v>764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>
        <v>16</v>
      </c>
      <c r="T12" s="17">
        <v>2</v>
      </c>
      <c r="U12" s="17"/>
      <c r="V12" s="18"/>
      <c r="W12" s="19"/>
      <c r="X12" s="17"/>
      <c r="Y12" s="20"/>
      <c r="Z12" s="20"/>
      <c r="AA12" s="21"/>
      <c r="AB12" s="8">
        <f t="shared" si="4"/>
        <v>0.99220779220779221</v>
      </c>
      <c r="AC12" s="9">
        <f t="shared" si="5"/>
        <v>0.25</v>
      </c>
      <c r="AD12" s="10">
        <f t="shared" si="6"/>
        <v>0.24805194805194805</v>
      </c>
      <c r="AE12" s="39">
        <f t="shared" si="7"/>
        <v>0.61332024015450215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165</v>
      </c>
      <c r="E13" s="57" t="s">
        <v>162</v>
      </c>
      <c r="F13" s="12" t="s">
        <v>716</v>
      </c>
      <c r="G13" s="12">
        <v>1</v>
      </c>
      <c r="H13" s="13">
        <v>25</v>
      </c>
      <c r="I13" s="7">
        <v>3000</v>
      </c>
      <c r="J13" s="14">
        <v>990</v>
      </c>
      <c r="K13" s="15">
        <f>L13+5056+984</f>
        <v>6040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0.61332024015450215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542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0.61332024015450215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4550</v>
      </c>
      <c r="K15" s="15">
        <f>L15+3581+4538</f>
        <v>12667</v>
      </c>
      <c r="L15" s="15">
        <f>2418+2130</f>
        <v>4548</v>
      </c>
      <c r="M15" s="16">
        <f t="shared" si="0"/>
        <v>4548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0.99956043956043961</v>
      </c>
      <c r="AC15" s="9">
        <f t="shared" si="5"/>
        <v>1</v>
      </c>
      <c r="AD15" s="10">
        <f t="shared" si="6"/>
        <v>0.99956043956043961</v>
      </c>
      <c r="AE15" s="39">
        <f t="shared" si="7"/>
        <v>0.61332024015450215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11030</v>
      </c>
      <c r="K16" s="15">
        <f>L16+8022+9598+11782+11798+11816+11788+12090+6818+11506</f>
        <v>106246</v>
      </c>
      <c r="L16" s="15">
        <f>2808*2+2706*2</f>
        <v>11028</v>
      </c>
      <c r="M16" s="16">
        <f t="shared" si="0"/>
        <v>11028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0.99981867633726196</v>
      </c>
      <c r="AC16" s="9">
        <f t="shared" si="5"/>
        <v>1</v>
      </c>
      <c r="AD16" s="10">
        <f t="shared" si="6"/>
        <v>0.99981867633726196</v>
      </c>
      <c r="AE16" s="39">
        <f t="shared" si="7"/>
        <v>0.61332024015450215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284</v>
      </c>
      <c r="D17" s="55" t="s">
        <v>847</v>
      </c>
      <c r="E17" s="57" t="s">
        <v>848</v>
      </c>
      <c r="F17" s="12">
        <v>8301</v>
      </c>
      <c r="G17" s="12">
        <v>1</v>
      </c>
      <c r="H17" s="13">
        <v>25</v>
      </c>
      <c r="I17" s="34">
        <v>2000</v>
      </c>
      <c r="J17" s="5">
        <v>2220</v>
      </c>
      <c r="K17" s="15">
        <f>L17</f>
        <v>2214</v>
      </c>
      <c r="L17" s="15">
        <f>303+1911</f>
        <v>2214</v>
      </c>
      <c r="M17" s="16">
        <f t="shared" si="0"/>
        <v>2214</v>
      </c>
      <c r="N17" s="16">
        <v>0</v>
      </c>
      <c r="O17" s="62">
        <f t="shared" si="1"/>
        <v>0</v>
      </c>
      <c r="P17" s="42">
        <f t="shared" si="2"/>
        <v>15</v>
      </c>
      <c r="Q17" s="43">
        <f t="shared" si="3"/>
        <v>9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9</v>
      </c>
      <c r="AB17" s="8">
        <f t="shared" si="4"/>
        <v>0.99729729729729732</v>
      </c>
      <c r="AC17" s="9">
        <f t="shared" si="5"/>
        <v>0.625</v>
      </c>
      <c r="AD17" s="10">
        <f t="shared" si="6"/>
        <v>0.62331081081081086</v>
      </c>
      <c r="AE17" s="39">
        <f t="shared" si="7"/>
        <v>0.61332024015450215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114</v>
      </c>
      <c r="D18" s="55" t="s">
        <v>754</v>
      </c>
      <c r="E18" s="57" t="s">
        <v>755</v>
      </c>
      <c r="F18" s="33" t="s">
        <v>174</v>
      </c>
      <c r="G18" s="36">
        <v>1</v>
      </c>
      <c r="H18" s="38">
        <v>25</v>
      </c>
      <c r="I18" s="7">
        <v>3300</v>
      </c>
      <c r="J18" s="5">
        <v>910</v>
      </c>
      <c r="K18" s="15">
        <f>L18+1081+3694</f>
        <v>5680</v>
      </c>
      <c r="L18" s="15">
        <v>905</v>
      </c>
      <c r="M18" s="16">
        <f t="shared" si="0"/>
        <v>905</v>
      </c>
      <c r="N18" s="16">
        <v>0</v>
      </c>
      <c r="O18" s="62">
        <f t="shared" si="1"/>
        <v>0</v>
      </c>
      <c r="P18" s="42">
        <f t="shared" si="2"/>
        <v>5</v>
      </c>
      <c r="Q18" s="43">
        <f t="shared" si="3"/>
        <v>19</v>
      </c>
      <c r="R18" s="7"/>
      <c r="S18" s="6"/>
      <c r="T18" s="17"/>
      <c r="U18" s="17"/>
      <c r="V18" s="18"/>
      <c r="W18" s="19">
        <v>19</v>
      </c>
      <c r="X18" s="17"/>
      <c r="Y18" s="20"/>
      <c r="Z18" s="20"/>
      <c r="AA18" s="21"/>
      <c r="AB18" s="8">
        <f t="shared" si="4"/>
        <v>0.99450549450549453</v>
      </c>
      <c r="AC18" s="9">
        <f t="shared" si="5"/>
        <v>0.20833333333333334</v>
      </c>
      <c r="AD18" s="10">
        <f t="shared" si="6"/>
        <v>0.2071886446886447</v>
      </c>
      <c r="AE18" s="39">
        <f t="shared" ref="AE18" si="9">$AD$21</f>
        <v>0</v>
      </c>
      <c r="AF18" s="94">
        <f t="shared" si="8"/>
        <v>13</v>
      </c>
    </row>
    <row r="19" spans="1:32" ht="27" customHeight="1">
      <c r="A19" s="110">
        <v>13</v>
      </c>
      <c r="B19" s="11" t="s">
        <v>57</v>
      </c>
      <c r="C19" s="37" t="s">
        <v>284</v>
      </c>
      <c r="D19" s="55" t="s">
        <v>849</v>
      </c>
      <c r="E19" s="57" t="s">
        <v>850</v>
      </c>
      <c r="F19" s="33" t="s">
        <v>851</v>
      </c>
      <c r="G19" s="36">
        <v>1</v>
      </c>
      <c r="H19" s="38">
        <v>25</v>
      </c>
      <c r="I19" s="7">
        <v>2200</v>
      </c>
      <c r="J19" s="5">
        <v>3220</v>
      </c>
      <c r="K19" s="15">
        <f>L19</f>
        <v>3217</v>
      </c>
      <c r="L19" s="15">
        <f>2655+562</f>
        <v>3217</v>
      </c>
      <c r="M19" s="16">
        <f t="shared" si="0"/>
        <v>3217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0.9990683229813665</v>
      </c>
      <c r="AC19" s="9">
        <f t="shared" si="5"/>
        <v>0.75</v>
      </c>
      <c r="AD19" s="10">
        <f t="shared" si="6"/>
        <v>0.7493012422360249</v>
      </c>
      <c r="AE19" s="39">
        <f>$AD$22</f>
        <v>0.61332024015450215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232</v>
      </c>
      <c r="D20" s="55" t="s">
        <v>852</v>
      </c>
      <c r="E20" s="57" t="s">
        <v>853</v>
      </c>
      <c r="F20" s="12" t="s">
        <v>854</v>
      </c>
      <c r="G20" s="12">
        <v>2</v>
      </c>
      <c r="H20" s="13">
        <v>25</v>
      </c>
      <c r="I20" s="7">
        <v>5000</v>
      </c>
      <c r="J20" s="14">
        <v>11920</v>
      </c>
      <c r="K20" s="15">
        <f>L20</f>
        <v>11914</v>
      </c>
      <c r="L20" s="15">
        <f>2195*2+3762*2</f>
        <v>11914</v>
      </c>
      <c r="M20" s="16">
        <f t="shared" si="0"/>
        <v>11914</v>
      </c>
      <c r="N20" s="16">
        <v>0</v>
      </c>
      <c r="O20" s="62">
        <f t="shared" si="1"/>
        <v>0</v>
      </c>
      <c r="P20" s="42">
        <f t="shared" si="2"/>
        <v>23</v>
      </c>
      <c r="Q20" s="43">
        <f t="shared" si="3"/>
        <v>1</v>
      </c>
      <c r="R20" s="7"/>
      <c r="S20" s="6"/>
      <c r="T20" s="17">
        <v>1</v>
      </c>
      <c r="U20" s="17"/>
      <c r="V20" s="18"/>
      <c r="W20" s="19"/>
      <c r="X20" s="17"/>
      <c r="Y20" s="20"/>
      <c r="Z20" s="20"/>
      <c r="AA20" s="21"/>
      <c r="AB20" s="8">
        <f t="shared" si="4"/>
        <v>0.99949664429530205</v>
      </c>
      <c r="AC20" s="9">
        <f t="shared" si="5"/>
        <v>0.95833333333333337</v>
      </c>
      <c r="AD20" s="10">
        <f t="shared" si="6"/>
        <v>0.95785095078299787</v>
      </c>
      <c r="AE20" s="39">
        <f>$AD$22</f>
        <v>0.61332024015450215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123</v>
      </c>
      <c r="D21" s="55"/>
      <c r="E21" s="56" t="s">
        <v>138</v>
      </c>
      <c r="F21" s="12" t="s">
        <v>124</v>
      </c>
      <c r="G21" s="12">
        <v>4</v>
      </c>
      <c r="H21" s="38">
        <v>20</v>
      </c>
      <c r="I21" s="7">
        <v>800000</v>
      </c>
      <c r="J21" s="14">
        <v>10000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>$AD$22</f>
        <v>0.61332024015450215</v>
      </c>
      <c r="AF21" s="94">
        <f t="shared" si="8"/>
        <v>15</v>
      </c>
    </row>
    <row r="22" spans="1:32" ht="31.5" customHeight="1" thickBot="1">
      <c r="A22" s="416" t="s">
        <v>34</v>
      </c>
      <c r="B22" s="417"/>
      <c r="C22" s="417"/>
      <c r="D22" s="417"/>
      <c r="E22" s="417"/>
      <c r="F22" s="417"/>
      <c r="G22" s="417"/>
      <c r="H22" s="418"/>
      <c r="I22" s="25">
        <f t="shared" ref="I22:N22" si="10">SUM(I6:I21)</f>
        <v>1149350</v>
      </c>
      <c r="J22" s="22">
        <f t="shared" si="10"/>
        <v>76408</v>
      </c>
      <c r="K22" s="23">
        <f t="shared" si="10"/>
        <v>497262</v>
      </c>
      <c r="L22" s="24">
        <f t="shared" si="10"/>
        <v>64292</v>
      </c>
      <c r="M22" s="23">
        <f t="shared" si="10"/>
        <v>64292</v>
      </c>
      <c r="N22" s="24">
        <f t="shared" si="10"/>
        <v>0</v>
      </c>
      <c r="O22" s="44">
        <f t="shared" si="1"/>
        <v>0</v>
      </c>
      <c r="P22" s="45">
        <f t="shared" ref="P22:AA22" si="11">SUM(P6:P21)</f>
        <v>221</v>
      </c>
      <c r="Q22" s="46">
        <f t="shared" si="11"/>
        <v>163</v>
      </c>
      <c r="R22" s="26">
        <f t="shared" si="11"/>
        <v>0</v>
      </c>
      <c r="S22" s="27">
        <f t="shared" si="11"/>
        <v>22</v>
      </c>
      <c r="T22" s="27">
        <f t="shared" si="11"/>
        <v>7</v>
      </c>
      <c r="U22" s="27">
        <f t="shared" si="11"/>
        <v>0</v>
      </c>
      <c r="V22" s="28">
        <f t="shared" si="11"/>
        <v>0</v>
      </c>
      <c r="W22" s="29">
        <f t="shared" si="11"/>
        <v>67</v>
      </c>
      <c r="X22" s="30">
        <f t="shared" si="11"/>
        <v>0</v>
      </c>
      <c r="Y22" s="30">
        <f t="shared" si="11"/>
        <v>0</v>
      </c>
      <c r="Z22" s="30">
        <f t="shared" si="11"/>
        <v>0</v>
      </c>
      <c r="AA22" s="30">
        <f t="shared" si="11"/>
        <v>67</v>
      </c>
      <c r="AB22" s="31">
        <f>SUM(AB6:AB21)/15</f>
        <v>0.79864223433282111</v>
      </c>
      <c r="AC22" s="4">
        <f>SUM(AC6:AC21)/15</f>
        <v>0.61388888888888893</v>
      </c>
      <c r="AD22" s="4">
        <f>SUM(AD6:AD21)/15</f>
        <v>0.61332024015450215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9" t="s">
        <v>45</v>
      </c>
      <c r="B49" s="419"/>
      <c r="C49" s="419"/>
      <c r="D49" s="419"/>
      <c r="E49" s="41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20" t="s">
        <v>855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2"/>
      <c r="N50" s="423" t="s">
        <v>870</v>
      </c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5"/>
    </row>
    <row r="51" spans="1:32" ht="27" customHeight="1">
      <c r="A51" s="426" t="s">
        <v>2</v>
      </c>
      <c r="B51" s="427"/>
      <c r="C51" s="315" t="s">
        <v>46</v>
      </c>
      <c r="D51" s="315" t="s">
        <v>47</v>
      </c>
      <c r="E51" s="315" t="s">
        <v>108</v>
      </c>
      <c r="F51" s="427" t="s">
        <v>107</v>
      </c>
      <c r="G51" s="427"/>
      <c r="H51" s="427"/>
      <c r="I51" s="427"/>
      <c r="J51" s="427"/>
      <c r="K51" s="427"/>
      <c r="L51" s="427"/>
      <c r="M51" s="428"/>
      <c r="N51" s="73" t="s">
        <v>112</v>
      </c>
      <c r="O51" s="315" t="s">
        <v>46</v>
      </c>
      <c r="P51" s="429" t="s">
        <v>47</v>
      </c>
      <c r="Q51" s="430"/>
      <c r="R51" s="429" t="s">
        <v>38</v>
      </c>
      <c r="S51" s="431"/>
      <c r="T51" s="431"/>
      <c r="U51" s="430"/>
      <c r="V51" s="429" t="s">
        <v>48</v>
      </c>
      <c r="W51" s="431"/>
      <c r="X51" s="431"/>
      <c r="Y51" s="431"/>
      <c r="Z51" s="431"/>
      <c r="AA51" s="431"/>
      <c r="AB51" s="431"/>
      <c r="AC51" s="431"/>
      <c r="AD51" s="432"/>
    </row>
    <row r="52" spans="1:32" ht="27" customHeight="1">
      <c r="A52" s="443" t="s">
        <v>856</v>
      </c>
      <c r="B52" s="444"/>
      <c r="C52" s="314" t="s">
        <v>245</v>
      </c>
      <c r="D52" s="311" t="s">
        <v>857</v>
      </c>
      <c r="E52" s="314" t="s">
        <v>858</v>
      </c>
      <c r="F52" s="445" t="s">
        <v>859</v>
      </c>
      <c r="G52" s="445"/>
      <c r="H52" s="445"/>
      <c r="I52" s="445"/>
      <c r="J52" s="445"/>
      <c r="K52" s="445"/>
      <c r="L52" s="445"/>
      <c r="M52" s="446"/>
      <c r="N52" s="310" t="s">
        <v>817</v>
      </c>
      <c r="O52" s="74" t="s">
        <v>818</v>
      </c>
      <c r="P52" s="447" t="s">
        <v>819</v>
      </c>
      <c r="Q52" s="447"/>
      <c r="R52" s="447" t="s">
        <v>816</v>
      </c>
      <c r="S52" s="447"/>
      <c r="T52" s="447"/>
      <c r="U52" s="447"/>
      <c r="V52" s="445" t="s">
        <v>871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860</v>
      </c>
      <c r="B53" s="447"/>
      <c r="C53" s="311" t="s">
        <v>861</v>
      </c>
      <c r="D53" s="311"/>
      <c r="E53" s="311" t="s">
        <v>838</v>
      </c>
      <c r="F53" s="445" t="s">
        <v>137</v>
      </c>
      <c r="G53" s="445"/>
      <c r="H53" s="445"/>
      <c r="I53" s="445"/>
      <c r="J53" s="445"/>
      <c r="K53" s="445"/>
      <c r="L53" s="445"/>
      <c r="M53" s="446"/>
      <c r="N53" s="310" t="s">
        <v>872</v>
      </c>
      <c r="O53" s="74" t="s">
        <v>873</v>
      </c>
      <c r="P53" s="447" t="s">
        <v>874</v>
      </c>
      <c r="Q53" s="447"/>
      <c r="R53" s="447" t="s">
        <v>875</v>
      </c>
      <c r="S53" s="447"/>
      <c r="T53" s="447"/>
      <c r="U53" s="447"/>
      <c r="V53" s="445" t="s">
        <v>876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841</v>
      </c>
      <c r="B54" s="447"/>
      <c r="C54" s="311" t="s">
        <v>250</v>
      </c>
      <c r="D54" s="311"/>
      <c r="E54" s="311" t="s">
        <v>842</v>
      </c>
      <c r="F54" s="445" t="s">
        <v>137</v>
      </c>
      <c r="G54" s="445"/>
      <c r="H54" s="445"/>
      <c r="I54" s="445"/>
      <c r="J54" s="445"/>
      <c r="K54" s="445"/>
      <c r="L54" s="445"/>
      <c r="M54" s="446"/>
      <c r="N54" s="310" t="s">
        <v>877</v>
      </c>
      <c r="O54" s="74" t="s">
        <v>865</v>
      </c>
      <c r="P54" s="447"/>
      <c r="Q54" s="447"/>
      <c r="R54" s="447" t="s">
        <v>878</v>
      </c>
      <c r="S54" s="447"/>
      <c r="T54" s="447"/>
      <c r="U54" s="447"/>
      <c r="V54" s="445" t="s">
        <v>876</v>
      </c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844</v>
      </c>
      <c r="B55" s="447"/>
      <c r="C55" s="311" t="s">
        <v>862</v>
      </c>
      <c r="D55" s="311" t="s">
        <v>863</v>
      </c>
      <c r="E55" s="311" t="s">
        <v>845</v>
      </c>
      <c r="F55" s="445" t="s">
        <v>864</v>
      </c>
      <c r="G55" s="445"/>
      <c r="H55" s="445"/>
      <c r="I55" s="445"/>
      <c r="J55" s="445"/>
      <c r="K55" s="445"/>
      <c r="L55" s="445"/>
      <c r="M55" s="446"/>
      <c r="N55" s="310" t="s">
        <v>880</v>
      </c>
      <c r="O55" s="74" t="s">
        <v>867</v>
      </c>
      <c r="P55" s="447"/>
      <c r="Q55" s="447"/>
      <c r="R55" s="447" t="s">
        <v>879</v>
      </c>
      <c r="S55" s="447"/>
      <c r="T55" s="447"/>
      <c r="U55" s="447"/>
      <c r="V55" s="445" t="s">
        <v>876</v>
      </c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59" t="s">
        <v>232</v>
      </c>
      <c r="B56" s="447"/>
      <c r="C56" s="311" t="s">
        <v>865</v>
      </c>
      <c r="D56" s="311" t="s">
        <v>847</v>
      </c>
      <c r="E56" s="311" t="s">
        <v>866</v>
      </c>
      <c r="F56" s="445" t="s">
        <v>137</v>
      </c>
      <c r="G56" s="445"/>
      <c r="H56" s="445"/>
      <c r="I56" s="445"/>
      <c r="J56" s="445"/>
      <c r="K56" s="445"/>
      <c r="L56" s="445"/>
      <c r="M56" s="446"/>
      <c r="N56" s="310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 t="s">
        <v>284</v>
      </c>
      <c r="B57" s="444"/>
      <c r="C57" s="314" t="s">
        <v>867</v>
      </c>
      <c r="D57" s="311" t="s">
        <v>852</v>
      </c>
      <c r="E57" s="314" t="s">
        <v>868</v>
      </c>
      <c r="F57" s="445" t="s">
        <v>137</v>
      </c>
      <c r="G57" s="445"/>
      <c r="H57" s="445"/>
      <c r="I57" s="445"/>
      <c r="J57" s="445"/>
      <c r="K57" s="445"/>
      <c r="L57" s="445"/>
      <c r="M57" s="446"/>
      <c r="N57" s="310"/>
      <c r="O57" s="74"/>
      <c r="P57" s="447"/>
      <c r="Q57" s="447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 t="s">
        <v>284</v>
      </c>
      <c r="B58" s="444"/>
      <c r="C58" s="314" t="s">
        <v>869</v>
      </c>
      <c r="D58" s="311" t="s">
        <v>125</v>
      </c>
      <c r="E58" s="314" t="s">
        <v>850</v>
      </c>
      <c r="F58" s="445" t="s">
        <v>137</v>
      </c>
      <c r="G58" s="445"/>
      <c r="H58" s="445"/>
      <c r="I58" s="445"/>
      <c r="J58" s="445"/>
      <c r="K58" s="445"/>
      <c r="L58" s="445"/>
      <c r="M58" s="446"/>
      <c r="N58" s="310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43"/>
      <c r="B59" s="444"/>
      <c r="C59" s="314"/>
      <c r="D59" s="311"/>
      <c r="E59" s="314"/>
      <c r="F59" s="445"/>
      <c r="G59" s="445"/>
      <c r="H59" s="445"/>
      <c r="I59" s="445"/>
      <c r="J59" s="445"/>
      <c r="K59" s="445"/>
      <c r="L59" s="445"/>
      <c r="M59" s="446"/>
      <c r="N59" s="310"/>
      <c r="O59" s="74"/>
      <c r="P59" s="448"/>
      <c r="Q59" s="449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</row>
    <row r="60" spans="1:32" ht="27" customHeight="1">
      <c r="A60" s="459"/>
      <c r="B60" s="447"/>
      <c r="C60" s="311"/>
      <c r="D60" s="311"/>
      <c r="E60" s="311"/>
      <c r="F60" s="445"/>
      <c r="G60" s="445"/>
      <c r="H60" s="445"/>
      <c r="I60" s="445"/>
      <c r="J60" s="445"/>
      <c r="K60" s="445"/>
      <c r="L60" s="445"/>
      <c r="M60" s="446"/>
      <c r="N60" s="310"/>
      <c r="O60" s="74"/>
      <c r="P60" s="447"/>
      <c r="Q60" s="447"/>
      <c r="R60" s="447"/>
      <c r="S60" s="447"/>
      <c r="T60" s="447"/>
      <c r="U60" s="447"/>
      <c r="V60" s="445"/>
      <c r="W60" s="445"/>
      <c r="X60" s="445"/>
      <c r="Y60" s="445"/>
      <c r="Z60" s="445"/>
      <c r="AA60" s="445"/>
      <c r="AB60" s="445"/>
      <c r="AC60" s="445"/>
      <c r="AD60" s="446"/>
      <c r="AF60" s="94">
        <f>8*3000</f>
        <v>24000</v>
      </c>
    </row>
    <row r="61" spans="1:32" ht="27" customHeight="1" thickBot="1">
      <c r="A61" s="450"/>
      <c r="B61" s="451"/>
      <c r="C61" s="313"/>
      <c r="D61" s="313"/>
      <c r="E61" s="313"/>
      <c r="F61" s="452"/>
      <c r="G61" s="452"/>
      <c r="H61" s="452"/>
      <c r="I61" s="452"/>
      <c r="J61" s="452"/>
      <c r="K61" s="452"/>
      <c r="L61" s="452"/>
      <c r="M61" s="453"/>
      <c r="N61" s="312"/>
      <c r="O61" s="121"/>
      <c r="P61" s="451"/>
      <c r="Q61" s="451"/>
      <c r="R61" s="451"/>
      <c r="S61" s="451"/>
      <c r="T61" s="451"/>
      <c r="U61" s="451"/>
      <c r="V61" s="452"/>
      <c r="W61" s="452"/>
      <c r="X61" s="452"/>
      <c r="Y61" s="452"/>
      <c r="Z61" s="452"/>
      <c r="AA61" s="452"/>
      <c r="AB61" s="452"/>
      <c r="AC61" s="452"/>
      <c r="AD61" s="453"/>
      <c r="AF61" s="94">
        <f>16*3000</f>
        <v>48000</v>
      </c>
    </row>
    <row r="62" spans="1:32" ht="27.75" thickBot="1">
      <c r="A62" s="454" t="s">
        <v>881</v>
      </c>
      <c r="B62" s="454"/>
      <c r="C62" s="454"/>
      <c r="D62" s="454"/>
      <c r="E62" s="45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55" t="s">
        <v>113</v>
      </c>
      <c r="B63" s="456"/>
      <c r="C63" s="309" t="s">
        <v>2</v>
      </c>
      <c r="D63" s="309" t="s">
        <v>37</v>
      </c>
      <c r="E63" s="309" t="s">
        <v>3</v>
      </c>
      <c r="F63" s="456" t="s">
        <v>110</v>
      </c>
      <c r="G63" s="456"/>
      <c r="H63" s="456"/>
      <c r="I63" s="456"/>
      <c r="J63" s="456"/>
      <c r="K63" s="456" t="s">
        <v>39</v>
      </c>
      <c r="L63" s="456"/>
      <c r="M63" s="309" t="s">
        <v>40</v>
      </c>
      <c r="N63" s="456" t="s">
        <v>41</v>
      </c>
      <c r="O63" s="456"/>
      <c r="P63" s="457" t="s">
        <v>42</v>
      </c>
      <c r="Q63" s="458"/>
      <c r="R63" s="457" t="s">
        <v>43</v>
      </c>
      <c r="S63" s="460"/>
      <c r="T63" s="460"/>
      <c r="U63" s="460"/>
      <c r="V63" s="460"/>
      <c r="W63" s="460"/>
      <c r="X63" s="460"/>
      <c r="Y63" s="460"/>
      <c r="Z63" s="460"/>
      <c r="AA63" s="458"/>
      <c r="AB63" s="456" t="s">
        <v>44</v>
      </c>
      <c r="AC63" s="456"/>
      <c r="AD63" s="461"/>
      <c r="AF63" s="94">
        <f>SUM(AF60:AF62)</f>
        <v>96000</v>
      </c>
    </row>
    <row r="64" spans="1:32" ht="25.5" customHeight="1">
      <c r="A64" s="462">
        <v>1</v>
      </c>
      <c r="B64" s="463"/>
      <c r="C64" s="124" t="s">
        <v>535</v>
      </c>
      <c r="D64" s="305"/>
      <c r="E64" s="308" t="s">
        <v>705</v>
      </c>
      <c r="F64" s="464" t="s">
        <v>706</v>
      </c>
      <c r="G64" s="465"/>
      <c r="H64" s="465"/>
      <c r="I64" s="465"/>
      <c r="J64" s="465"/>
      <c r="K64" s="465" t="s">
        <v>703</v>
      </c>
      <c r="L64" s="465"/>
      <c r="M64" s="54" t="s">
        <v>673</v>
      </c>
      <c r="N64" s="465">
        <v>8</v>
      </c>
      <c r="O64" s="465"/>
      <c r="P64" s="466" t="s">
        <v>882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2</v>
      </c>
      <c r="B65" s="463"/>
      <c r="C65" s="124" t="s">
        <v>262</v>
      </c>
      <c r="D65" s="305"/>
      <c r="E65" s="308" t="s">
        <v>794</v>
      </c>
      <c r="F65" s="464" t="s">
        <v>425</v>
      </c>
      <c r="G65" s="465"/>
      <c r="H65" s="465"/>
      <c r="I65" s="465"/>
      <c r="J65" s="465"/>
      <c r="K65" s="465">
        <v>8301</v>
      </c>
      <c r="L65" s="465"/>
      <c r="M65" s="54" t="s">
        <v>796</v>
      </c>
      <c r="N65" s="465">
        <v>12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3</v>
      </c>
      <c r="B66" s="463"/>
      <c r="C66" s="124" t="s">
        <v>788</v>
      </c>
      <c r="D66" s="305"/>
      <c r="E66" s="308" t="s">
        <v>789</v>
      </c>
      <c r="F66" s="464" t="s">
        <v>790</v>
      </c>
      <c r="G66" s="465"/>
      <c r="H66" s="465"/>
      <c r="I66" s="465"/>
      <c r="J66" s="465"/>
      <c r="K66" s="465" t="s">
        <v>784</v>
      </c>
      <c r="L66" s="465"/>
      <c r="M66" s="54" t="s">
        <v>785</v>
      </c>
      <c r="N66" s="465">
        <v>8</v>
      </c>
      <c r="O66" s="465"/>
      <c r="P66" s="466">
        <v>50</v>
      </c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4</v>
      </c>
      <c r="B67" s="463"/>
      <c r="C67" s="124" t="s">
        <v>647</v>
      </c>
      <c r="D67" s="305"/>
      <c r="E67" s="308" t="s">
        <v>826</v>
      </c>
      <c r="F67" s="464" t="s">
        <v>827</v>
      </c>
      <c r="G67" s="465"/>
      <c r="H67" s="465"/>
      <c r="I67" s="465"/>
      <c r="J67" s="465"/>
      <c r="K67" s="465" t="s">
        <v>634</v>
      </c>
      <c r="L67" s="465"/>
      <c r="M67" s="54" t="s">
        <v>785</v>
      </c>
      <c r="N67" s="465">
        <v>4</v>
      </c>
      <c r="O67" s="465"/>
      <c r="P67" s="466">
        <v>100</v>
      </c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5</v>
      </c>
      <c r="B68" s="463"/>
      <c r="C68" s="124" t="s">
        <v>146</v>
      </c>
      <c r="D68" s="305"/>
      <c r="E68" s="308" t="s">
        <v>670</v>
      </c>
      <c r="F68" s="464" t="s">
        <v>671</v>
      </c>
      <c r="G68" s="465"/>
      <c r="H68" s="465"/>
      <c r="I68" s="465"/>
      <c r="J68" s="465"/>
      <c r="K68" s="465" t="s">
        <v>520</v>
      </c>
      <c r="L68" s="465"/>
      <c r="M68" s="54" t="s">
        <v>831</v>
      </c>
      <c r="N68" s="465">
        <v>6</v>
      </c>
      <c r="O68" s="465"/>
      <c r="P68" s="466">
        <v>100</v>
      </c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6</v>
      </c>
      <c r="B69" s="463"/>
      <c r="C69" s="124" t="s">
        <v>284</v>
      </c>
      <c r="D69" s="305"/>
      <c r="E69" s="308" t="s">
        <v>883</v>
      </c>
      <c r="F69" s="464" t="s">
        <v>884</v>
      </c>
      <c r="G69" s="465"/>
      <c r="H69" s="465"/>
      <c r="I69" s="465"/>
      <c r="J69" s="465"/>
      <c r="K69" s="465" t="s">
        <v>885</v>
      </c>
      <c r="L69" s="465"/>
      <c r="M69" s="54" t="s">
        <v>886</v>
      </c>
      <c r="N69" s="465">
        <v>8</v>
      </c>
      <c r="O69" s="465"/>
      <c r="P69" s="466"/>
      <c r="Q69" s="466"/>
      <c r="R69" s="445" t="s">
        <v>887</v>
      </c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7</v>
      </c>
      <c r="B70" s="463"/>
      <c r="C70" s="124" t="s">
        <v>284</v>
      </c>
      <c r="D70" s="305"/>
      <c r="E70" s="308" t="s">
        <v>852</v>
      </c>
      <c r="F70" s="464" t="s">
        <v>888</v>
      </c>
      <c r="G70" s="465"/>
      <c r="H70" s="465"/>
      <c r="I70" s="465"/>
      <c r="J70" s="465"/>
      <c r="K70" s="465" t="s">
        <v>889</v>
      </c>
      <c r="L70" s="465"/>
      <c r="M70" s="54" t="s">
        <v>890</v>
      </c>
      <c r="N70" s="465">
        <v>6</v>
      </c>
      <c r="O70" s="465"/>
      <c r="P70" s="466">
        <v>50</v>
      </c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5.5" customHeight="1">
      <c r="A71" s="462">
        <v>8</v>
      </c>
      <c r="B71" s="463"/>
      <c r="C71" s="124"/>
      <c r="D71" s="305"/>
      <c r="E71" s="308"/>
      <c r="F71" s="464"/>
      <c r="G71" s="465"/>
      <c r="H71" s="465"/>
      <c r="I71" s="465"/>
      <c r="J71" s="465"/>
      <c r="K71" s="465"/>
      <c r="L71" s="465"/>
      <c r="M71" s="54"/>
      <c r="N71" s="465"/>
      <c r="O71" s="465"/>
      <c r="P71" s="466"/>
      <c r="Q71" s="466"/>
      <c r="R71" s="445"/>
      <c r="S71" s="445"/>
      <c r="T71" s="445"/>
      <c r="U71" s="445"/>
      <c r="V71" s="445"/>
      <c r="W71" s="445"/>
      <c r="X71" s="445"/>
      <c r="Y71" s="445"/>
      <c r="Z71" s="445"/>
      <c r="AA71" s="445"/>
      <c r="AB71" s="465"/>
      <c r="AC71" s="465"/>
      <c r="AD71" s="467"/>
      <c r="AF71" s="53"/>
    </row>
    <row r="72" spans="1:32" ht="26.25" customHeight="1" thickBot="1">
      <c r="A72" s="468" t="s">
        <v>891</v>
      </c>
      <c r="B72" s="468"/>
      <c r="C72" s="468"/>
      <c r="D72" s="468"/>
      <c r="E72" s="468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9" t="s">
        <v>113</v>
      </c>
      <c r="B73" s="470"/>
      <c r="C73" s="307" t="s">
        <v>2</v>
      </c>
      <c r="D73" s="307" t="s">
        <v>37</v>
      </c>
      <c r="E73" s="307" t="s">
        <v>3</v>
      </c>
      <c r="F73" s="470" t="s">
        <v>38</v>
      </c>
      <c r="G73" s="470"/>
      <c r="H73" s="470"/>
      <c r="I73" s="470"/>
      <c r="J73" s="470"/>
      <c r="K73" s="471" t="s">
        <v>58</v>
      </c>
      <c r="L73" s="472"/>
      <c r="M73" s="472"/>
      <c r="N73" s="472"/>
      <c r="O73" s="472"/>
      <c r="P73" s="472"/>
      <c r="Q73" s="472"/>
      <c r="R73" s="472"/>
      <c r="S73" s="473"/>
      <c r="T73" s="470" t="s">
        <v>49</v>
      </c>
      <c r="U73" s="470"/>
      <c r="V73" s="471" t="s">
        <v>50</v>
      </c>
      <c r="W73" s="473"/>
      <c r="X73" s="472" t="s">
        <v>51</v>
      </c>
      <c r="Y73" s="472"/>
      <c r="Z73" s="472"/>
      <c r="AA73" s="472"/>
      <c r="AB73" s="472"/>
      <c r="AC73" s="472"/>
      <c r="AD73" s="474"/>
      <c r="AF73" s="53"/>
    </row>
    <row r="74" spans="1:32" ht="33.75" customHeight="1">
      <c r="A74" s="483">
        <v>1</v>
      </c>
      <c r="B74" s="484"/>
      <c r="C74" s="306" t="s">
        <v>114</v>
      </c>
      <c r="D74" s="306"/>
      <c r="E74" s="71" t="s">
        <v>119</v>
      </c>
      <c r="F74" s="485" t="s">
        <v>120</v>
      </c>
      <c r="G74" s="486"/>
      <c r="H74" s="486"/>
      <c r="I74" s="486"/>
      <c r="J74" s="487"/>
      <c r="K74" s="488" t="s">
        <v>115</v>
      </c>
      <c r="L74" s="489"/>
      <c r="M74" s="489"/>
      <c r="N74" s="489"/>
      <c r="O74" s="489"/>
      <c r="P74" s="489"/>
      <c r="Q74" s="489"/>
      <c r="R74" s="489"/>
      <c r="S74" s="490"/>
      <c r="T74" s="491">
        <v>42901</v>
      </c>
      <c r="U74" s="492"/>
      <c r="V74" s="493"/>
      <c r="W74" s="493"/>
      <c r="X74" s="494"/>
      <c r="Y74" s="494"/>
      <c r="Z74" s="494"/>
      <c r="AA74" s="494"/>
      <c r="AB74" s="494"/>
      <c r="AC74" s="494"/>
      <c r="AD74" s="495"/>
      <c r="AF74" s="53"/>
    </row>
    <row r="75" spans="1:32" ht="30" customHeight="1">
      <c r="A75" s="475">
        <f>A74+1</f>
        <v>2</v>
      </c>
      <c r="B75" s="476"/>
      <c r="C75" s="305" t="s">
        <v>114</v>
      </c>
      <c r="D75" s="305"/>
      <c r="E75" s="35" t="s">
        <v>116</v>
      </c>
      <c r="F75" s="476" t="s">
        <v>117</v>
      </c>
      <c r="G75" s="476"/>
      <c r="H75" s="476"/>
      <c r="I75" s="476"/>
      <c r="J75" s="476"/>
      <c r="K75" s="477" t="s">
        <v>118</v>
      </c>
      <c r="L75" s="478"/>
      <c r="M75" s="478"/>
      <c r="N75" s="478"/>
      <c r="O75" s="478"/>
      <c r="P75" s="478"/>
      <c r="Q75" s="478"/>
      <c r="R75" s="478"/>
      <c r="S75" s="479"/>
      <c r="T75" s="480">
        <v>42867</v>
      </c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ref="A76:A82" si="12">A75+1</f>
        <v>3</v>
      </c>
      <c r="B76" s="476"/>
      <c r="C76" s="305"/>
      <c r="D76" s="305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2"/>
        <v>4</v>
      </c>
      <c r="B77" s="476"/>
      <c r="C77" s="305"/>
      <c r="D77" s="305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2"/>
        <v>5</v>
      </c>
      <c r="B78" s="476"/>
      <c r="C78" s="305"/>
      <c r="D78" s="305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2"/>
        <v>6</v>
      </c>
      <c r="B79" s="476"/>
      <c r="C79" s="305"/>
      <c r="D79" s="305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2"/>
        <v>7</v>
      </c>
      <c r="B80" s="476"/>
      <c r="C80" s="305"/>
      <c r="D80" s="305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2"/>
        <v>8</v>
      </c>
      <c r="B81" s="476"/>
      <c r="C81" s="305"/>
      <c r="D81" s="305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0" customHeight="1">
      <c r="A82" s="475">
        <f t="shared" si="12"/>
        <v>9</v>
      </c>
      <c r="B82" s="476"/>
      <c r="C82" s="305"/>
      <c r="D82" s="305"/>
      <c r="E82" s="35"/>
      <c r="F82" s="476"/>
      <c r="G82" s="476"/>
      <c r="H82" s="476"/>
      <c r="I82" s="476"/>
      <c r="J82" s="476"/>
      <c r="K82" s="477"/>
      <c r="L82" s="478"/>
      <c r="M82" s="478"/>
      <c r="N82" s="478"/>
      <c r="O82" s="478"/>
      <c r="P82" s="478"/>
      <c r="Q82" s="478"/>
      <c r="R82" s="478"/>
      <c r="S82" s="479"/>
      <c r="T82" s="480"/>
      <c r="U82" s="480"/>
      <c r="V82" s="480"/>
      <c r="W82" s="480"/>
      <c r="X82" s="481"/>
      <c r="Y82" s="481"/>
      <c r="Z82" s="481"/>
      <c r="AA82" s="481"/>
      <c r="AB82" s="481"/>
      <c r="AC82" s="481"/>
      <c r="AD82" s="482"/>
      <c r="AF82" s="53"/>
    </row>
    <row r="83" spans="1:32" ht="36" thickBot="1">
      <c r="A83" s="468" t="s">
        <v>892</v>
      </c>
      <c r="B83" s="468"/>
      <c r="C83" s="468"/>
      <c r="D83" s="468"/>
      <c r="E83" s="468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9" t="s">
        <v>113</v>
      </c>
      <c r="B84" s="470"/>
      <c r="C84" s="496" t="s">
        <v>52</v>
      </c>
      <c r="D84" s="496"/>
      <c r="E84" s="496" t="s">
        <v>53</v>
      </c>
      <c r="F84" s="496"/>
      <c r="G84" s="496"/>
      <c r="H84" s="496"/>
      <c r="I84" s="496"/>
      <c r="J84" s="496"/>
      <c r="K84" s="496" t="s">
        <v>54</v>
      </c>
      <c r="L84" s="496"/>
      <c r="M84" s="496"/>
      <c r="N84" s="496"/>
      <c r="O84" s="496"/>
      <c r="P84" s="496"/>
      <c r="Q84" s="496"/>
      <c r="R84" s="496"/>
      <c r="S84" s="496"/>
      <c r="T84" s="496" t="s">
        <v>55</v>
      </c>
      <c r="U84" s="496"/>
      <c r="V84" s="496" t="s">
        <v>56</v>
      </c>
      <c r="W84" s="496"/>
      <c r="X84" s="496"/>
      <c r="Y84" s="496" t="s">
        <v>51</v>
      </c>
      <c r="Z84" s="496"/>
      <c r="AA84" s="496"/>
      <c r="AB84" s="496"/>
      <c r="AC84" s="496"/>
      <c r="AD84" s="497"/>
      <c r="AF84" s="53"/>
    </row>
    <row r="85" spans="1:32" ht="30.75" customHeight="1">
      <c r="A85" s="483">
        <v>1</v>
      </c>
      <c r="B85" s="484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9"/>
      <c r="W85" s="499"/>
      <c r="X85" s="499"/>
      <c r="Y85" s="500"/>
      <c r="Z85" s="500"/>
      <c r="AA85" s="500"/>
      <c r="AB85" s="500"/>
      <c r="AC85" s="500"/>
      <c r="AD85" s="501"/>
      <c r="AF85" s="53"/>
    </row>
    <row r="86" spans="1:32" ht="30.75" customHeight="1">
      <c r="A86" s="475">
        <v>2</v>
      </c>
      <c r="B86" s="476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509"/>
      <c r="R86" s="509"/>
      <c r="S86" s="509"/>
      <c r="T86" s="510"/>
      <c r="U86" s="510"/>
      <c r="V86" s="511"/>
      <c r="W86" s="511"/>
      <c r="X86" s="511"/>
      <c r="Y86" s="502"/>
      <c r="Z86" s="502"/>
      <c r="AA86" s="502"/>
      <c r="AB86" s="502"/>
      <c r="AC86" s="502"/>
      <c r="AD86" s="503"/>
      <c r="AF86" s="53"/>
    </row>
    <row r="87" spans="1:32" ht="30.75" customHeight="1" thickBot="1">
      <c r="A87" s="504">
        <v>3</v>
      </c>
      <c r="B87" s="505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7"/>
      <c r="Z87" s="507"/>
      <c r="AA87" s="507"/>
      <c r="AB87" s="507"/>
      <c r="AC87" s="507"/>
      <c r="AD87" s="50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77" sqref="K77:S7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893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5160</v>
      </c>
      <c r="K6" s="15">
        <f>L6+1076+4687</f>
        <v>10917</v>
      </c>
      <c r="L6" s="15">
        <f>2667+2487</f>
        <v>5154</v>
      </c>
      <c r="M6" s="16">
        <f t="shared" ref="M6:M21" si="0">L6-N6</f>
        <v>5154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0.99883720930232556</v>
      </c>
      <c r="AC6" s="9">
        <f t="shared" ref="AC6:AC21" si="5">IF(P6=0,"0",(P6/24))</f>
        <v>1</v>
      </c>
      <c r="AD6" s="10">
        <f t="shared" ref="AD6:AD21" si="6">AC6*AB6*(1-O6)</f>
        <v>0.99883720930232556</v>
      </c>
      <c r="AE6" s="39">
        <f t="shared" ref="AE6:AE18" si="7">$AD$22</f>
        <v>0.5465258578847908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</f>
        <v>3786</v>
      </c>
      <c r="L7" s="15">
        <v>1135</v>
      </c>
      <c r="M7" s="16">
        <f t="shared" si="0"/>
        <v>1135</v>
      </c>
      <c r="N7" s="16">
        <v>0</v>
      </c>
      <c r="O7" s="62">
        <f t="shared" si="1"/>
        <v>0</v>
      </c>
      <c r="P7" s="42">
        <f t="shared" si="2"/>
        <v>10</v>
      </c>
      <c r="Q7" s="43">
        <f t="shared" si="3"/>
        <v>14</v>
      </c>
      <c r="R7" s="7"/>
      <c r="S7" s="6"/>
      <c r="T7" s="17"/>
      <c r="U7" s="17"/>
      <c r="V7" s="18"/>
      <c r="W7" s="19">
        <v>14</v>
      </c>
      <c r="X7" s="17"/>
      <c r="Y7" s="20"/>
      <c r="Z7" s="20"/>
      <c r="AA7" s="21"/>
      <c r="AB7" s="8">
        <f t="shared" si="4"/>
        <v>0.99561403508771928</v>
      </c>
      <c r="AC7" s="9">
        <f t="shared" si="5"/>
        <v>0.41666666666666669</v>
      </c>
      <c r="AD7" s="10">
        <f t="shared" si="6"/>
        <v>0.41483918128654973</v>
      </c>
      <c r="AE7" s="39">
        <f t="shared" si="7"/>
        <v>0.5465258578847908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</f>
        <v>10746</v>
      </c>
      <c r="L8" s="15">
        <v>1094</v>
      </c>
      <c r="M8" s="16">
        <f t="shared" si="0"/>
        <v>1094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/>
      <c r="T8" s="17"/>
      <c r="U8" s="17"/>
      <c r="V8" s="18"/>
      <c r="W8" s="19">
        <v>14</v>
      </c>
      <c r="X8" s="17"/>
      <c r="Y8" s="20"/>
      <c r="Z8" s="20"/>
      <c r="AA8" s="21"/>
      <c r="AB8" s="8">
        <f t="shared" si="4"/>
        <v>0.99908675799086755</v>
      </c>
      <c r="AC8" s="9">
        <f t="shared" si="5"/>
        <v>0.41666666666666669</v>
      </c>
      <c r="AD8" s="10">
        <f t="shared" si="6"/>
        <v>0.4162861491628615</v>
      </c>
      <c r="AE8" s="39">
        <f t="shared" si="7"/>
        <v>0.5465258578847908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841</v>
      </c>
      <c r="D9" s="55"/>
      <c r="E9" s="57" t="s">
        <v>842</v>
      </c>
      <c r="F9" s="33" t="s">
        <v>839</v>
      </c>
      <c r="G9" s="36">
        <v>1</v>
      </c>
      <c r="H9" s="38">
        <v>25</v>
      </c>
      <c r="I9" s="7">
        <v>2000</v>
      </c>
      <c r="J9" s="5">
        <v>1780</v>
      </c>
      <c r="K9" s="15">
        <f>L9+2218</f>
        <v>3992</v>
      </c>
      <c r="L9" s="15">
        <v>1774</v>
      </c>
      <c r="M9" s="16">
        <f t="shared" si="0"/>
        <v>1774</v>
      </c>
      <c r="N9" s="16">
        <v>0</v>
      </c>
      <c r="O9" s="62">
        <f t="shared" si="1"/>
        <v>0</v>
      </c>
      <c r="P9" s="42">
        <f t="shared" si="2"/>
        <v>11</v>
      </c>
      <c r="Q9" s="43">
        <f t="shared" si="3"/>
        <v>13</v>
      </c>
      <c r="R9" s="7"/>
      <c r="S9" s="6"/>
      <c r="T9" s="17"/>
      <c r="U9" s="17"/>
      <c r="V9" s="18"/>
      <c r="W9" s="19">
        <v>13</v>
      </c>
      <c r="X9" s="17"/>
      <c r="Y9" s="20"/>
      <c r="Z9" s="20"/>
      <c r="AA9" s="21"/>
      <c r="AB9" s="8">
        <f t="shared" si="4"/>
        <v>0.99662921348314604</v>
      </c>
      <c r="AC9" s="9">
        <f t="shared" si="5"/>
        <v>0.45833333333333331</v>
      </c>
      <c r="AD9" s="10">
        <f t="shared" si="6"/>
        <v>0.45678838951310857</v>
      </c>
      <c r="AE9" s="39">
        <f t="shared" si="7"/>
        <v>0.5465258578847908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17050</v>
      </c>
      <c r="K10" s="15">
        <f>L10+6534+16360+16954+16456+16062+8812+14136+16892</f>
        <v>129256</v>
      </c>
      <c r="L10" s="15">
        <f>4456*2+4069*2</f>
        <v>17050</v>
      </c>
      <c r="M10" s="16">
        <f t="shared" si="0"/>
        <v>17050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1</v>
      </c>
      <c r="AD10" s="10">
        <f t="shared" si="6"/>
        <v>1</v>
      </c>
      <c r="AE10" s="39">
        <f t="shared" si="7"/>
        <v>0.5465258578847908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0.5465258578847908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844</v>
      </c>
      <c r="D12" s="55" t="s">
        <v>125</v>
      </c>
      <c r="E12" s="57" t="s">
        <v>845</v>
      </c>
      <c r="F12" s="12" t="s">
        <v>846</v>
      </c>
      <c r="G12" s="12">
        <v>1</v>
      </c>
      <c r="H12" s="13">
        <v>25</v>
      </c>
      <c r="I12" s="7">
        <v>2500</v>
      </c>
      <c r="J12" s="14">
        <v>1210</v>
      </c>
      <c r="K12" s="15">
        <f>L12+764</f>
        <v>1971</v>
      </c>
      <c r="L12" s="15">
        <v>1207</v>
      </c>
      <c r="M12" s="16">
        <f t="shared" si="0"/>
        <v>1207</v>
      </c>
      <c r="N12" s="16">
        <v>0</v>
      </c>
      <c r="O12" s="62">
        <f t="shared" si="1"/>
        <v>0</v>
      </c>
      <c r="P12" s="42">
        <f t="shared" si="2"/>
        <v>10</v>
      </c>
      <c r="Q12" s="43">
        <f t="shared" si="3"/>
        <v>14</v>
      </c>
      <c r="R12" s="7"/>
      <c r="S12" s="6"/>
      <c r="T12" s="17"/>
      <c r="U12" s="17"/>
      <c r="V12" s="18"/>
      <c r="W12" s="19">
        <v>14</v>
      </c>
      <c r="X12" s="17"/>
      <c r="Y12" s="20"/>
      <c r="Z12" s="20"/>
      <c r="AA12" s="21"/>
      <c r="AB12" s="8">
        <f t="shared" si="4"/>
        <v>0.99752066115702476</v>
      </c>
      <c r="AC12" s="9">
        <f t="shared" si="5"/>
        <v>0.41666666666666669</v>
      </c>
      <c r="AD12" s="10">
        <f t="shared" si="6"/>
        <v>0.41563360881542699</v>
      </c>
      <c r="AE12" s="39">
        <f t="shared" si="7"/>
        <v>0.5465258578847908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896</v>
      </c>
      <c r="G13" s="12">
        <v>2</v>
      </c>
      <c r="H13" s="13">
        <v>25</v>
      </c>
      <c r="I13" s="7">
        <v>40000</v>
      </c>
      <c r="J13" s="14">
        <v>8470</v>
      </c>
      <c r="K13" s="15">
        <f>L13</f>
        <v>8464</v>
      </c>
      <c r="L13" s="15">
        <f>524*2+3708*2</f>
        <v>8464</v>
      </c>
      <c r="M13" s="16">
        <f t="shared" si="0"/>
        <v>8464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/>
      <c r="T13" s="17">
        <v>4</v>
      </c>
      <c r="U13" s="17"/>
      <c r="V13" s="18"/>
      <c r="W13" s="19"/>
      <c r="X13" s="17"/>
      <c r="Y13" s="20"/>
      <c r="Z13" s="20"/>
      <c r="AA13" s="21"/>
      <c r="AB13" s="8">
        <f t="shared" si="4"/>
        <v>0.99929161747343564</v>
      </c>
      <c r="AC13" s="9">
        <f t="shared" si="5"/>
        <v>0.83333333333333337</v>
      </c>
      <c r="AD13" s="10">
        <f t="shared" si="6"/>
        <v>0.83274301456119637</v>
      </c>
      <c r="AE13" s="39">
        <f t="shared" si="7"/>
        <v>0.5465258578847908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0.5465258578847908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</f>
        <v>15442</v>
      </c>
      <c r="L15" s="15">
        <f>628+2147</f>
        <v>2775</v>
      </c>
      <c r="M15" s="16">
        <f t="shared" si="0"/>
        <v>2775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/>
      <c r="T15" s="17"/>
      <c r="U15" s="17"/>
      <c r="V15" s="18"/>
      <c r="W15" s="19">
        <v>4</v>
      </c>
      <c r="X15" s="17"/>
      <c r="Y15" s="20"/>
      <c r="Z15" s="20"/>
      <c r="AA15" s="21"/>
      <c r="AB15" s="8">
        <f t="shared" si="4"/>
        <v>0.99820143884892087</v>
      </c>
      <c r="AC15" s="9">
        <f t="shared" si="5"/>
        <v>0.83333333333333337</v>
      </c>
      <c r="AD15" s="10">
        <f t="shared" si="6"/>
        <v>0.83183453237410077</v>
      </c>
      <c r="AE15" s="39">
        <f t="shared" si="7"/>
        <v>0.5465258578847908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9460</v>
      </c>
      <c r="K16" s="15">
        <f>L16+8022+9598+11782+11798+11816+11788+12090+6818+11506+11028</f>
        <v>115706</v>
      </c>
      <c r="L16" s="15">
        <f>1663*2+3067*2</f>
        <v>9460</v>
      </c>
      <c r="M16" s="16">
        <f t="shared" si="0"/>
        <v>9460</v>
      </c>
      <c r="N16" s="16">
        <v>0</v>
      </c>
      <c r="O16" s="62">
        <f t="shared" si="1"/>
        <v>0</v>
      </c>
      <c r="P16" s="42">
        <f t="shared" si="2"/>
        <v>22</v>
      </c>
      <c r="Q16" s="43">
        <f t="shared" si="3"/>
        <v>2</v>
      </c>
      <c r="R16" s="7"/>
      <c r="S16" s="6">
        <v>2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0.91666666666666663</v>
      </c>
      <c r="AD16" s="10">
        <f t="shared" si="6"/>
        <v>0.91666666666666663</v>
      </c>
      <c r="AE16" s="39">
        <f t="shared" si="7"/>
        <v>0.5465258578847908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897</v>
      </c>
      <c r="D17" s="55"/>
      <c r="E17" s="57" t="s">
        <v>898</v>
      </c>
      <c r="F17" s="12">
        <v>8301</v>
      </c>
      <c r="G17" s="12" t="s">
        <v>899</v>
      </c>
      <c r="H17" s="13">
        <v>25</v>
      </c>
      <c r="I17" s="34">
        <v>500</v>
      </c>
      <c r="J17" s="5">
        <v>1540</v>
      </c>
      <c r="K17" s="15">
        <f>L17</f>
        <v>1533</v>
      </c>
      <c r="L17" s="15">
        <v>1533</v>
      </c>
      <c r="M17" s="16">
        <f t="shared" si="0"/>
        <v>1533</v>
      </c>
      <c r="N17" s="16">
        <v>0</v>
      </c>
      <c r="O17" s="62">
        <f t="shared" si="1"/>
        <v>0</v>
      </c>
      <c r="P17" s="42">
        <f t="shared" si="2"/>
        <v>6</v>
      </c>
      <c r="Q17" s="43">
        <f t="shared" si="3"/>
        <v>18</v>
      </c>
      <c r="R17" s="7"/>
      <c r="S17" s="6"/>
      <c r="T17" s="17"/>
      <c r="U17" s="17"/>
      <c r="V17" s="18"/>
      <c r="W17" s="19">
        <v>18</v>
      </c>
      <c r="X17" s="17"/>
      <c r="Y17" s="20"/>
      <c r="Z17" s="20"/>
      <c r="AA17" s="21"/>
      <c r="AB17" s="8">
        <f t="shared" si="4"/>
        <v>0.99545454545454548</v>
      </c>
      <c r="AC17" s="9">
        <f t="shared" si="5"/>
        <v>0.25</v>
      </c>
      <c r="AD17" s="10">
        <f t="shared" si="6"/>
        <v>0.24886363636363637</v>
      </c>
      <c r="AE17" s="39">
        <f t="shared" si="7"/>
        <v>0.5465258578847908</v>
      </c>
      <c r="AF17" s="94">
        <f t="shared" si="8"/>
        <v>12</v>
      </c>
    </row>
    <row r="18" spans="1:32" ht="27" customHeight="1">
      <c r="A18" s="109">
        <v>12</v>
      </c>
      <c r="B18" s="11" t="s">
        <v>57</v>
      </c>
      <c r="C18" s="37" t="s">
        <v>900</v>
      </c>
      <c r="D18" s="55"/>
      <c r="E18" s="57" t="s">
        <v>901</v>
      </c>
      <c r="F18" s="12" t="s">
        <v>902</v>
      </c>
      <c r="G18" s="12">
        <v>1</v>
      </c>
      <c r="H18" s="13">
        <v>25</v>
      </c>
      <c r="I18" s="34">
        <v>5000</v>
      </c>
      <c r="J18" s="5">
        <v>2690</v>
      </c>
      <c r="K18" s="15">
        <f>L18</f>
        <v>2690</v>
      </c>
      <c r="L18" s="15">
        <f>2690</f>
        <v>2690</v>
      </c>
      <c r="M18" s="16">
        <f t="shared" ref="M18" si="9">L18-N18</f>
        <v>2690</v>
      </c>
      <c r="N18" s="16">
        <v>0</v>
      </c>
      <c r="O18" s="62">
        <f t="shared" ref="O18" si="10">IF(L18=0,"0",N18/L18)</f>
        <v>0</v>
      </c>
      <c r="P18" s="42">
        <f t="shared" ref="P18" si="11">IF(L18=0,"0",(24-Q18))</f>
        <v>17</v>
      </c>
      <c r="Q18" s="43">
        <f t="shared" ref="Q18" si="12">SUM(R18:AA18)</f>
        <v>7</v>
      </c>
      <c r="R18" s="7"/>
      <c r="S18" s="6"/>
      <c r="T18" s="17">
        <v>7</v>
      </c>
      <c r="U18" s="17"/>
      <c r="V18" s="18"/>
      <c r="W18" s="19"/>
      <c r="X18" s="17"/>
      <c r="Y18" s="20"/>
      <c r="Z18" s="20"/>
      <c r="AA18" s="21"/>
      <c r="AB18" s="8">
        <f t="shared" ref="AB18" si="13">IF(J18=0,"0",(L18/J18))</f>
        <v>1</v>
      </c>
      <c r="AC18" s="9">
        <f t="shared" ref="AC18" si="14">IF(P18=0,"0",(P18/24))</f>
        <v>0.70833333333333337</v>
      </c>
      <c r="AD18" s="10">
        <f t="shared" ref="AD18" si="15">AC18*AB18*(1-O18)</f>
        <v>0.70833333333333337</v>
      </c>
      <c r="AE18" s="39">
        <f t="shared" si="7"/>
        <v>0.5465258578847908</v>
      </c>
      <c r="AF18" s="94">
        <f t="shared" ref="AF18" si="16">A18</f>
        <v>12</v>
      </c>
    </row>
    <row r="19" spans="1:32" ht="27" customHeight="1">
      <c r="A19" s="110">
        <v>13</v>
      </c>
      <c r="B19" s="11" t="s">
        <v>57</v>
      </c>
      <c r="C19" s="37" t="s">
        <v>284</v>
      </c>
      <c r="D19" s="55" t="s">
        <v>849</v>
      </c>
      <c r="E19" s="57" t="s">
        <v>850</v>
      </c>
      <c r="F19" s="33" t="s">
        <v>851</v>
      </c>
      <c r="G19" s="36">
        <v>1</v>
      </c>
      <c r="H19" s="38">
        <v>25</v>
      </c>
      <c r="I19" s="7">
        <v>2200</v>
      </c>
      <c r="J19" s="5">
        <v>2950</v>
      </c>
      <c r="K19" s="15">
        <f>L19+3217</f>
        <v>6161</v>
      </c>
      <c r="L19" s="15">
        <f>2388+556</f>
        <v>2944</v>
      </c>
      <c r="M19" s="16">
        <f t="shared" si="0"/>
        <v>2944</v>
      </c>
      <c r="N19" s="16">
        <v>0</v>
      </c>
      <c r="O19" s="62">
        <f t="shared" si="1"/>
        <v>0</v>
      </c>
      <c r="P19" s="42">
        <f t="shared" si="2"/>
        <v>15</v>
      </c>
      <c r="Q19" s="43">
        <f t="shared" si="3"/>
        <v>9</v>
      </c>
      <c r="R19" s="7"/>
      <c r="S19" s="6"/>
      <c r="T19" s="17"/>
      <c r="U19" s="17"/>
      <c r="V19" s="18"/>
      <c r="W19" s="19">
        <v>9</v>
      </c>
      <c r="X19" s="17"/>
      <c r="Y19" s="20"/>
      <c r="Z19" s="20"/>
      <c r="AA19" s="21"/>
      <c r="AB19" s="8">
        <f t="shared" si="4"/>
        <v>0.99796610169491529</v>
      </c>
      <c r="AC19" s="9">
        <f t="shared" si="5"/>
        <v>0.625</v>
      </c>
      <c r="AD19" s="10">
        <f t="shared" si="6"/>
        <v>0.62372881355932208</v>
      </c>
      <c r="AE19" s="39">
        <f>$AD$22</f>
        <v>0.5465258578847908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903</v>
      </c>
      <c r="D20" s="55" t="s">
        <v>904</v>
      </c>
      <c r="E20" s="57" t="s">
        <v>905</v>
      </c>
      <c r="F20" s="12">
        <v>7301</v>
      </c>
      <c r="G20" s="12">
        <v>1</v>
      </c>
      <c r="H20" s="13">
        <v>25</v>
      </c>
      <c r="I20" s="7">
        <v>1100</v>
      </c>
      <c r="J20" s="14">
        <v>1320</v>
      </c>
      <c r="K20" s="15">
        <f>L20</f>
        <v>1320</v>
      </c>
      <c r="L20" s="15">
        <v>1320</v>
      </c>
      <c r="M20" s="16">
        <f t="shared" si="0"/>
        <v>1320</v>
      </c>
      <c r="N20" s="16">
        <v>0</v>
      </c>
      <c r="O20" s="62">
        <f t="shared" si="1"/>
        <v>0</v>
      </c>
      <c r="P20" s="42">
        <f t="shared" si="2"/>
        <v>8</v>
      </c>
      <c r="Q20" s="43">
        <f t="shared" si="3"/>
        <v>16</v>
      </c>
      <c r="R20" s="7"/>
      <c r="S20" s="6"/>
      <c r="T20" s="17"/>
      <c r="U20" s="17"/>
      <c r="V20" s="18"/>
      <c r="W20" s="19">
        <v>16</v>
      </c>
      <c r="X20" s="17"/>
      <c r="Y20" s="20"/>
      <c r="Z20" s="20"/>
      <c r="AA20" s="21"/>
      <c r="AB20" s="8">
        <f t="shared" si="4"/>
        <v>1</v>
      </c>
      <c r="AC20" s="9">
        <f t="shared" si="5"/>
        <v>0.33333333333333331</v>
      </c>
      <c r="AD20" s="10">
        <f t="shared" si="6"/>
        <v>0.33333333333333331</v>
      </c>
      <c r="AE20" s="39">
        <f>$AD$22</f>
        <v>0.5465258578847908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123</v>
      </c>
      <c r="D21" s="55"/>
      <c r="E21" s="56" t="s">
        <v>138</v>
      </c>
      <c r="F21" s="12" t="s">
        <v>124</v>
      </c>
      <c r="G21" s="12">
        <v>4</v>
      </c>
      <c r="H21" s="38">
        <v>20</v>
      </c>
      <c r="I21" s="7">
        <v>800000</v>
      </c>
      <c r="J21" s="14">
        <v>10000</v>
      </c>
      <c r="K21" s="15">
        <f>L21+29128+42972+45096+45728+43064+5640</f>
        <v>211628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>$AD$22</f>
        <v>0.5465258578847908</v>
      </c>
      <c r="AF21" s="94">
        <f t="shared" si="8"/>
        <v>15</v>
      </c>
    </row>
    <row r="22" spans="1:32" ht="31.5" customHeight="1" thickBot="1">
      <c r="A22" s="416" t="s">
        <v>34</v>
      </c>
      <c r="B22" s="417"/>
      <c r="C22" s="417"/>
      <c r="D22" s="417"/>
      <c r="E22" s="417"/>
      <c r="F22" s="417"/>
      <c r="G22" s="417"/>
      <c r="H22" s="418"/>
      <c r="I22" s="25">
        <f t="shared" ref="I22:N22" si="17">SUM(I6:I21)</f>
        <v>1182650</v>
      </c>
      <c r="J22" s="22">
        <f t="shared" si="17"/>
        <v>69965</v>
      </c>
      <c r="K22" s="23">
        <f t="shared" si="17"/>
        <v>528014</v>
      </c>
      <c r="L22" s="24">
        <f t="shared" si="17"/>
        <v>56600</v>
      </c>
      <c r="M22" s="23">
        <f t="shared" si="17"/>
        <v>56600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197</v>
      </c>
      <c r="Q22" s="46">
        <f t="shared" si="18"/>
        <v>187</v>
      </c>
      <c r="R22" s="26">
        <f t="shared" si="18"/>
        <v>0</v>
      </c>
      <c r="S22" s="27">
        <f t="shared" si="18"/>
        <v>2</v>
      </c>
      <c r="T22" s="27">
        <f t="shared" si="18"/>
        <v>11</v>
      </c>
      <c r="U22" s="27">
        <f t="shared" si="18"/>
        <v>0</v>
      </c>
      <c r="V22" s="28">
        <f t="shared" si="18"/>
        <v>0</v>
      </c>
      <c r="W22" s="29">
        <f t="shared" si="18"/>
        <v>150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24</v>
      </c>
      <c r="AB22" s="31">
        <f>SUM(AB6:AB21)/15</f>
        <v>0.86524010536619345</v>
      </c>
      <c r="AC22" s="4">
        <f>SUM(AC6:AC21)/15</f>
        <v>0.54722222222222228</v>
      </c>
      <c r="AD22" s="4">
        <f>SUM(AD6:AD21)/15</f>
        <v>0.5465258578847908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9" t="s">
        <v>45</v>
      </c>
      <c r="B49" s="419"/>
      <c r="C49" s="419"/>
      <c r="D49" s="419"/>
      <c r="E49" s="41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20" t="s">
        <v>906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2"/>
      <c r="N50" s="423" t="s">
        <v>925</v>
      </c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5"/>
    </row>
    <row r="51" spans="1:32" ht="27" customHeight="1">
      <c r="A51" s="426" t="s">
        <v>2</v>
      </c>
      <c r="B51" s="427"/>
      <c r="C51" s="318" t="s">
        <v>46</v>
      </c>
      <c r="D51" s="318" t="s">
        <v>47</v>
      </c>
      <c r="E51" s="318" t="s">
        <v>108</v>
      </c>
      <c r="F51" s="427" t="s">
        <v>107</v>
      </c>
      <c r="G51" s="427"/>
      <c r="H51" s="427"/>
      <c r="I51" s="427"/>
      <c r="J51" s="427"/>
      <c r="K51" s="427"/>
      <c r="L51" s="427"/>
      <c r="M51" s="428"/>
      <c r="N51" s="73" t="s">
        <v>112</v>
      </c>
      <c r="O51" s="318" t="s">
        <v>46</v>
      </c>
      <c r="P51" s="429" t="s">
        <v>47</v>
      </c>
      <c r="Q51" s="430"/>
      <c r="R51" s="429" t="s">
        <v>38</v>
      </c>
      <c r="S51" s="431"/>
      <c r="T51" s="431"/>
      <c r="U51" s="430"/>
      <c r="V51" s="429" t="s">
        <v>48</v>
      </c>
      <c r="W51" s="431"/>
      <c r="X51" s="431"/>
      <c r="Y51" s="431"/>
      <c r="Z51" s="431"/>
      <c r="AA51" s="431"/>
      <c r="AB51" s="431"/>
      <c r="AC51" s="431"/>
      <c r="AD51" s="432"/>
    </row>
    <row r="52" spans="1:32" ht="27" customHeight="1">
      <c r="A52" s="459" t="s">
        <v>844</v>
      </c>
      <c r="B52" s="447"/>
      <c r="C52" s="320" t="s">
        <v>862</v>
      </c>
      <c r="D52" s="320" t="s">
        <v>863</v>
      </c>
      <c r="E52" s="320" t="s">
        <v>845</v>
      </c>
      <c r="F52" s="445" t="s">
        <v>907</v>
      </c>
      <c r="G52" s="445"/>
      <c r="H52" s="445"/>
      <c r="I52" s="445"/>
      <c r="J52" s="445"/>
      <c r="K52" s="445"/>
      <c r="L52" s="445"/>
      <c r="M52" s="446"/>
      <c r="N52" s="324" t="s">
        <v>926</v>
      </c>
      <c r="O52" s="74" t="s">
        <v>397</v>
      </c>
      <c r="P52" s="447" t="s">
        <v>331</v>
      </c>
      <c r="Q52" s="447"/>
      <c r="R52" s="447" t="s">
        <v>927</v>
      </c>
      <c r="S52" s="447"/>
      <c r="T52" s="447"/>
      <c r="U52" s="447"/>
      <c r="V52" s="445" t="s">
        <v>928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908</v>
      </c>
      <c r="B53" s="447"/>
      <c r="C53" s="320" t="s">
        <v>909</v>
      </c>
      <c r="D53" s="320" t="s">
        <v>910</v>
      </c>
      <c r="E53" s="320" t="s">
        <v>911</v>
      </c>
      <c r="F53" s="445" t="s">
        <v>912</v>
      </c>
      <c r="G53" s="445"/>
      <c r="H53" s="445"/>
      <c r="I53" s="445"/>
      <c r="J53" s="445"/>
      <c r="K53" s="445"/>
      <c r="L53" s="445"/>
      <c r="M53" s="446"/>
      <c r="N53" s="324"/>
      <c r="O53" s="74"/>
      <c r="P53" s="447"/>
      <c r="Q53" s="447"/>
      <c r="R53" s="447"/>
      <c r="S53" s="447"/>
      <c r="T53" s="447"/>
      <c r="U53" s="447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897</v>
      </c>
      <c r="B54" s="447"/>
      <c r="C54" s="320" t="s">
        <v>913</v>
      </c>
      <c r="D54" s="320"/>
      <c r="E54" s="320" t="s">
        <v>914</v>
      </c>
      <c r="F54" s="445" t="s">
        <v>912</v>
      </c>
      <c r="G54" s="445"/>
      <c r="H54" s="445"/>
      <c r="I54" s="445"/>
      <c r="J54" s="445"/>
      <c r="K54" s="445"/>
      <c r="L54" s="445"/>
      <c r="M54" s="446"/>
      <c r="N54" s="324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 t="s">
        <v>915</v>
      </c>
      <c r="B55" s="447"/>
      <c r="C55" s="320" t="s">
        <v>916</v>
      </c>
      <c r="D55" s="320"/>
      <c r="E55" s="320" t="s">
        <v>917</v>
      </c>
      <c r="F55" s="445" t="s">
        <v>912</v>
      </c>
      <c r="G55" s="445"/>
      <c r="H55" s="445"/>
      <c r="I55" s="445"/>
      <c r="J55" s="445"/>
      <c r="K55" s="445"/>
      <c r="L55" s="445"/>
      <c r="M55" s="446"/>
      <c r="N55" s="324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59" t="s">
        <v>918</v>
      </c>
      <c r="B56" s="447"/>
      <c r="C56" s="320" t="s">
        <v>919</v>
      </c>
      <c r="D56" s="320" t="s">
        <v>920</v>
      </c>
      <c r="E56" s="320" t="s">
        <v>921</v>
      </c>
      <c r="F56" s="445" t="s">
        <v>922</v>
      </c>
      <c r="G56" s="445"/>
      <c r="H56" s="445"/>
      <c r="I56" s="445"/>
      <c r="J56" s="445"/>
      <c r="K56" s="445"/>
      <c r="L56" s="445"/>
      <c r="M56" s="446"/>
      <c r="N56" s="324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 t="s">
        <v>923</v>
      </c>
      <c r="B57" s="444"/>
      <c r="C57" s="319" t="s">
        <v>924</v>
      </c>
      <c r="D57" s="320" t="s">
        <v>894</v>
      </c>
      <c r="E57" s="319" t="s">
        <v>895</v>
      </c>
      <c r="F57" s="445" t="s">
        <v>137</v>
      </c>
      <c r="G57" s="445"/>
      <c r="H57" s="445"/>
      <c r="I57" s="445"/>
      <c r="J57" s="445"/>
      <c r="K57" s="445"/>
      <c r="L57" s="445"/>
      <c r="M57" s="446"/>
      <c r="N57" s="324"/>
      <c r="O57" s="74"/>
      <c r="P57" s="447"/>
      <c r="Q57" s="447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19"/>
      <c r="D58" s="320"/>
      <c r="E58" s="319"/>
      <c r="F58" s="445"/>
      <c r="G58" s="445"/>
      <c r="H58" s="445"/>
      <c r="I58" s="445"/>
      <c r="J58" s="445"/>
      <c r="K58" s="445"/>
      <c r="L58" s="445"/>
      <c r="M58" s="446"/>
      <c r="N58" s="324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43"/>
      <c r="B59" s="444"/>
      <c r="C59" s="319"/>
      <c r="D59" s="320"/>
      <c r="E59" s="319"/>
      <c r="F59" s="445"/>
      <c r="G59" s="445"/>
      <c r="H59" s="445"/>
      <c r="I59" s="445"/>
      <c r="J59" s="445"/>
      <c r="K59" s="445"/>
      <c r="L59" s="445"/>
      <c r="M59" s="446"/>
      <c r="N59" s="324"/>
      <c r="O59" s="74"/>
      <c r="P59" s="448"/>
      <c r="Q59" s="449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</row>
    <row r="60" spans="1:32" ht="27" customHeight="1">
      <c r="A60" s="459"/>
      <c r="B60" s="447"/>
      <c r="C60" s="320"/>
      <c r="D60" s="320"/>
      <c r="E60" s="320"/>
      <c r="F60" s="445"/>
      <c r="G60" s="445"/>
      <c r="H60" s="445"/>
      <c r="I60" s="445"/>
      <c r="J60" s="445"/>
      <c r="K60" s="445"/>
      <c r="L60" s="445"/>
      <c r="M60" s="446"/>
      <c r="N60" s="324"/>
      <c r="O60" s="74"/>
      <c r="P60" s="447"/>
      <c r="Q60" s="447"/>
      <c r="R60" s="447"/>
      <c r="S60" s="447"/>
      <c r="T60" s="447"/>
      <c r="U60" s="447"/>
      <c r="V60" s="445"/>
      <c r="W60" s="445"/>
      <c r="X60" s="445"/>
      <c r="Y60" s="445"/>
      <c r="Z60" s="445"/>
      <c r="AA60" s="445"/>
      <c r="AB60" s="445"/>
      <c r="AC60" s="445"/>
      <c r="AD60" s="446"/>
      <c r="AF60" s="94">
        <f>8*3000</f>
        <v>24000</v>
      </c>
    </row>
    <row r="61" spans="1:32" ht="27" customHeight="1" thickBot="1">
      <c r="A61" s="450"/>
      <c r="B61" s="451"/>
      <c r="C61" s="322"/>
      <c r="D61" s="322"/>
      <c r="E61" s="322"/>
      <c r="F61" s="452"/>
      <c r="G61" s="452"/>
      <c r="H61" s="452"/>
      <c r="I61" s="452"/>
      <c r="J61" s="452"/>
      <c r="K61" s="452"/>
      <c r="L61" s="452"/>
      <c r="M61" s="453"/>
      <c r="N61" s="321"/>
      <c r="O61" s="121"/>
      <c r="P61" s="451"/>
      <c r="Q61" s="451"/>
      <c r="R61" s="451"/>
      <c r="S61" s="451"/>
      <c r="T61" s="451"/>
      <c r="U61" s="451"/>
      <c r="V61" s="452"/>
      <c r="W61" s="452"/>
      <c r="X61" s="452"/>
      <c r="Y61" s="452"/>
      <c r="Z61" s="452"/>
      <c r="AA61" s="452"/>
      <c r="AB61" s="452"/>
      <c r="AC61" s="452"/>
      <c r="AD61" s="453"/>
      <c r="AF61" s="94">
        <f>16*3000</f>
        <v>48000</v>
      </c>
    </row>
    <row r="62" spans="1:32" ht="27.75" thickBot="1">
      <c r="A62" s="454" t="s">
        <v>929</v>
      </c>
      <c r="B62" s="454"/>
      <c r="C62" s="454"/>
      <c r="D62" s="454"/>
      <c r="E62" s="45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55" t="s">
        <v>113</v>
      </c>
      <c r="B63" s="456"/>
      <c r="C63" s="323" t="s">
        <v>2</v>
      </c>
      <c r="D63" s="323" t="s">
        <v>37</v>
      </c>
      <c r="E63" s="323" t="s">
        <v>3</v>
      </c>
      <c r="F63" s="456" t="s">
        <v>110</v>
      </c>
      <c r="G63" s="456"/>
      <c r="H63" s="456"/>
      <c r="I63" s="456"/>
      <c r="J63" s="456"/>
      <c r="K63" s="456" t="s">
        <v>39</v>
      </c>
      <c r="L63" s="456"/>
      <c r="M63" s="323" t="s">
        <v>40</v>
      </c>
      <c r="N63" s="456" t="s">
        <v>41</v>
      </c>
      <c r="O63" s="456"/>
      <c r="P63" s="457" t="s">
        <v>42</v>
      </c>
      <c r="Q63" s="458"/>
      <c r="R63" s="457" t="s">
        <v>43</v>
      </c>
      <c r="S63" s="460"/>
      <c r="T63" s="460"/>
      <c r="U63" s="460"/>
      <c r="V63" s="460"/>
      <c r="W63" s="460"/>
      <c r="X63" s="460"/>
      <c r="Y63" s="460"/>
      <c r="Z63" s="460"/>
      <c r="AA63" s="458"/>
      <c r="AB63" s="456" t="s">
        <v>44</v>
      </c>
      <c r="AC63" s="456"/>
      <c r="AD63" s="461"/>
      <c r="AF63" s="94">
        <f>SUM(AF60:AF62)</f>
        <v>96000</v>
      </c>
    </row>
    <row r="64" spans="1:32" ht="25.5" customHeight="1">
      <c r="A64" s="462">
        <v>1</v>
      </c>
      <c r="B64" s="463"/>
      <c r="C64" s="124" t="s">
        <v>146</v>
      </c>
      <c r="D64" s="327"/>
      <c r="E64" s="325" t="s">
        <v>670</v>
      </c>
      <c r="F64" s="464" t="s">
        <v>671</v>
      </c>
      <c r="G64" s="465"/>
      <c r="H64" s="465"/>
      <c r="I64" s="465"/>
      <c r="J64" s="465"/>
      <c r="K64" s="465" t="s">
        <v>520</v>
      </c>
      <c r="L64" s="465"/>
      <c r="M64" s="54" t="s">
        <v>831</v>
      </c>
      <c r="N64" s="465">
        <v>6</v>
      </c>
      <c r="O64" s="465"/>
      <c r="P64" s="466">
        <v>100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2</v>
      </c>
      <c r="B65" s="463"/>
      <c r="C65" s="124" t="s">
        <v>284</v>
      </c>
      <c r="D65" s="327"/>
      <c r="E65" s="325" t="s">
        <v>883</v>
      </c>
      <c r="F65" s="464" t="s">
        <v>884</v>
      </c>
      <c r="G65" s="465"/>
      <c r="H65" s="465"/>
      <c r="I65" s="465"/>
      <c r="J65" s="465"/>
      <c r="K65" s="465" t="s">
        <v>885</v>
      </c>
      <c r="L65" s="465"/>
      <c r="M65" s="54" t="s">
        <v>886</v>
      </c>
      <c r="N65" s="465">
        <v>8</v>
      </c>
      <c r="O65" s="465"/>
      <c r="P65" s="466">
        <v>250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3</v>
      </c>
      <c r="B66" s="463"/>
      <c r="C66" s="124"/>
      <c r="D66" s="327"/>
      <c r="E66" s="325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4</v>
      </c>
      <c r="B67" s="463"/>
      <c r="C67" s="124"/>
      <c r="D67" s="327"/>
      <c r="E67" s="325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5</v>
      </c>
      <c r="B68" s="463"/>
      <c r="C68" s="124"/>
      <c r="D68" s="327"/>
      <c r="E68" s="325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6</v>
      </c>
      <c r="B69" s="463"/>
      <c r="C69" s="124"/>
      <c r="D69" s="327"/>
      <c r="E69" s="325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7</v>
      </c>
      <c r="B70" s="463"/>
      <c r="C70" s="124"/>
      <c r="D70" s="327"/>
      <c r="E70" s="325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5.5" customHeight="1">
      <c r="A71" s="462">
        <v>8</v>
      </c>
      <c r="B71" s="463"/>
      <c r="C71" s="124"/>
      <c r="D71" s="327"/>
      <c r="E71" s="325"/>
      <c r="F71" s="464"/>
      <c r="G71" s="465"/>
      <c r="H71" s="465"/>
      <c r="I71" s="465"/>
      <c r="J71" s="465"/>
      <c r="K71" s="465"/>
      <c r="L71" s="465"/>
      <c r="M71" s="54"/>
      <c r="N71" s="465"/>
      <c r="O71" s="465"/>
      <c r="P71" s="466"/>
      <c r="Q71" s="466"/>
      <c r="R71" s="445"/>
      <c r="S71" s="445"/>
      <c r="T71" s="445"/>
      <c r="U71" s="445"/>
      <c r="V71" s="445"/>
      <c r="W71" s="445"/>
      <c r="X71" s="445"/>
      <c r="Y71" s="445"/>
      <c r="Z71" s="445"/>
      <c r="AA71" s="445"/>
      <c r="AB71" s="465"/>
      <c r="AC71" s="465"/>
      <c r="AD71" s="467"/>
      <c r="AF71" s="53"/>
    </row>
    <row r="72" spans="1:32" ht="26.25" customHeight="1" thickBot="1">
      <c r="A72" s="468" t="s">
        <v>930</v>
      </c>
      <c r="B72" s="468"/>
      <c r="C72" s="468"/>
      <c r="D72" s="468"/>
      <c r="E72" s="468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9" t="s">
        <v>113</v>
      </c>
      <c r="B73" s="470"/>
      <c r="C73" s="326" t="s">
        <v>2</v>
      </c>
      <c r="D73" s="326" t="s">
        <v>37</v>
      </c>
      <c r="E73" s="326" t="s">
        <v>3</v>
      </c>
      <c r="F73" s="470" t="s">
        <v>38</v>
      </c>
      <c r="G73" s="470"/>
      <c r="H73" s="470"/>
      <c r="I73" s="470"/>
      <c r="J73" s="470"/>
      <c r="K73" s="471" t="s">
        <v>58</v>
      </c>
      <c r="L73" s="472"/>
      <c r="M73" s="472"/>
      <c r="N73" s="472"/>
      <c r="O73" s="472"/>
      <c r="P73" s="472"/>
      <c r="Q73" s="472"/>
      <c r="R73" s="472"/>
      <c r="S73" s="473"/>
      <c r="T73" s="470" t="s">
        <v>49</v>
      </c>
      <c r="U73" s="470"/>
      <c r="V73" s="471" t="s">
        <v>50</v>
      </c>
      <c r="W73" s="473"/>
      <c r="X73" s="472" t="s">
        <v>51</v>
      </c>
      <c r="Y73" s="472"/>
      <c r="Z73" s="472"/>
      <c r="AA73" s="472"/>
      <c r="AB73" s="472"/>
      <c r="AC73" s="472"/>
      <c r="AD73" s="474"/>
      <c r="AF73" s="53"/>
    </row>
    <row r="74" spans="1:32" ht="33.75" customHeight="1">
      <c r="A74" s="483">
        <v>1</v>
      </c>
      <c r="B74" s="484"/>
      <c r="C74" s="328" t="s">
        <v>114</v>
      </c>
      <c r="D74" s="328"/>
      <c r="E74" s="71" t="s">
        <v>119</v>
      </c>
      <c r="F74" s="485" t="s">
        <v>120</v>
      </c>
      <c r="G74" s="486"/>
      <c r="H74" s="486"/>
      <c r="I74" s="486"/>
      <c r="J74" s="487"/>
      <c r="K74" s="488" t="s">
        <v>115</v>
      </c>
      <c r="L74" s="489"/>
      <c r="M74" s="489"/>
      <c r="N74" s="489"/>
      <c r="O74" s="489"/>
      <c r="P74" s="489"/>
      <c r="Q74" s="489"/>
      <c r="R74" s="489"/>
      <c r="S74" s="490"/>
      <c r="T74" s="491">
        <v>42901</v>
      </c>
      <c r="U74" s="492"/>
      <c r="V74" s="493"/>
      <c r="W74" s="493"/>
      <c r="X74" s="494"/>
      <c r="Y74" s="494"/>
      <c r="Z74" s="494"/>
      <c r="AA74" s="494"/>
      <c r="AB74" s="494"/>
      <c r="AC74" s="494"/>
      <c r="AD74" s="495"/>
      <c r="AF74" s="53"/>
    </row>
    <row r="75" spans="1:32" ht="30" customHeight="1">
      <c r="A75" s="475">
        <f>A74+1</f>
        <v>2</v>
      </c>
      <c r="B75" s="476"/>
      <c r="C75" s="327" t="s">
        <v>114</v>
      </c>
      <c r="D75" s="327"/>
      <c r="E75" s="35" t="s">
        <v>116</v>
      </c>
      <c r="F75" s="476" t="s">
        <v>117</v>
      </c>
      <c r="G75" s="476"/>
      <c r="H75" s="476"/>
      <c r="I75" s="476"/>
      <c r="J75" s="476"/>
      <c r="K75" s="477" t="s">
        <v>118</v>
      </c>
      <c r="L75" s="478"/>
      <c r="M75" s="478"/>
      <c r="N75" s="478"/>
      <c r="O75" s="478"/>
      <c r="P75" s="478"/>
      <c r="Q75" s="478"/>
      <c r="R75" s="478"/>
      <c r="S75" s="479"/>
      <c r="T75" s="480">
        <v>42867</v>
      </c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ref="A76:A82" si="19">A75+1</f>
        <v>3</v>
      </c>
      <c r="B76" s="476"/>
      <c r="C76" s="327"/>
      <c r="D76" s="327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9"/>
        <v>4</v>
      </c>
      <c r="B77" s="476"/>
      <c r="C77" s="327"/>
      <c r="D77" s="327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9"/>
        <v>5</v>
      </c>
      <c r="B78" s="476"/>
      <c r="C78" s="327"/>
      <c r="D78" s="327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9"/>
        <v>6</v>
      </c>
      <c r="B79" s="476"/>
      <c r="C79" s="327"/>
      <c r="D79" s="327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9"/>
        <v>7</v>
      </c>
      <c r="B80" s="476"/>
      <c r="C80" s="327"/>
      <c r="D80" s="327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9"/>
        <v>8</v>
      </c>
      <c r="B81" s="476"/>
      <c r="C81" s="327"/>
      <c r="D81" s="327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0" customHeight="1">
      <c r="A82" s="475">
        <f t="shared" si="19"/>
        <v>9</v>
      </c>
      <c r="B82" s="476"/>
      <c r="C82" s="327"/>
      <c r="D82" s="327"/>
      <c r="E82" s="35"/>
      <c r="F82" s="476"/>
      <c r="G82" s="476"/>
      <c r="H82" s="476"/>
      <c r="I82" s="476"/>
      <c r="J82" s="476"/>
      <c r="K82" s="477"/>
      <c r="L82" s="478"/>
      <c r="M82" s="478"/>
      <c r="N82" s="478"/>
      <c r="O82" s="478"/>
      <c r="P82" s="478"/>
      <c r="Q82" s="478"/>
      <c r="R82" s="478"/>
      <c r="S82" s="479"/>
      <c r="T82" s="480"/>
      <c r="U82" s="480"/>
      <c r="V82" s="480"/>
      <c r="W82" s="480"/>
      <c r="X82" s="481"/>
      <c r="Y82" s="481"/>
      <c r="Z82" s="481"/>
      <c r="AA82" s="481"/>
      <c r="AB82" s="481"/>
      <c r="AC82" s="481"/>
      <c r="AD82" s="482"/>
      <c r="AF82" s="53"/>
    </row>
    <row r="83" spans="1:32" ht="36" thickBot="1">
      <c r="A83" s="468" t="s">
        <v>931</v>
      </c>
      <c r="B83" s="468"/>
      <c r="C83" s="468"/>
      <c r="D83" s="468"/>
      <c r="E83" s="468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9" t="s">
        <v>113</v>
      </c>
      <c r="B84" s="470"/>
      <c r="C84" s="496" t="s">
        <v>52</v>
      </c>
      <c r="D84" s="496"/>
      <c r="E84" s="496" t="s">
        <v>53</v>
      </c>
      <c r="F84" s="496"/>
      <c r="G84" s="496"/>
      <c r="H84" s="496"/>
      <c r="I84" s="496"/>
      <c r="J84" s="496"/>
      <c r="K84" s="496" t="s">
        <v>54</v>
      </c>
      <c r="L84" s="496"/>
      <c r="M84" s="496"/>
      <c r="N84" s="496"/>
      <c r="O84" s="496"/>
      <c r="P84" s="496"/>
      <c r="Q84" s="496"/>
      <c r="R84" s="496"/>
      <c r="S84" s="496"/>
      <c r="T84" s="496" t="s">
        <v>55</v>
      </c>
      <c r="U84" s="496"/>
      <c r="V84" s="496" t="s">
        <v>56</v>
      </c>
      <c r="W84" s="496"/>
      <c r="X84" s="496"/>
      <c r="Y84" s="496" t="s">
        <v>51</v>
      </c>
      <c r="Z84" s="496"/>
      <c r="AA84" s="496"/>
      <c r="AB84" s="496"/>
      <c r="AC84" s="496"/>
      <c r="AD84" s="497"/>
      <c r="AF84" s="53"/>
    </row>
    <row r="85" spans="1:32" ht="30.75" customHeight="1">
      <c r="A85" s="483">
        <v>1</v>
      </c>
      <c r="B85" s="484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9"/>
      <c r="W85" s="499"/>
      <c r="X85" s="499"/>
      <c r="Y85" s="500"/>
      <c r="Z85" s="500"/>
      <c r="AA85" s="500"/>
      <c r="AB85" s="500"/>
      <c r="AC85" s="500"/>
      <c r="AD85" s="501"/>
      <c r="AF85" s="53"/>
    </row>
    <row r="86" spans="1:32" ht="30.75" customHeight="1">
      <c r="A86" s="475">
        <v>2</v>
      </c>
      <c r="B86" s="476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509"/>
      <c r="R86" s="509"/>
      <c r="S86" s="509"/>
      <c r="T86" s="510"/>
      <c r="U86" s="510"/>
      <c r="V86" s="511"/>
      <c r="W86" s="511"/>
      <c r="X86" s="511"/>
      <c r="Y86" s="502"/>
      <c r="Z86" s="502"/>
      <c r="AA86" s="502"/>
      <c r="AB86" s="502"/>
      <c r="AC86" s="502"/>
      <c r="AD86" s="503"/>
      <c r="AF86" s="53"/>
    </row>
    <row r="87" spans="1:32" ht="30.75" customHeight="1" thickBot="1">
      <c r="A87" s="504">
        <v>3</v>
      </c>
      <c r="B87" s="505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7"/>
      <c r="Z87" s="507"/>
      <c r="AA87" s="507"/>
      <c r="AB87" s="507"/>
      <c r="AC87" s="507"/>
      <c r="AD87" s="508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S1" sqref="S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932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40" t="s">
        <v>17</v>
      </c>
      <c r="L5" s="340" t="s">
        <v>18</v>
      </c>
      <c r="M5" s="340" t="s">
        <v>19</v>
      </c>
      <c r="N5" s="34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</f>
        <v>11597</v>
      </c>
      <c r="L6" s="15">
        <v>680</v>
      </c>
      <c r="M6" s="16">
        <f t="shared" ref="M6:M20" si="0">L6-N6</f>
        <v>680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4</v>
      </c>
      <c r="Q6" s="43">
        <f t="shared" ref="Q6:Q20" si="3">SUM(R6:AA6)</f>
        <v>20</v>
      </c>
      <c r="R6" s="7"/>
      <c r="S6" s="6"/>
      <c r="T6" s="17"/>
      <c r="U6" s="17"/>
      <c r="V6" s="18"/>
      <c r="W6" s="19">
        <v>20</v>
      </c>
      <c r="X6" s="17"/>
      <c r="Y6" s="20"/>
      <c r="Z6" s="20"/>
      <c r="AA6" s="21"/>
      <c r="AB6" s="8">
        <f t="shared" ref="AB6:AB20" si="4">IF(J6=0,"0",(L6/J6))</f>
        <v>1</v>
      </c>
      <c r="AC6" s="9">
        <f t="shared" ref="AC6:AC20" si="5">IF(P6=0,"0",(P6/24))</f>
        <v>0.16666666666666666</v>
      </c>
      <c r="AD6" s="10">
        <f t="shared" ref="AD6:AD20" si="6">AC6*AB6*(1-O6)</f>
        <v>0.16666666666666666</v>
      </c>
      <c r="AE6" s="39">
        <f t="shared" ref="AE6:AE20" si="7">$AD$21</f>
        <v>0.13101029026950964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0.13101029026950964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L8+3024+3374+3254+1094</f>
        <v>10746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0.13101029026950964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841</v>
      </c>
      <c r="D9" s="55"/>
      <c r="E9" s="57" t="s">
        <v>842</v>
      </c>
      <c r="F9" s="33" t="s">
        <v>839</v>
      </c>
      <c r="G9" s="36">
        <v>1</v>
      </c>
      <c r="H9" s="38">
        <v>25</v>
      </c>
      <c r="I9" s="7">
        <v>2000</v>
      </c>
      <c r="J9" s="5">
        <v>1780</v>
      </c>
      <c r="K9" s="15">
        <f>L9+2218+1774</f>
        <v>3992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0.13101029026950964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17050</v>
      </c>
      <c r="K10" s="15">
        <f>L10+6534+16360+16954+16456+16062+8812+14136+16892+17050</f>
        <v>137248</v>
      </c>
      <c r="L10" s="15">
        <f>3996*2</f>
        <v>7992</v>
      </c>
      <c r="M10" s="16">
        <f t="shared" si="0"/>
        <v>7992</v>
      </c>
      <c r="N10" s="16">
        <v>0</v>
      </c>
      <c r="O10" s="62">
        <f t="shared" si="1"/>
        <v>0</v>
      </c>
      <c r="P10" s="42">
        <f t="shared" si="2"/>
        <v>9</v>
      </c>
      <c r="Q10" s="43">
        <f t="shared" si="3"/>
        <v>15</v>
      </c>
      <c r="R10" s="7"/>
      <c r="S10" s="6"/>
      <c r="T10" s="17"/>
      <c r="U10" s="17"/>
      <c r="V10" s="18">
        <v>15</v>
      </c>
      <c r="W10" s="19"/>
      <c r="X10" s="17"/>
      <c r="Y10" s="20"/>
      <c r="Z10" s="20"/>
      <c r="AA10" s="21"/>
      <c r="AB10" s="8">
        <f t="shared" si="4"/>
        <v>0.46873900293255133</v>
      </c>
      <c r="AC10" s="9">
        <f t="shared" si="5"/>
        <v>0.375</v>
      </c>
      <c r="AD10" s="10">
        <f t="shared" si="6"/>
        <v>0.17577712609970675</v>
      </c>
      <c r="AE10" s="39">
        <f t="shared" si="7"/>
        <v>0.13101029026950964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0.13101029026950964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844</v>
      </c>
      <c r="D12" s="55" t="s">
        <v>125</v>
      </c>
      <c r="E12" s="57" t="s">
        <v>845</v>
      </c>
      <c r="F12" s="12" t="s">
        <v>846</v>
      </c>
      <c r="G12" s="12">
        <v>1</v>
      </c>
      <c r="H12" s="13">
        <v>25</v>
      </c>
      <c r="I12" s="7">
        <v>2500</v>
      </c>
      <c r="J12" s="14">
        <v>380</v>
      </c>
      <c r="K12" s="15">
        <f>L12+764+1207</f>
        <v>2351</v>
      </c>
      <c r="L12" s="15">
        <v>380</v>
      </c>
      <c r="M12" s="16">
        <f t="shared" si="0"/>
        <v>380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/>
      <c r="T12" s="17"/>
      <c r="U12" s="17"/>
      <c r="V12" s="18"/>
      <c r="W12" s="19">
        <v>20</v>
      </c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 t="shared" si="7"/>
        <v>0.13101029026950964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896</v>
      </c>
      <c r="G13" s="12">
        <v>2</v>
      </c>
      <c r="H13" s="13">
        <v>25</v>
      </c>
      <c r="I13" s="7">
        <v>40000</v>
      </c>
      <c r="J13" s="14">
        <v>6700</v>
      </c>
      <c r="K13" s="15">
        <f>L13+8464</f>
        <v>15164</v>
      </c>
      <c r="L13" s="15">
        <f>3350*2</f>
        <v>6700</v>
      </c>
      <c r="M13" s="16">
        <f t="shared" si="0"/>
        <v>6700</v>
      </c>
      <c r="N13" s="16">
        <v>0</v>
      </c>
      <c r="O13" s="62">
        <f t="shared" si="1"/>
        <v>0</v>
      </c>
      <c r="P13" s="42">
        <f t="shared" si="2"/>
        <v>9</v>
      </c>
      <c r="Q13" s="43">
        <f t="shared" si="3"/>
        <v>15</v>
      </c>
      <c r="R13" s="7"/>
      <c r="S13" s="6"/>
      <c r="T13" s="17"/>
      <c r="U13" s="17"/>
      <c r="V13" s="18">
        <v>15</v>
      </c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9">
        <f t="shared" si="7"/>
        <v>0.13101029026950964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0.13101029026950964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0.13101029026950964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5370</v>
      </c>
      <c r="K16" s="15">
        <f>L16+8022+9598+11782+11798+11816+11788+12090+6818+11506+11028+9460</f>
        <v>121070</v>
      </c>
      <c r="L16" s="15">
        <f>2682*2</f>
        <v>5364</v>
      </c>
      <c r="M16" s="16">
        <f t="shared" si="0"/>
        <v>5364</v>
      </c>
      <c r="N16" s="16">
        <v>0</v>
      </c>
      <c r="O16" s="62">
        <f t="shared" si="1"/>
        <v>0</v>
      </c>
      <c r="P16" s="42">
        <f t="shared" si="2"/>
        <v>9</v>
      </c>
      <c r="Q16" s="43">
        <f t="shared" si="3"/>
        <v>15</v>
      </c>
      <c r="R16" s="7"/>
      <c r="S16" s="6"/>
      <c r="T16" s="17"/>
      <c r="U16" s="17"/>
      <c r="V16" s="18">
        <v>15</v>
      </c>
      <c r="W16" s="19"/>
      <c r="X16" s="17"/>
      <c r="Y16" s="20"/>
      <c r="Z16" s="20"/>
      <c r="AA16" s="21"/>
      <c r="AB16" s="8">
        <f t="shared" si="4"/>
        <v>0.99888268156424576</v>
      </c>
      <c r="AC16" s="9">
        <f t="shared" si="5"/>
        <v>0.375</v>
      </c>
      <c r="AD16" s="10">
        <f t="shared" si="6"/>
        <v>0.37458100558659213</v>
      </c>
      <c r="AE16" s="39">
        <f t="shared" si="7"/>
        <v>0.13101029026950964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900</v>
      </c>
      <c r="D17" s="55"/>
      <c r="E17" s="57" t="s">
        <v>901</v>
      </c>
      <c r="F17" s="12" t="s">
        <v>902</v>
      </c>
      <c r="G17" s="12">
        <v>1</v>
      </c>
      <c r="H17" s="13">
        <v>25</v>
      </c>
      <c r="I17" s="34">
        <v>5000</v>
      </c>
      <c r="J17" s="5">
        <v>2380</v>
      </c>
      <c r="K17" s="15">
        <f>L17+2690</f>
        <v>5067</v>
      </c>
      <c r="L17" s="15">
        <v>2377</v>
      </c>
      <c r="M17" s="16">
        <f t="shared" si="0"/>
        <v>2377</v>
      </c>
      <c r="N17" s="16">
        <v>0</v>
      </c>
      <c r="O17" s="62">
        <f t="shared" si="1"/>
        <v>0</v>
      </c>
      <c r="P17" s="42">
        <f t="shared" si="2"/>
        <v>8</v>
      </c>
      <c r="Q17" s="43">
        <f t="shared" si="3"/>
        <v>16</v>
      </c>
      <c r="R17" s="7"/>
      <c r="S17" s="6"/>
      <c r="T17" s="17"/>
      <c r="U17" s="17"/>
      <c r="V17" s="18"/>
      <c r="W17" s="19">
        <v>16</v>
      </c>
      <c r="X17" s="17"/>
      <c r="Y17" s="20"/>
      <c r="Z17" s="20"/>
      <c r="AA17" s="21"/>
      <c r="AB17" s="8">
        <f t="shared" si="4"/>
        <v>0.99873949579831933</v>
      </c>
      <c r="AC17" s="9">
        <f t="shared" si="5"/>
        <v>0.33333333333333331</v>
      </c>
      <c r="AD17" s="10">
        <f t="shared" si="6"/>
        <v>0.33291316526610643</v>
      </c>
      <c r="AE17" s="39">
        <f t="shared" si="7"/>
        <v>0.13101029026950964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284</v>
      </c>
      <c r="D18" s="55" t="s">
        <v>849</v>
      </c>
      <c r="E18" s="57" t="s">
        <v>850</v>
      </c>
      <c r="F18" s="33" t="s">
        <v>851</v>
      </c>
      <c r="G18" s="36">
        <v>1</v>
      </c>
      <c r="H18" s="38">
        <v>25</v>
      </c>
      <c r="I18" s="7">
        <v>2200</v>
      </c>
      <c r="J18" s="5">
        <v>2950</v>
      </c>
      <c r="K18" s="15">
        <f>L18+3217+2944</f>
        <v>6161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0.13101029026950964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933</v>
      </c>
      <c r="D19" s="55" t="s">
        <v>934</v>
      </c>
      <c r="E19" s="57" t="s">
        <v>935</v>
      </c>
      <c r="F19" s="12" t="s">
        <v>936</v>
      </c>
      <c r="G19" s="12">
        <v>1</v>
      </c>
      <c r="H19" s="13">
        <v>25</v>
      </c>
      <c r="I19" s="7">
        <v>1000</v>
      </c>
      <c r="J19" s="14">
        <v>1810</v>
      </c>
      <c r="K19" s="15">
        <f>L19</f>
        <v>1803</v>
      </c>
      <c r="L19" s="15">
        <v>1803</v>
      </c>
      <c r="M19" s="16">
        <f t="shared" si="0"/>
        <v>1803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/>
      <c r="T19" s="17"/>
      <c r="U19" s="17"/>
      <c r="V19" s="18"/>
      <c r="W19" s="19">
        <v>15</v>
      </c>
      <c r="X19" s="17"/>
      <c r="Y19" s="20"/>
      <c r="Z19" s="20"/>
      <c r="AA19" s="21"/>
      <c r="AB19" s="8">
        <f t="shared" si="4"/>
        <v>0.99613259668508292</v>
      </c>
      <c r="AC19" s="9">
        <f t="shared" si="5"/>
        <v>0.375</v>
      </c>
      <c r="AD19" s="10">
        <f t="shared" si="6"/>
        <v>0.37354972375690609</v>
      </c>
      <c r="AE19" s="39">
        <f t="shared" si="7"/>
        <v>0.13101029026950964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10000</v>
      </c>
      <c r="K20" s="15">
        <f>L20+29128+42972+45096+45728+43064+5640</f>
        <v>211628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0.13101029026950964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1182050</v>
      </c>
      <c r="J21" s="22">
        <f t="shared" si="9"/>
        <v>57435</v>
      </c>
      <c r="K21" s="23">
        <f t="shared" si="9"/>
        <v>550457</v>
      </c>
      <c r="L21" s="24">
        <f t="shared" si="9"/>
        <v>25296</v>
      </c>
      <c r="M21" s="23">
        <f t="shared" si="9"/>
        <v>25296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52</v>
      </c>
      <c r="Q21" s="46">
        <f t="shared" si="10"/>
        <v>308</v>
      </c>
      <c r="R21" s="26">
        <f t="shared" si="10"/>
        <v>0</v>
      </c>
      <c r="S21" s="27">
        <f t="shared" si="10"/>
        <v>0</v>
      </c>
      <c r="T21" s="27">
        <f t="shared" si="10"/>
        <v>0</v>
      </c>
      <c r="U21" s="27">
        <f t="shared" si="10"/>
        <v>0</v>
      </c>
      <c r="V21" s="28">
        <f t="shared" si="10"/>
        <v>45</v>
      </c>
      <c r="W21" s="29">
        <f t="shared" si="10"/>
        <v>239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0.43083291846534666</v>
      </c>
      <c r="AC21" s="4">
        <f>SUM(AC6:AC20)/15</f>
        <v>0.14444444444444443</v>
      </c>
      <c r="AD21" s="4">
        <f>SUM(AD6:AD20)/15</f>
        <v>0.13101029026950964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937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947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339" t="s">
        <v>46</v>
      </c>
      <c r="D50" s="339" t="s">
        <v>47</v>
      </c>
      <c r="E50" s="339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339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938</v>
      </c>
      <c r="B51" s="447"/>
      <c r="C51" s="335" t="s">
        <v>939</v>
      </c>
      <c r="D51" s="335" t="s">
        <v>145</v>
      </c>
      <c r="E51" s="335" t="s">
        <v>940</v>
      </c>
      <c r="F51" s="445" t="s">
        <v>941</v>
      </c>
      <c r="G51" s="445"/>
      <c r="H51" s="445"/>
      <c r="I51" s="445"/>
      <c r="J51" s="445"/>
      <c r="K51" s="445"/>
      <c r="L51" s="445"/>
      <c r="M51" s="446"/>
      <c r="N51" s="334" t="s">
        <v>948</v>
      </c>
      <c r="O51" s="74" t="s">
        <v>949</v>
      </c>
      <c r="P51" s="447" t="s">
        <v>950</v>
      </c>
      <c r="Q51" s="447"/>
      <c r="R51" s="447" t="s">
        <v>951</v>
      </c>
      <c r="S51" s="447"/>
      <c r="T51" s="447"/>
      <c r="U51" s="447"/>
      <c r="V51" s="445" t="s">
        <v>928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942</v>
      </c>
      <c r="B52" s="447"/>
      <c r="C52" s="335" t="s">
        <v>943</v>
      </c>
      <c r="D52" s="335" t="s">
        <v>944</v>
      </c>
      <c r="E52" s="335" t="s">
        <v>945</v>
      </c>
      <c r="F52" s="445" t="s">
        <v>946</v>
      </c>
      <c r="G52" s="445"/>
      <c r="H52" s="445"/>
      <c r="I52" s="445"/>
      <c r="J52" s="445"/>
      <c r="K52" s="445"/>
      <c r="L52" s="445"/>
      <c r="M52" s="446"/>
      <c r="N52" s="334" t="s">
        <v>953</v>
      </c>
      <c r="O52" s="74" t="s">
        <v>954</v>
      </c>
      <c r="P52" s="447"/>
      <c r="Q52" s="447"/>
      <c r="R52" s="447" t="s">
        <v>952</v>
      </c>
      <c r="S52" s="447"/>
      <c r="T52" s="447"/>
      <c r="U52" s="447"/>
      <c r="V52" s="445" t="s">
        <v>928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/>
      <c r="B53" s="447"/>
      <c r="C53" s="335"/>
      <c r="D53" s="335"/>
      <c r="E53" s="335"/>
      <c r="F53" s="445"/>
      <c r="G53" s="445"/>
      <c r="H53" s="445"/>
      <c r="I53" s="445"/>
      <c r="J53" s="445"/>
      <c r="K53" s="445"/>
      <c r="L53" s="445"/>
      <c r="M53" s="446"/>
      <c r="N53" s="334"/>
      <c r="O53" s="74"/>
      <c r="P53" s="447"/>
      <c r="Q53" s="447"/>
      <c r="R53" s="447"/>
      <c r="S53" s="447"/>
      <c r="T53" s="447"/>
      <c r="U53" s="447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335"/>
      <c r="D54" s="335"/>
      <c r="E54" s="335"/>
      <c r="F54" s="445"/>
      <c r="G54" s="445"/>
      <c r="H54" s="445"/>
      <c r="I54" s="445"/>
      <c r="J54" s="445"/>
      <c r="K54" s="445"/>
      <c r="L54" s="445"/>
      <c r="M54" s="446"/>
      <c r="N54" s="334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35"/>
      <c r="D55" s="335"/>
      <c r="E55" s="335"/>
      <c r="F55" s="445"/>
      <c r="G55" s="445"/>
      <c r="H55" s="445"/>
      <c r="I55" s="445"/>
      <c r="J55" s="445"/>
      <c r="K55" s="445"/>
      <c r="L55" s="445"/>
      <c r="M55" s="446"/>
      <c r="N55" s="334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338"/>
      <c r="D56" s="335"/>
      <c r="E56" s="338"/>
      <c r="F56" s="445"/>
      <c r="G56" s="445"/>
      <c r="H56" s="445"/>
      <c r="I56" s="445"/>
      <c r="J56" s="445"/>
      <c r="K56" s="445"/>
      <c r="L56" s="445"/>
      <c r="M56" s="446"/>
      <c r="N56" s="334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38"/>
      <c r="D57" s="335"/>
      <c r="E57" s="338"/>
      <c r="F57" s="445"/>
      <c r="G57" s="445"/>
      <c r="H57" s="445"/>
      <c r="I57" s="445"/>
      <c r="J57" s="445"/>
      <c r="K57" s="445"/>
      <c r="L57" s="445"/>
      <c r="M57" s="446"/>
      <c r="N57" s="334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38"/>
      <c r="D58" s="335"/>
      <c r="E58" s="338"/>
      <c r="F58" s="445"/>
      <c r="G58" s="445"/>
      <c r="H58" s="445"/>
      <c r="I58" s="445"/>
      <c r="J58" s="445"/>
      <c r="K58" s="445"/>
      <c r="L58" s="445"/>
      <c r="M58" s="446"/>
      <c r="N58" s="334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335"/>
      <c r="D59" s="335"/>
      <c r="E59" s="335"/>
      <c r="F59" s="445"/>
      <c r="G59" s="445"/>
      <c r="H59" s="445"/>
      <c r="I59" s="445"/>
      <c r="J59" s="445"/>
      <c r="K59" s="445"/>
      <c r="L59" s="445"/>
      <c r="M59" s="446"/>
      <c r="N59" s="334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337"/>
      <c r="D60" s="337"/>
      <c r="E60" s="337"/>
      <c r="F60" s="452"/>
      <c r="G60" s="452"/>
      <c r="H60" s="452"/>
      <c r="I60" s="452"/>
      <c r="J60" s="452"/>
      <c r="K60" s="452"/>
      <c r="L60" s="452"/>
      <c r="M60" s="453"/>
      <c r="N60" s="336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955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333" t="s">
        <v>2</v>
      </c>
      <c r="D62" s="333" t="s">
        <v>37</v>
      </c>
      <c r="E62" s="333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333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/>
      <c r="D63" s="329"/>
      <c r="E63" s="332"/>
      <c r="F63" s="464"/>
      <c r="G63" s="465"/>
      <c r="H63" s="465"/>
      <c r="I63" s="465"/>
      <c r="J63" s="465"/>
      <c r="K63" s="465"/>
      <c r="L63" s="465"/>
      <c r="M63" s="54"/>
      <c r="N63" s="465"/>
      <c r="O63" s="465"/>
      <c r="P63" s="466"/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329"/>
      <c r="E64" s="332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329"/>
      <c r="E65" s="332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329"/>
      <c r="E66" s="332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329"/>
      <c r="E67" s="332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329"/>
      <c r="E68" s="332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29"/>
      <c r="E69" s="332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29"/>
      <c r="E70" s="332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956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31" t="s">
        <v>2</v>
      </c>
      <c r="D72" s="331" t="s">
        <v>37</v>
      </c>
      <c r="E72" s="331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330" t="s">
        <v>114</v>
      </c>
      <c r="D73" s="330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29" t="s">
        <v>114</v>
      </c>
      <c r="D74" s="329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329"/>
      <c r="D75" s="329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329"/>
      <c r="D76" s="329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329"/>
      <c r="D77" s="329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329"/>
      <c r="D78" s="329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329"/>
      <c r="D79" s="329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329"/>
      <c r="D80" s="329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329"/>
      <c r="D81" s="329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957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958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41" t="s">
        <v>17</v>
      </c>
      <c r="L5" s="341" t="s">
        <v>18</v>
      </c>
      <c r="M5" s="341" t="s">
        <v>19</v>
      </c>
      <c r="N5" s="34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0.34681962876884243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0.34681962876884243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L8+3024+3374+3254+1094</f>
        <v>10746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0.34681962876884243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129</v>
      </c>
      <c r="D9" s="55" t="s">
        <v>142</v>
      </c>
      <c r="E9" s="57" t="s">
        <v>959</v>
      </c>
      <c r="F9" s="33" t="s">
        <v>960</v>
      </c>
      <c r="G9" s="36">
        <v>2</v>
      </c>
      <c r="H9" s="38">
        <v>25</v>
      </c>
      <c r="I9" s="7">
        <v>30000</v>
      </c>
      <c r="J9" s="5">
        <v>3550</v>
      </c>
      <c r="K9" s="15">
        <f>L9</f>
        <v>3546</v>
      </c>
      <c r="L9" s="15">
        <f>1773*2</f>
        <v>3546</v>
      </c>
      <c r="M9" s="16">
        <f t="shared" si="0"/>
        <v>3546</v>
      </c>
      <c r="N9" s="16">
        <v>0</v>
      </c>
      <c r="O9" s="62">
        <f t="shared" si="1"/>
        <v>0</v>
      </c>
      <c r="P9" s="42">
        <f t="shared" si="2"/>
        <v>7</v>
      </c>
      <c r="Q9" s="43">
        <f t="shared" si="3"/>
        <v>17</v>
      </c>
      <c r="R9" s="7"/>
      <c r="S9" s="6">
        <v>17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0.99887323943661976</v>
      </c>
      <c r="AC9" s="9">
        <f t="shared" si="5"/>
        <v>0.29166666666666669</v>
      </c>
      <c r="AD9" s="10">
        <f t="shared" si="6"/>
        <v>0.29133802816901411</v>
      </c>
      <c r="AE9" s="39">
        <f t="shared" si="7"/>
        <v>0.34681962876884243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16150</v>
      </c>
      <c r="K10" s="15">
        <f>L10+6534+16360+16954+16456+16062+8812+14136+16892+17050+7992</f>
        <v>153394</v>
      </c>
      <c r="L10" s="15">
        <f>4403*2+3670*2</f>
        <v>16146</v>
      </c>
      <c r="M10" s="16">
        <f t="shared" si="0"/>
        <v>16146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0.99975232198142416</v>
      </c>
      <c r="AC10" s="9">
        <f t="shared" si="5"/>
        <v>1</v>
      </c>
      <c r="AD10" s="10">
        <f t="shared" si="6"/>
        <v>0.99975232198142416</v>
      </c>
      <c r="AE10" s="39">
        <f t="shared" si="7"/>
        <v>0.34681962876884243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0.34681962876884243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237</v>
      </c>
      <c r="D12" s="55" t="s">
        <v>961</v>
      </c>
      <c r="E12" s="57" t="s">
        <v>962</v>
      </c>
      <c r="F12" s="12" t="s">
        <v>963</v>
      </c>
      <c r="G12" s="12">
        <v>1</v>
      </c>
      <c r="H12" s="13">
        <v>25</v>
      </c>
      <c r="I12" s="7">
        <v>3500</v>
      </c>
      <c r="J12" s="14">
        <v>2710</v>
      </c>
      <c r="K12" s="15">
        <f>L12</f>
        <v>2703</v>
      </c>
      <c r="L12" s="15">
        <f>2703</f>
        <v>2703</v>
      </c>
      <c r="M12" s="16">
        <f t="shared" si="0"/>
        <v>2703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>
        <v>10</v>
      </c>
      <c r="U12" s="17"/>
      <c r="V12" s="18"/>
      <c r="W12" s="19"/>
      <c r="X12" s="17"/>
      <c r="Y12" s="20"/>
      <c r="Z12" s="20"/>
      <c r="AA12" s="21"/>
      <c r="AB12" s="8">
        <f t="shared" si="4"/>
        <v>0.99741697416974173</v>
      </c>
      <c r="AC12" s="9">
        <f t="shared" si="5"/>
        <v>0.58333333333333337</v>
      </c>
      <c r="AD12" s="10">
        <f t="shared" si="6"/>
        <v>0.58182656826568269</v>
      </c>
      <c r="AE12" s="39">
        <f t="shared" si="7"/>
        <v>0.34681962876884243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896</v>
      </c>
      <c r="G13" s="12">
        <v>2</v>
      </c>
      <c r="H13" s="13">
        <v>25</v>
      </c>
      <c r="I13" s="7">
        <v>40000</v>
      </c>
      <c r="J13" s="14">
        <v>13160</v>
      </c>
      <c r="K13" s="15">
        <f>L13+8464+6700</f>
        <v>28316</v>
      </c>
      <c r="L13" s="15">
        <f>3698*2+2878*2</f>
        <v>13152</v>
      </c>
      <c r="M13" s="16">
        <f t="shared" si="0"/>
        <v>13152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0.99939209726443767</v>
      </c>
      <c r="AC13" s="9">
        <f t="shared" si="5"/>
        <v>1</v>
      </c>
      <c r="AD13" s="10">
        <f t="shared" si="6"/>
        <v>0.99939209726443767</v>
      </c>
      <c r="AE13" s="39">
        <f t="shared" si="7"/>
        <v>0.34681962876884243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0.34681962876884243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0.34681962876884243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10990</v>
      </c>
      <c r="K16" s="15">
        <f>L16+8022+9598+11782+11798+11816+11788+12090+6818+11506+11028+9460+5364</f>
        <v>132054</v>
      </c>
      <c r="L16" s="15">
        <f>3034*2+2458*2</f>
        <v>10984</v>
      </c>
      <c r="M16" s="16">
        <f t="shared" si="0"/>
        <v>10984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0.99945404913557778</v>
      </c>
      <c r="AC16" s="9">
        <f t="shared" si="5"/>
        <v>1</v>
      </c>
      <c r="AD16" s="10">
        <f t="shared" si="6"/>
        <v>0.99945404913557778</v>
      </c>
      <c r="AE16" s="39">
        <f t="shared" si="7"/>
        <v>0.34681962876884243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900</v>
      </c>
      <c r="D17" s="55"/>
      <c r="E17" s="57" t="s">
        <v>901</v>
      </c>
      <c r="F17" s="12" t="s">
        <v>902</v>
      </c>
      <c r="G17" s="12">
        <v>1</v>
      </c>
      <c r="H17" s="13">
        <v>25</v>
      </c>
      <c r="I17" s="34">
        <v>5000</v>
      </c>
      <c r="J17" s="5">
        <v>2380</v>
      </c>
      <c r="K17" s="15">
        <f>L17+2690+2377</f>
        <v>5067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0.34681962876884243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247</v>
      </c>
      <c r="D18" s="55" t="s">
        <v>904</v>
      </c>
      <c r="E18" s="57" t="s">
        <v>964</v>
      </c>
      <c r="F18" s="33" t="s">
        <v>965</v>
      </c>
      <c r="G18" s="36">
        <v>1</v>
      </c>
      <c r="H18" s="38">
        <v>25</v>
      </c>
      <c r="I18" s="7">
        <v>2000</v>
      </c>
      <c r="J18" s="5">
        <v>2170</v>
      </c>
      <c r="K18" s="15">
        <f>L18</f>
        <v>2168</v>
      </c>
      <c r="L18" s="15">
        <f>1771+397</f>
        <v>2168</v>
      </c>
      <c r="M18" s="16">
        <f t="shared" si="0"/>
        <v>2168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/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0.99907834101382487</v>
      </c>
      <c r="AC18" s="9">
        <f t="shared" si="5"/>
        <v>0.5</v>
      </c>
      <c r="AD18" s="10">
        <f t="shared" si="6"/>
        <v>0.49953917050691243</v>
      </c>
      <c r="AE18" s="39">
        <f t="shared" si="7"/>
        <v>0.34681962876884243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933</v>
      </c>
      <c r="D19" s="55" t="s">
        <v>934</v>
      </c>
      <c r="E19" s="57" t="s">
        <v>935</v>
      </c>
      <c r="F19" s="12" t="s">
        <v>936</v>
      </c>
      <c r="G19" s="12">
        <v>1</v>
      </c>
      <c r="H19" s="13">
        <v>25</v>
      </c>
      <c r="I19" s="7">
        <v>1000</v>
      </c>
      <c r="J19" s="14">
        <v>1810</v>
      </c>
      <c r="K19" s="15">
        <f>L19+1803</f>
        <v>1803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0.34681962876884243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29900</v>
      </c>
      <c r="K20" s="15">
        <f>L20+29128+42972+45096+45728+43064+5640</f>
        <v>241444</v>
      </c>
      <c r="L20" s="15">
        <f>5670*4+1784*4</f>
        <v>29816</v>
      </c>
      <c r="M20" s="16">
        <f t="shared" si="0"/>
        <v>29816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0.99719063545150499</v>
      </c>
      <c r="AC20" s="9">
        <f t="shared" si="5"/>
        <v>0.83333333333333337</v>
      </c>
      <c r="AD20" s="10">
        <f t="shared" si="6"/>
        <v>0.83099219620958753</v>
      </c>
      <c r="AE20" s="39">
        <f t="shared" si="7"/>
        <v>0.34681962876884243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1210850</v>
      </c>
      <c r="J21" s="22">
        <f t="shared" si="9"/>
        <v>91835</v>
      </c>
      <c r="K21" s="23">
        <f t="shared" si="9"/>
        <v>616468</v>
      </c>
      <c r="L21" s="24">
        <f t="shared" si="9"/>
        <v>78515</v>
      </c>
      <c r="M21" s="23">
        <f t="shared" si="9"/>
        <v>78515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125</v>
      </c>
      <c r="Q21" s="46">
        <f t="shared" si="10"/>
        <v>235</v>
      </c>
      <c r="R21" s="26">
        <f t="shared" si="10"/>
        <v>0</v>
      </c>
      <c r="S21" s="27">
        <f t="shared" si="10"/>
        <v>21</v>
      </c>
      <c r="T21" s="27">
        <f t="shared" si="10"/>
        <v>10</v>
      </c>
      <c r="U21" s="27">
        <f t="shared" si="10"/>
        <v>0</v>
      </c>
      <c r="V21" s="28">
        <f t="shared" si="10"/>
        <v>0</v>
      </c>
      <c r="W21" s="29">
        <f t="shared" si="10"/>
        <v>180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0.46607717723020875</v>
      </c>
      <c r="AC21" s="4">
        <f>SUM(AC6:AC20)/15</f>
        <v>0.34722222222222221</v>
      </c>
      <c r="AD21" s="4">
        <f>SUM(AD6:AD20)/15</f>
        <v>0.34681962876884243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966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983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342" t="s">
        <v>46</v>
      </c>
      <c r="D50" s="342" t="s">
        <v>47</v>
      </c>
      <c r="E50" s="342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342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968</v>
      </c>
      <c r="B51" s="447"/>
      <c r="C51" s="344" t="s">
        <v>969</v>
      </c>
      <c r="D51" s="344"/>
      <c r="E51" s="344" t="s">
        <v>989</v>
      </c>
      <c r="F51" s="445" t="s">
        <v>970</v>
      </c>
      <c r="G51" s="445"/>
      <c r="H51" s="445"/>
      <c r="I51" s="445"/>
      <c r="J51" s="445"/>
      <c r="K51" s="445"/>
      <c r="L51" s="445"/>
      <c r="M51" s="446"/>
      <c r="N51" s="348" t="s">
        <v>237</v>
      </c>
      <c r="O51" s="74" t="s">
        <v>949</v>
      </c>
      <c r="P51" s="447" t="s">
        <v>984</v>
      </c>
      <c r="Q51" s="447"/>
      <c r="R51" s="447" t="s">
        <v>985</v>
      </c>
      <c r="S51" s="447"/>
      <c r="T51" s="447"/>
      <c r="U51" s="447"/>
      <c r="V51" s="445" t="s">
        <v>928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972</v>
      </c>
      <c r="B52" s="447"/>
      <c r="C52" s="344" t="s">
        <v>973</v>
      </c>
      <c r="D52" s="344" t="s">
        <v>974</v>
      </c>
      <c r="E52" s="344" t="s">
        <v>971</v>
      </c>
      <c r="F52" s="445" t="s">
        <v>975</v>
      </c>
      <c r="G52" s="445"/>
      <c r="H52" s="445"/>
      <c r="I52" s="445"/>
      <c r="J52" s="445"/>
      <c r="K52" s="445"/>
      <c r="L52" s="445"/>
      <c r="M52" s="446"/>
      <c r="N52" s="348" t="s">
        <v>237</v>
      </c>
      <c r="O52" s="74" t="s">
        <v>909</v>
      </c>
      <c r="P52" s="447" t="s">
        <v>986</v>
      </c>
      <c r="Q52" s="447"/>
      <c r="R52" s="447" t="s">
        <v>987</v>
      </c>
      <c r="S52" s="447"/>
      <c r="T52" s="447"/>
      <c r="U52" s="447"/>
      <c r="V52" s="445" t="s">
        <v>928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977</v>
      </c>
      <c r="B53" s="447"/>
      <c r="C53" s="344" t="s">
        <v>978</v>
      </c>
      <c r="D53" s="344" t="s">
        <v>979</v>
      </c>
      <c r="E53" s="344" t="s">
        <v>976</v>
      </c>
      <c r="F53" s="445" t="s">
        <v>975</v>
      </c>
      <c r="G53" s="445"/>
      <c r="H53" s="445"/>
      <c r="I53" s="445"/>
      <c r="J53" s="445"/>
      <c r="K53" s="445"/>
      <c r="L53" s="445"/>
      <c r="M53" s="446"/>
      <c r="N53" s="348" t="s">
        <v>988</v>
      </c>
      <c r="O53" s="74" t="s">
        <v>969</v>
      </c>
      <c r="P53" s="447"/>
      <c r="Q53" s="447"/>
      <c r="R53" s="447" t="s">
        <v>967</v>
      </c>
      <c r="S53" s="447"/>
      <c r="T53" s="447"/>
      <c r="U53" s="447"/>
      <c r="V53" s="445" t="s">
        <v>990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980</v>
      </c>
      <c r="B54" s="447"/>
      <c r="C54" s="344" t="s">
        <v>981</v>
      </c>
      <c r="D54" s="344"/>
      <c r="E54" s="344" t="s">
        <v>982</v>
      </c>
      <c r="F54" s="445" t="s">
        <v>975</v>
      </c>
      <c r="G54" s="445"/>
      <c r="H54" s="445"/>
      <c r="I54" s="445"/>
      <c r="J54" s="445"/>
      <c r="K54" s="445"/>
      <c r="L54" s="445"/>
      <c r="M54" s="446"/>
      <c r="N54" s="348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44"/>
      <c r="D55" s="344"/>
      <c r="E55" s="344"/>
      <c r="F55" s="445"/>
      <c r="G55" s="445"/>
      <c r="H55" s="445"/>
      <c r="I55" s="445"/>
      <c r="J55" s="445"/>
      <c r="K55" s="445"/>
      <c r="L55" s="445"/>
      <c r="M55" s="446"/>
      <c r="N55" s="348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343"/>
      <c r="D56" s="344"/>
      <c r="E56" s="343"/>
      <c r="F56" s="445"/>
      <c r="G56" s="445"/>
      <c r="H56" s="445"/>
      <c r="I56" s="445"/>
      <c r="J56" s="445"/>
      <c r="K56" s="445"/>
      <c r="L56" s="445"/>
      <c r="M56" s="446"/>
      <c r="N56" s="348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43"/>
      <c r="D57" s="344"/>
      <c r="E57" s="343"/>
      <c r="F57" s="445"/>
      <c r="G57" s="445"/>
      <c r="H57" s="445"/>
      <c r="I57" s="445"/>
      <c r="J57" s="445"/>
      <c r="K57" s="445"/>
      <c r="L57" s="445"/>
      <c r="M57" s="446"/>
      <c r="N57" s="348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43"/>
      <c r="D58" s="344"/>
      <c r="E58" s="343"/>
      <c r="F58" s="445"/>
      <c r="G58" s="445"/>
      <c r="H58" s="445"/>
      <c r="I58" s="445"/>
      <c r="J58" s="445"/>
      <c r="K58" s="445"/>
      <c r="L58" s="445"/>
      <c r="M58" s="446"/>
      <c r="N58" s="348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344"/>
      <c r="D59" s="344"/>
      <c r="E59" s="344"/>
      <c r="F59" s="445"/>
      <c r="G59" s="445"/>
      <c r="H59" s="445"/>
      <c r="I59" s="445"/>
      <c r="J59" s="445"/>
      <c r="K59" s="445"/>
      <c r="L59" s="445"/>
      <c r="M59" s="446"/>
      <c r="N59" s="348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346"/>
      <c r="D60" s="346"/>
      <c r="E60" s="346"/>
      <c r="F60" s="452"/>
      <c r="G60" s="452"/>
      <c r="H60" s="452"/>
      <c r="I60" s="452"/>
      <c r="J60" s="452"/>
      <c r="K60" s="452"/>
      <c r="L60" s="452"/>
      <c r="M60" s="453"/>
      <c r="N60" s="345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991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347" t="s">
        <v>2</v>
      </c>
      <c r="D62" s="347" t="s">
        <v>37</v>
      </c>
      <c r="E62" s="347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347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972</v>
      </c>
      <c r="D63" s="351"/>
      <c r="E63" s="349" t="s">
        <v>993</v>
      </c>
      <c r="F63" s="464" t="s">
        <v>992</v>
      </c>
      <c r="G63" s="465"/>
      <c r="H63" s="465"/>
      <c r="I63" s="465"/>
      <c r="J63" s="465"/>
      <c r="K63" s="465" t="s">
        <v>994</v>
      </c>
      <c r="L63" s="465"/>
      <c r="M63" s="54" t="s">
        <v>995</v>
      </c>
      <c r="N63" s="465">
        <v>12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351"/>
      <c r="E64" s="349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351"/>
      <c r="E65" s="349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351"/>
      <c r="E66" s="349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351"/>
      <c r="E67" s="349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351"/>
      <c r="E68" s="349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51"/>
      <c r="E69" s="349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51"/>
      <c r="E70" s="349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996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50" t="s">
        <v>2</v>
      </c>
      <c r="D72" s="350" t="s">
        <v>37</v>
      </c>
      <c r="E72" s="350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352" t="s">
        <v>114</v>
      </c>
      <c r="D73" s="352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51" t="s">
        <v>114</v>
      </c>
      <c r="D74" s="351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351"/>
      <c r="D75" s="351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351"/>
      <c r="D76" s="351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351"/>
      <c r="D77" s="351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351"/>
      <c r="D78" s="351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351"/>
      <c r="D79" s="351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351"/>
      <c r="D80" s="351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351"/>
      <c r="D81" s="351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997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998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64" t="s">
        <v>17</v>
      </c>
      <c r="L5" s="364" t="s">
        <v>18</v>
      </c>
      <c r="M5" s="364" t="s">
        <v>19</v>
      </c>
      <c r="N5" s="36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0.45244852734121099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0.45244852734121099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L8+3024+3374+3254+1094</f>
        <v>10746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0.45244852734121099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129</v>
      </c>
      <c r="D9" s="55" t="s">
        <v>142</v>
      </c>
      <c r="E9" s="57" t="s">
        <v>959</v>
      </c>
      <c r="F9" s="33" t="s">
        <v>960</v>
      </c>
      <c r="G9" s="36">
        <v>2</v>
      </c>
      <c r="H9" s="38">
        <v>25</v>
      </c>
      <c r="I9" s="7">
        <v>30000</v>
      </c>
      <c r="J9" s="5">
        <v>9090</v>
      </c>
      <c r="K9" s="15">
        <f>L9+3546</f>
        <v>12632</v>
      </c>
      <c r="L9" s="15">
        <f>4543*2</f>
        <v>9086</v>
      </c>
      <c r="M9" s="16">
        <f t="shared" si="0"/>
        <v>9086</v>
      </c>
      <c r="N9" s="16">
        <v>0</v>
      </c>
      <c r="O9" s="62">
        <f t="shared" si="1"/>
        <v>0</v>
      </c>
      <c r="P9" s="42">
        <f t="shared" si="2"/>
        <v>16</v>
      </c>
      <c r="Q9" s="43">
        <f t="shared" si="3"/>
        <v>8</v>
      </c>
      <c r="R9" s="7"/>
      <c r="S9" s="6">
        <v>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0.99955995599559955</v>
      </c>
      <c r="AC9" s="9">
        <f t="shared" si="5"/>
        <v>0.66666666666666663</v>
      </c>
      <c r="AD9" s="10">
        <f t="shared" si="6"/>
        <v>0.66637330399706629</v>
      </c>
      <c r="AE9" s="39">
        <f t="shared" si="7"/>
        <v>0.45244852734121099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16790</v>
      </c>
      <c r="K10" s="15">
        <f>L10+6534+16360+16954+16456+16062+8812+14136+16892+17050+7992+16146</f>
        <v>170176</v>
      </c>
      <c r="L10" s="15">
        <f>4316*2+4075*2</f>
        <v>16782</v>
      </c>
      <c r="M10" s="16">
        <f t="shared" si="0"/>
        <v>16782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0.99952352590827875</v>
      </c>
      <c r="AC10" s="9">
        <f t="shared" si="5"/>
        <v>1</v>
      </c>
      <c r="AD10" s="10">
        <f t="shared" si="6"/>
        <v>0.99952352590827875</v>
      </c>
      <c r="AE10" s="39">
        <f t="shared" si="7"/>
        <v>0.45244852734121099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0.45244852734121099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237</v>
      </c>
      <c r="D12" s="55" t="s">
        <v>961</v>
      </c>
      <c r="E12" s="57" t="s">
        <v>962</v>
      </c>
      <c r="F12" s="12" t="s">
        <v>963</v>
      </c>
      <c r="G12" s="12">
        <v>1</v>
      </c>
      <c r="H12" s="13">
        <v>25</v>
      </c>
      <c r="I12" s="7">
        <v>3500</v>
      </c>
      <c r="J12" s="14">
        <v>1850</v>
      </c>
      <c r="K12" s="15">
        <f>L12+2703</f>
        <v>4548</v>
      </c>
      <c r="L12" s="15">
        <v>1845</v>
      </c>
      <c r="M12" s="16">
        <f t="shared" si="0"/>
        <v>1845</v>
      </c>
      <c r="N12" s="16">
        <v>0</v>
      </c>
      <c r="O12" s="62">
        <f t="shared" si="1"/>
        <v>0</v>
      </c>
      <c r="P12" s="42">
        <f t="shared" si="2"/>
        <v>8</v>
      </c>
      <c r="Q12" s="43">
        <f t="shared" si="3"/>
        <v>16</v>
      </c>
      <c r="R12" s="7"/>
      <c r="S12" s="6"/>
      <c r="T12" s="17"/>
      <c r="U12" s="17"/>
      <c r="V12" s="18"/>
      <c r="W12" s="19">
        <v>16</v>
      </c>
      <c r="X12" s="17"/>
      <c r="Y12" s="20"/>
      <c r="Z12" s="20"/>
      <c r="AA12" s="21"/>
      <c r="AB12" s="8">
        <f t="shared" si="4"/>
        <v>0.99729729729729732</v>
      </c>
      <c r="AC12" s="9">
        <f t="shared" si="5"/>
        <v>0.33333333333333331</v>
      </c>
      <c r="AD12" s="10">
        <f t="shared" si="6"/>
        <v>0.33243243243243242</v>
      </c>
      <c r="AE12" s="39">
        <f t="shared" si="7"/>
        <v>0.45244852734121099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896</v>
      </c>
      <c r="G13" s="12">
        <v>2</v>
      </c>
      <c r="H13" s="13">
        <v>25</v>
      </c>
      <c r="I13" s="7">
        <v>40000</v>
      </c>
      <c r="J13" s="14">
        <v>11070</v>
      </c>
      <c r="K13" s="15">
        <f>L13+8464+6700+13152</f>
        <v>39384</v>
      </c>
      <c r="L13" s="15">
        <f>2125*2+3409*2</f>
        <v>11068</v>
      </c>
      <c r="M13" s="16">
        <f t="shared" si="0"/>
        <v>11068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0.99981933152664859</v>
      </c>
      <c r="AC13" s="9">
        <f t="shared" si="5"/>
        <v>1</v>
      </c>
      <c r="AD13" s="10">
        <f t="shared" si="6"/>
        <v>0.99981933152664859</v>
      </c>
      <c r="AE13" s="39">
        <f t="shared" si="7"/>
        <v>0.45244852734121099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0.45244852734121099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0.45244852734121099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11690</v>
      </c>
      <c r="K16" s="15">
        <f>L16+8022+9598+11782+11798+11816+11788+12090+6818+11506+11028+9460+5364+10984</f>
        <v>143736</v>
      </c>
      <c r="L16" s="15">
        <f>3056*2+2785*2</f>
        <v>11682</v>
      </c>
      <c r="M16" s="16">
        <f t="shared" si="0"/>
        <v>11682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0.99931565440547476</v>
      </c>
      <c r="AC16" s="9">
        <f t="shared" si="5"/>
        <v>1</v>
      </c>
      <c r="AD16" s="10">
        <f t="shared" si="6"/>
        <v>0.99931565440547476</v>
      </c>
      <c r="AE16" s="39">
        <f t="shared" si="7"/>
        <v>0.45244852734121099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999</v>
      </c>
      <c r="E17" s="57" t="s">
        <v>1000</v>
      </c>
      <c r="F17" s="12" t="s">
        <v>1001</v>
      </c>
      <c r="G17" s="12">
        <v>1</v>
      </c>
      <c r="H17" s="13">
        <v>25</v>
      </c>
      <c r="I17" s="34">
        <v>1700</v>
      </c>
      <c r="J17" s="5">
        <v>416</v>
      </c>
      <c r="K17" s="15">
        <f>L17</f>
        <v>416</v>
      </c>
      <c r="L17" s="15">
        <v>416</v>
      </c>
      <c r="M17" s="16">
        <f t="shared" si="0"/>
        <v>416</v>
      </c>
      <c r="N17" s="16">
        <v>0</v>
      </c>
      <c r="O17" s="62">
        <f t="shared" si="1"/>
        <v>0</v>
      </c>
      <c r="P17" s="42">
        <f t="shared" si="2"/>
        <v>3</v>
      </c>
      <c r="Q17" s="43">
        <f t="shared" si="3"/>
        <v>21</v>
      </c>
      <c r="R17" s="7"/>
      <c r="S17" s="6">
        <v>21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0.125</v>
      </c>
      <c r="AD17" s="10">
        <f t="shared" si="6"/>
        <v>0.125</v>
      </c>
      <c r="AE17" s="39">
        <f t="shared" si="7"/>
        <v>0.45244852734121099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121</v>
      </c>
      <c r="D18" s="55" t="s">
        <v>1002</v>
      </c>
      <c r="E18" s="57" t="s">
        <v>1003</v>
      </c>
      <c r="F18" s="33" t="s">
        <v>140</v>
      </c>
      <c r="G18" s="36">
        <v>1</v>
      </c>
      <c r="H18" s="38">
        <v>25</v>
      </c>
      <c r="I18" s="7">
        <v>7000</v>
      </c>
      <c r="J18" s="5">
        <v>3000</v>
      </c>
      <c r="K18" s="15">
        <f>L18</f>
        <v>2996</v>
      </c>
      <c r="L18" s="15">
        <f>632+2364</f>
        <v>2996</v>
      </c>
      <c r="M18" s="16">
        <f t="shared" si="0"/>
        <v>2996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>
        <v>5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0.9986666666666667</v>
      </c>
      <c r="AC18" s="9">
        <f t="shared" si="5"/>
        <v>0.79166666666666663</v>
      </c>
      <c r="AD18" s="10">
        <f t="shared" si="6"/>
        <v>0.79061111111111115</v>
      </c>
      <c r="AE18" s="39">
        <f t="shared" si="7"/>
        <v>0.45244852734121099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121</v>
      </c>
      <c r="D19" s="55" t="s">
        <v>1004</v>
      </c>
      <c r="E19" s="57" t="s">
        <v>1005</v>
      </c>
      <c r="F19" s="12" t="s">
        <v>1006</v>
      </c>
      <c r="G19" s="12">
        <v>1</v>
      </c>
      <c r="H19" s="13">
        <v>25</v>
      </c>
      <c r="I19" s="7">
        <v>3500</v>
      </c>
      <c r="J19" s="14">
        <v>3770</v>
      </c>
      <c r="K19" s="15">
        <f>L19</f>
        <v>3767</v>
      </c>
      <c r="L19" s="15">
        <f>2167+1600</f>
        <v>3767</v>
      </c>
      <c r="M19" s="16">
        <f t="shared" si="0"/>
        <v>3767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0.99920424403183028</v>
      </c>
      <c r="AC19" s="9">
        <f t="shared" si="5"/>
        <v>0.875</v>
      </c>
      <c r="AD19" s="10">
        <f t="shared" si="6"/>
        <v>0.87430371352785152</v>
      </c>
      <c r="AE19" s="39">
        <f t="shared" si="7"/>
        <v>0.45244852734121099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43000</v>
      </c>
      <c r="K20" s="15">
        <f>L20+29128+42972+45096+45728+43064+5640+29816</f>
        <v>284416</v>
      </c>
      <c r="L20" s="15">
        <f>5396*4+5347*4</f>
        <v>42972</v>
      </c>
      <c r="M20" s="16">
        <f t="shared" si="0"/>
        <v>42972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0.99934883720930234</v>
      </c>
      <c r="AC20" s="9">
        <f t="shared" si="5"/>
        <v>1</v>
      </c>
      <c r="AD20" s="10">
        <f t="shared" si="6"/>
        <v>0.99934883720930234</v>
      </c>
      <c r="AE20" s="39">
        <f t="shared" si="7"/>
        <v>0.45244852734121099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1215050</v>
      </c>
      <c r="J21" s="22">
        <f t="shared" si="9"/>
        <v>109691</v>
      </c>
      <c r="K21" s="23">
        <f t="shared" si="9"/>
        <v>708044</v>
      </c>
      <c r="L21" s="24">
        <f t="shared" si="9"/>
        <v>100614</v>
      </c>
      <c r="M21" s="23">
        <f t="shared" si="9"/>
        <v>100614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163</v>
      </c>
      <c r="Q21" s="46">
        <f t="shared" si="10"/>
        <v>197</v>
      </c>
      <c r="R21" s="26">
        <f t="shared" si="10"/>
        <v>0</v>
      </c>
      <c r="S21" s="27">
        <f t="shared" si="10"/>
        <v>37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136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0.59951570086940664</v>
      </c>
      <c r="AC21" s="4">
        <f>SUM(AC6:AC20)/15</f>
        <v>0.45277777777777778</v>
      </c>
      <c r="AD21" s="4">
        <f>SUM(AD6:AD20)/15</f>
        <v>0.45244852734121099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1007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1015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363" t="s">
        <v>46</v>
      </c>
      <c r="D50" s="363" t="s">
        <v>47</v>
      </c>
      <c r="E50" s="363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363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968</v>
      </c>
      <c r="B51" s="447"/>
      <c r="C51" s="359" t="s">
        <v>969</v>
      </c>
      <c r="D51" s="359"/>
      <c r="E51" s="359" t="s">
        <v>989</v>
      </c>
      <c r="F51" s="445" t="s">
        <v>1008</v>
      </c>
      <c r="G51" s="445"/>
      <c r="H51" s="445"/>
      <c r="I51" s="445"/>
      <c r="J51" s="445"/>
      <c r="K51" s="445"/>
      <c r="L51" s="445"/>
      <c r="M51" s="446"/>
      <c r="N51" s="358" t="s">
        <v>237</v>
      </c>
      <c r="O51" s="74" t="s">
        <v>1016</v>
      </c>
      <c r="P51" s="447" t="s">
        <v>1017</v>
      </c>
      <c r="Q51" s="447"/>
      <c r="R51" s="447" t="s">
        <v>1018</v>
      </c>
      <c r="S51" s="447"/>
      <c r="T51" s="447"/>
      <c r="U51" s="447"/>
      <c r="V51" s="445" t="s">
        <v>928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972</v>
      </c>
      <c r="B52" s="447"/>
      <c r="C52" s="359" t="s">
        <v>457</v>
      </c>
      <c r="D52" s="359" t="s">
        <v>1002</v>
      </c>
      <c r="E52" s="359" t="s">
        <v>1009</v>
      </c>
      <c r="F52" s="445" t="s">
        <v>975</v>
      </c>
      <c r="G52" s="445"/>
      <c r="H52" s="445"/>
      <c r="I52" s="445"/>
      <c r="J52" s="445"/>
      <c r="K52" s="445"/>
      <c r="L52" s="445"/>
      <c r="M52" s="446"/>
      <c r="N52" s="358" t="s">
        <v>1020</v>
      </c>
      <c r="O52" s="74" t="s">
        <v>1021</v>
      </c>
      <c r="P52" s="447" t="s">
        <v>1004</v>
      </c>
      <c r="Q52" s="447"/>
      <c r="R52" s="447" t="s">
        <v>1022</v>
      </c>
      <c r="S52" s="447"/>
      <c r="T52" s="447"/>
      <c r="U52" s="447"/>
      <c r="V52" s="445" t="s">
        <v>1023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1010</v>
      </c>
      <c r="B53" s="447"/>
      <c r="C53" s="359" t="s">
        <v>1011</v>
      </c>
      <c r="D53" s="359" t="s">
        <v>125</v>
      </c>
      <c r="E53" s="359" t="s">
        <v>1012</v>
      </c>
      <c r="F53" s="445" t="s">
        <v>1019</v>
      </c>
      <c r="G53" s="445"/>
      <c r="H53" s="445"/>
      <c r="I53" s="445"/>
      <c r="J53" s="445"/>
      <c r="K53" s="445"/>
      <c r="L53" s="445"/>
      <c r="M53" s="446"/>
      <c r="N53" s="358"/>
      <c r="O53" s="74"/>
      <c r="P53" s="447"/>
      <c r="Q53" s="447"/>
      <c r="R53" s="447"/>
      <c r="S53" s="447"/>
      <c r="T53" s="447"/>
      <c r="U53" s="447"/>
      <c r="V53" s="445"/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121</v>
      </c>
      <c r="B54" s="447"/>
      <c r="C54" s="359" t="s">
        <v>1013</v>
      </c>
      <c r="D54" s="359" t="s">
        <v>999</v>
      </c>
      <c r="E54" s="359" t="s">
        <v>1000</v>
      </c>
      <c r="F54" s="445" t="s">
        <v>1014</v>
      </c>
      <c r="G54" s="445"/>
      <c r="H54" s="445"/>
      <c r="I54" s="445"/>
      <c r="J54" s="445"/>
      <c r="K54" s="445"/>
      <c r="L54" s="445"/>
      <c r="M54" s="446"/>
      <c r="N54" s="358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59"/>
      <c r="D55" s="359"/>
      <c r="E55" s="359"/>
      <c r="F55" s="445"/>
      <c r="G55" s="445"/>
      <c r="H55" s="445"/>
      <c r="I55" s="445"/>
      <c r="J55" s="445"/>
      <c r="K55" s="445"/>
      <c r="L55" s="445"/>
      <c r="M55" s="446"/>
      <c r="N55" s="358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362"/>
      <c r="D56" s="359"/>
      <c r="E56" s="362"/>
      <c r="F56" s="445"/>
      <c r="G56" s="445"/>
      <c r="H56" s="445"/>
      <c r="I56" s="445"/>
      <c r="J56" s="445"/>
      <c r="K56" s="445"/>
      <c r="L56" s="445"/>
      <c r="M56" s="446"/>
      <c r="N56" s="358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62"/>
      <c r="D57" s="359"/>
      <c r="E57" s="362"/>
      <c r="F57" s="445"/>
      <c r="G57" s="445"/>
      <c r="H57" s="445"/>
      <c r="I57" s="445"/>
      <c r="J57" s="445"/>
      <c r="K57" s="445"/>
      <c r="L57" s="445"/>
      <c r="M57" s="446"/>
      <c r="N57" s="358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62"/>
      <c r="D58" s="359"/>
      <c r="E58" s="362"/>
      <c r="F58" s="445"/>
      <c r="G58" s="445"/>
      <c r="H58" s="445"/>
      <c r="I58" s="445"/>
      <c r="J58" s="445"/>
      <c r="K58" s="445"/>
      <c r="L58" s="445"/>
      <c r="M58" s="446"/>
      <c r="N58" s="358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359"/>
      <c r="D59" s="359"/>
      <c r="E59" s="359"/>
      <c r="F59" s="445"/>
      <c r="G59" s="445"/>
      <c r="H59" s="445"/>
      <c r="I59" s="445"/>
      <c r="J59" s="445"/>
      <c r="K59" s="445"/>
      <c r="L59" s="445"/>
      <c r="M59" s="446"/>
      <c r="N59" s="358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361"/>
      <c r="D60" s="361"/>
      <c r="E60" s="361"/>
      <c r="F60" s="452"/>
      <c r="G60" s="452"/>
      <c r="H60" s="452"/>
      <c r="I60" s="452"/>
      <c r="J60" s="452"/>
      <c r="K60" s="452"/>
      <c r="L60" s="452"/>
      <c r="M60" s="453"/>
      <c r="N60" s="360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1033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357" t="s">
        <v>2</v>
      </c>
      <c r="D62" s="357" t="s">
        <v>37</v>
      </c>
      <c r="E62" s="357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357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1025</v>
      </c>
      <c r="D63" s="353"/>
      <c r="E63" s="356" t="s">
        <v>1026</v>
      </c>
      <c r="F63" s="464" t="s">
        <v>1024</v>
      </c>
      <c r="G63" s="465"/>
      <c r="H63" s="465"/>
      <c r="I63" s="465"/>
      <c r="J63" s="465"/>
      <c r="K63" s="465" t="s">
        <v>1027</v>
      </c>
      <c r="L63" s="465"/>
      <c r="M63" s="54" t="s">
        <v>995</v>
      </c>
      <c r="N63" s="465">
        <v>6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1028</v>
      </c>
      <c r="D64" s="353"/>
      <c r="E64" s="356" t="s">
        <v>1029</v>
      </c>
      <c r="F64" s="464" t="s">
        <v>1030</v>
      </c>
      <c r="G64" s="465"/>
      <c r="H64" s="465"/>
      <c r="I64" s="465"/>
      <c r="J64" s="465"/>
      <c r="K64" s="465" t="s">
        <v>1031</v>
      </c>
      <c r="L64" s="465"/>
      <c r="M64" s="54" t="s">
        <v>995</v>
      </c>
      <c r="N64" s="465">
        <v>10</v>
      </c>
      <c r="O64" s="465"/>
      <c r="P64" s="466">
        <v>50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353"/>
      <c r="E65" s="356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353"/>
      <c r="E66" s="356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353"/>
      <c r="E67" s="356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353"/>
      <c r="E68" s="356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53"/>
      <c r="E69" s="356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53"/>
      <c r="E70" s="356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1032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55" t="s">
        <v>2</v>
      </c>
      <c r="D72" s="355" t="s">
        <v>37</v>
      </c>
      <c r="E72" s="355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354" t="s">
        <v>114</v>
      </c>
      <c r="D73" s="354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53" t="s">
        <v>114</v>
      </c>
      <c r="D74" s="353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353"/>
      <c r="D75" s="353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353"/>
      <c r="D76" s="353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353"/>
      <c r="D77" s="353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353"/>
      <c r="D78" s="353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353"/>
      <c r="D79" s="353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353"/>
      <c r="D80" s="353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353"/>
      <c r="D81" s="353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1034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S21" sqref="S2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1035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65" t="s">
        <v>17</v>
      </c>
      <c r="L5" s="365" t="s">
        <v>18</v>
      </c>
      <c r="M5" s="365" t="s">
        <v>19</v>
      </c>
      <c r="N5" s="36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836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0.42180274583585864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839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0.42180274583585864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L8+3024+3374+3254+1094</f>
        <v>10746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0.42180274583585864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129</v>
      </c>
      <c r="D9" s="55" t="s">
        <v>142</v>
      </c>
      <c r="E9" s="57" t="s">
        <v>959</v>
      </c>
      <c r="F9" s="33" t="s">
        <v>960</v>
      </c>
      <c r="G9" s="36">
        <v>2</v>
      </c>
      <c r="H9" s="38">
        <v>25</v>
      </c>
      <c r="I9" s="7">
        <v>30000</v>
      </c>
      <c r="J9" s="5">
        <v>9670</v>
      </c>
      <c r="K9" s="15">
        <f>L9+3546+9086</f>
        <v>22294</v>
      </c>
      <c r="L9" s="15">
        <f>2115*2+2716*2</f>
        <v>9662</v>
      </c>
      <c r="M9" s="16">
        <f t="shared" si="0"/>
        <v>9662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0.99917269906928641</v>
      </c>
      <c r="AC9" s="9">
        <f t="shared" si="5"/>
        <v>0.79166666666666663</v>
      </c>
      <c r="AD9" s="10">
        <f t="shared" si="6"/>
        <v>0.79101172009651832</v>
      </c>
      <c r="AE9" s="39">
        <f t="shared" si="7"/>
        <v>0.42180274583585864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15460</v>
      </c>
      <c r="K10" s="15">
        <f>L10+6534+16360+16954+16456+16062+8812+14136+16892+17050+7992+16146+16782</f>
        <v>185634</v>
      </c>
      <c r="L10" s="15">
        <f>3994*2+3735*2</f>
        <v>15458</v>
      </c>
      <c r="M10" s="16">
        <f t="shared" si="0"/>
        <v>15458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0.99987063389391984</v>
      </c>
      <c r="AC10" s="9">
        <f t="shared" si="5"/>
        <v>1</v>
      </c>
      <c r="AD10" s="10">
        <f t="shared" si="6"/>
        <v>0.99987063389391984</v>
      </c>
      <c r="AE10" s="39">
        <f t="shared" si="7"/>
        <v>0.42180274583585864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581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0.42180274583585864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237</v>
      </c>
      <c r="D12" s="55" t="s">
        <v>1036</v>
      </c>
      <c r="E12" s="57" t="s">
        <v>1037</v>
      </c>
      <c r="F12" s="12" t="s">
        <v>1038</v>
      </c>
      <c r="G12" s="12">
        <v>1</v>
      </c>
      <c r="H12" s="13">
        <v>25</v>
      </c>
      <c r="I12" s="7">
        <v>3500</v>
      </c>
      <c r="J12" s="14">
        <v>4730</v>
      </c>
      <c r="K12" s="15">
        <f>L12</f>
        <v>4725</v>
      </c>
      <c r="L12" s="15">
        <f>2034+2691</f>
        <v>4725</v>
      </c>
      <c r="M12" s="16">
        <f t="shared" si="0"/>
        <v>4725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0.9989429175475687</v>
      </c>
      <c r="AC12" s="9">
        <f t="shared" si="5"/>
        <v>0.95833333333333337</v>
      </c>
      <c r="AD12" s="10">
        <f t="shared" si="6"/>
        <v>0.95732029598308666</v>
      </c>
      <c r="AE12" s="39">
        <f t="shared" si="7"/>
        <v>0.42180274583585864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896</v>
      </c>
      <c r="G13" s="12">
        <v>2</v>
      </c>
      <c r="H13" s="13">
        <v>25</v>
      </c>
      <c r="I13" s="7">
        <v>40000</v>
      </c>
      <c r="J13" s="14">
        <v>11070</v>
      </c>
      <c r="K13" s="15">
        <f>L13+8464+6700+13152+11068</f>
        <v>39384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0.42180274583585864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0.42180274583585864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0.42180274583585864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492</v>
      </c>
      <c r="F16" s="12" t="s">
        <v>493</v>
      </c>
      <c r="G16" s="12">
        <v>2</v>
      </c>
      <c r="H16" s="13">
        <v>24</v>
      </c>
      <c r="I16" s="34">
        <v>140000</v>
      </c>
      <c r="J16" s="14">
        <v>10700</v>
      </c>
      <c r="K16" s="15">
        <f>L16+8022+9598+11782+11798+11816+11788+12090+6818+11506+11028+9460+5364+10984+11682</f>
        <v>154428</v>
      </c>
      <c r="L16" s="15">
        <f>2996*2+2350*2</f>
        <v>10692</v>
      </c>
      <c r="M16" s="16">
        <f t="shared" si="0"/>
        <v>10692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0.99925233644859812</v>
      </c>
      <c r="AC16" s="9">
        <f t="shared" si="5"/>
        <v>1</v>
      </c>
      <c r="AD16" s="10">
        <f t="shared" si="6"/>
        <v>0.99925233644859812</v>
      </c>
      <c r="AE16" s="39">
        <f t="shared" si="7"/>
        <v>0.42180274583585864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999</v>
      </c>
      <c r="E17" s="57" t="s">
        <v>1000</v>
      </c>
      <c r="F17" s="12" t="s">
        <v>1001</v>
      </c>
      <c r="G17" s="12">
        <v>1</v>
      </c>
      <c r="H17" s="13">
        <v>25</v>
      </c>
      <c r="I17" s="34">
        <v>1700</v>
      </c>
      <c r="J17" s="5">
        <v>416</v>
      </c>
      <c r="K17" s="15">
        <f>L17+416</f>
        <v>416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0.42180274583585864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37" t="s">
        <v>121</v>
      </c>
      <c r="D18" s="55" t="s">
        <v>1002</v>
      </c>
      <c r="E18" s="57" t="s">
        <v>1003</v>
      </c>
      <c r="F18" s="33" t="s">
        <v>140</v>
      </c>
      <c r="G18" s="36">
        <v>1</v>
      </c>
      <c r="H18" s="38">
        <v>25</v>
      </c>
      <c r="I18" s="7">
        <v>7000</v>
      </c>
      <c r="J18" s="5">
        <v>4730</v>
      </c>
      <c r="K18" s="15">
        <f>L18+2996</f>
        <v>7718</v>
      </c>
      <c r="L18" s="15">
        <f>2329+241+2152</f>
        <v>4722</v>
      </c>
      <c r="M18" s="16">
        <f t="shared" si="0"/>
        <v>4722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0.99830866807610996</v>
      </c>
      <c r="AC18" s="9">
        <f t="shared" si="5"/>
        <v>1</v>
      </c>
      <c r="AD18" s="10">
        <f t="shared" si="6"/>
        <v>0.99830866807610996</v>
      </c>
      <c r="AE18" s="39">
        <f t="shared" si="7"/>
        <v>0.42180274583585864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121</v>
      </c>
      <c r="D19" s="55" t="s">
        <v>1004</v>
      </c>
      <c r="E19" s="57" t="s">
        <v>1005</v>
      </c>
      <c r="F19" s="12" t="s">
        <v>1006</v>
      </c>
      <c r="G19" s="12">
        <v>1</v>
      </c>
      <c r="H19" s="13">
        <v>25</v>
      </c>
      <c r="I19" s="7">
        <v>3500</v>
      </c>
      <c r="J19" s="14">
        <v>2270</v>
      </c>
      <c r="K19" s="15">
        <f>L19+3767</f>
        <v>6029</v>
      </c>
      <c r="L19" s="15">
        <f>926+1336</f>
        <v>2262</v>
      </c>
      <c r="M19" s="16">
        <f t="shared" si="0"/>
        <v>2262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0.99647577092511008</v>
      </c>
      <c r="AC19" s="9">
        <f t="shared" si="5"/>
        <v>0.58333333333333337</v>
      </c>
      <c r="AD19" s="10">
        <f t="shared" si="6"/>
        <v>0.58127753303964758</v>
      </c>
      <c r="AE19" s="39">
        <f t="shared" si="7"/>
        <v>0.42180274583585864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44600</v>
      </c>
      <c r="K20" s="15">
        <f>L20+29128+42972+45096+45728+43064+5640+29816+42972</f>
        <v>329016</v>
      </c>
      <c r="L20" s="15">
        <f>5781*4+5369*4</f>
        <v>44600</v>
      </c>
      <c r="M20" s="16">
        <f t="shared" si="0"/>
        <v>44600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1</v>
      </c>
      <c r="AD20" s="10">
        <f t="shared" si="6"/>
        <v>1</v>
      </c>
      <c r="AE20" s="39">
        <f t="shared" si="7"/>
        <v>0.42180274583585864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9">SUM(I6:I20)</f>
        <v>1215050</v>
      </c>
      <c r="J21" s="22">
        <f t="shared" si="9"/>
        <v>112661</v>
      </c>
      <c r="K21" s="23">
        <f t="shared" si="9"/>
        <v>795617</v>
      </c>
      <c r="L21" s="24">
        <f t="shared" si="9"/>
        <v>92121</v>
      </c>
      <c r="M21" s="23">
        <f t="shared" si="9"/>
        <v>92121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152</v>
      </c>
      <c r="Q21" s="46">
        <f t="shared" si="10"/>
        <v>208</v>
      </c>
      <c r="R21" s="26">
        <f t="shared" si="10"/>
        <v>0</v>
      </c>
      <c r="S21" s="27">
        <f t="shared" si="10"/>
        <v>39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144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24</v>
      </c>
      <c r="AB21" s="31">
        <f>SUM(AB6:AB20)/15</f>
        <v>0.46613486839737284</v>
      </c>
      <c r="AC21" s="4">
        <f>SUM(AC6:AC20)/15</f>
        <v>0.42222222222222222</v>
      </c>
      <c r="AD21" s="4">
        <f>SUM(AD6:AD20)/15</f>
        <v>0.42180274583585864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1039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1042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366" t="s">
        <v>46</v>
      </c>
      <c r="D50" s="366" t="s">
        <v>47</v>
      </c>
      <c r="E50" s="366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366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968</v>
      </c>
      <c r="B51" s="447"/>
      <c r="C51" s="368" t="s">
        <v>969</v>
      </c>
      <c r="D51" s="368"/>
      <c r="E51" s="368" t="s">
        <v>1043</v>
      </c>
      <c r="F51" s="445" t="s">
        <v>1040</v>
      </c>
      <c r="G51" s="445"/>
      <c r="H51" s="445"/>
      <c r="I51" s="445"/>
      <c r="J51" s="445"/>
      <c r="K51" s="445"/>
      <c r="L51" s="445"/>
      <c r="M51" s="446"/>
      <c r="N51" s="372" t="s">
        <v>1045</v>
      </c>
      <c r="O51" s="74" t="s">
        <v>1046</v>
      </c>
      <c r="P51" s="447"/>
      <c r="Q51" s="447"/>
      <c r="R51" s="447" t="s">
        <v>1044</v>
      </c>
      <c r="S51" s="447"/>
      <c r="T51" s="447"/>
      <c r="U51" s="447"/>
      <c r="V51" s="445" t="s">
        <v>1047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1010</v>
      </c>
      <c r="B52" s="447"/>
      <c r="C52" s="368" t="s">
        <v>1011</v>
      </c>
      <c r="D52" s="368" t="s">
        <v>125</v>
      </c>
      <c r="E52" s="368" t="s">
        <v>1012</v>
      </c>
      <c r="F52" s="445" t="s">
        <v>1041</v>
      </c>
      <c r="G52" s="445"/>
      <c r="H52" s="445"/>
      <c r="I52" s="445"/>
      <c r="J52" s="445"/>
      <c r="K52" s="445"/>
      <c r="L52" s="445"/>
      <c r="M52" s="446"/>
      <c r="N52" s="372" t="s">
        <v>1049</v>
      </c>
      <c r="O52" s="74" t="s">
        <v>1050</v>
      </c>
      <c r="P52" s="447" t="s">
        <v>1051</v>
      </c>
      <c r="Q52" s="447"/>
      <c r="R52" s="447" t="s">
        <v>1048</v>
      </c>
      <c r="S52" s="447"/>
      <c r="T52" s="447"/>
      <c r="U52" s="447"/>
      <c r="V52" s="445" t="s">
        <v>1052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/>
      <c r="B53" s="447"/>
      <c r="C53" s="368"/>
      <c r="D53" s="368"/>
      <c r="E53" s="368"/>
      <c r="F53" s="445"/>
      <c r="G53" s="445"/>
      <c r="H53" s="445"/>
      <c r="I53" s="445"/>
      <c r="J53" s="445"/>
      <c r="K53" s="445"/>
      <c r="L53" s="445"/>
      <c r="M53" s="446"/>
      <c r="N53" s="372" t="s">
        <v>1054</v>
      </c>
      <c r="O53" s="74" t="s">
        <v>1050</v>
      </c>
      <c r="P53" s="447" t="s">
        <v>1055</v>
      </c>
      <c r="Q53" s="447"/>
      <c r="R53" s="447" t="s">
        <v>1053</v>
      </c>
      <c r="S53" s="447"/>
      <c r="T53" s="447"/>
      <c r="U53" s="447"/>
      <c r="V53" s="445" t="s">
        <v>1056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368"/>
      <c r="D54" s="368"/>
      <c r="E54" s="368"/>
      <c r="F54" s="445"/>
      <c r="G54" s="445"/>
      <c r="H54" s="445"/>
      <c r="I54" s="445"/>
      <c r="J54" s="445"/>
      <c r="K54" s="445"/>
      <c r="L54" s="445"/>
      <c r="M54" s="446"/>
      <c r="N54" s="372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68"/>
      <c r="D55" s="368"/>
      <c r="E55" s="368"/>
      <c r="F55" s="445"/>
      <c r="G55" s="445"/>
      <c r="H55" s="445"/>
      <c r="I55" s="445"/>
      <c r="J55" s="445"/>
      <c r="K55" s="445"/>
      <c r="L55" s="445"/>
      <c r="M55" s="446"/>
      <c r="N55" s="372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367"/>
      <c r="D56" s="368"/>
      <c r="E56" s="367"/>
      <c r="F56" s="445"/>
      <c r="G56" s="445"/>
      <c r="H56" s="445"/>
      <c r="I56" s="445"/>
      <c r="J56" s="445"/>
      <c r="K56" s="445"/>
      <c r="L56" s="445"/>
      <c r="M56" s="446"/>
      <c r="N56" s="372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67"/>
      <c r="D57" s="368"/>
      <c r="E57" s="367"/>
      <c r="F57" s="445"/>
      <c r="G57" s="445"/>
      <c r="H57" s="445"/>
      <c r="I57" s="445"/>
      <c r="J57" s="445"/>
      <c r="K57" s="445"/>
      <c r="L57" s="445"/>
      <c r="M57" s="446"/>
      <c r="N57" s="372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67"/>
      <c r="D58" s="368"/>
      <c r="E58" s="367"/>
      <c r="F58" s="445"/>
      <c r="G58" s="445"/>
      <c r="H58" s="445"/>
      <c r="I58" s="445"/>
      <c r="J58" s="445"/>
      <c r="K58" s="445"/>
      <c r="L58" s="445"/>
      <c r="M58" s="446"/>
      <c r="N58" s="372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368"/>
      <c r="D59" s="368"/>
      <c r="E59" s="368"/>
      <c r="F59" s="445"/>
      <c r="G59" s="445"/>
      <c r="H59" s="445"/>
      <c r="I59" s="445"/>
      <c r="J59" s="445"/>
      <c r="K59" s="445"/>
      <c r="L59" s="445"/>
      <c r="M59" s="446"/>
      <c r="N59" s="372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370"/>
      <c r="D60" s="370"/>
      <c r="E60" s="370"/>
      <c r="F60" s="452"/>
      <c r="G60" s="452"/>
      <c r="H60" s="452"/>
      <c r="I60" s="452"/>
      <c r="J60" s="452"/>
      <c r="K60" s="452"/>
      <c r="L60" s="452"/>
      <c r="M60" s="453"/>
      <c r="N60" s="369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1057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371" t="s">
        <v>2</v>
      </c>
      <c r="D62" s="371" t="s">
        <v>37</v>
      </c>
      <c r="E62" s="371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371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1059</v>
      </c>
      <c r="D63" s="375"/>
      <c r="E63" s="373" t="s">
        <v>1060</v>
      </c>
      <c r="F63" s="464" t="s">
        <v>1058</v>
      </c>
      <c r="G63" s="465"/>
      <c r="H63" s="465"/>
      <c r="I63" s="465"/>
      <c r="J63" s="465"/>
      <c r="K63" s="465" t="s">
        <v>1061</v>
      </c>
      <c r="L63" s="465"/>
      <c r="M63" s="54" t="s">
        <v>1062</v>
      </c>
      <c r="N63" s="465">
        <v>6</v>
      </c>
      <c r="O63" s="465"/>
      <c r="P63" s="466">
        <v>100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/>
      <c r="D64" s="375"/>
      <c r="E64" s="373"/>
      <c r="F64" s="464"/>
      <c r="G64" s="465"/>
      <c r="H64" s="465"/>
      <c r="I64" s="465"/>
      <c r="J64" s="465"/>
      <c r="K64" s="465"/>
      <c r="L64" s="465"/>
      <c r="M64" s="54"/>
      <c r="N64" s="465"/>
      <c r="O64" s="465"/>
      <c r="P64" s="466"/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/>
      <c r="D65" s="375"/>
      <c r="E65" s="373"/>
      <c r="F65" s="464"/>
      <c r="G65" s="465"/>
      <c r="H65" s="465"/>
      <c r="I65" s="465"/>
      <c r="J65" s="465"/>
      <c r="K65" s="465"/>
      <c r="L65" s="465"/>
      <c r="M65" s="54"/>
      <c r="N65" s="465"/>
      <c r="O65" s="465"/>
      <c r="P65" s="466"/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/>
      <c r="D66" s="375"/>
      <c r="E66" s="373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375"/>
      <c r="E67" s="373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375"/>
      <c r="E68" s="373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75"/>
      <c r="E69" s="373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75"/>
      <c r="E70" s="373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1063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74" t="s">
        <v>2</v>
      </c>
      <c r="D72" s="374" t="s">
        <v>37</v>
      </c>
      <c r="E72" s="374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376" t="s">
        <v>114</v>
      </c>
      <c r="D73" s="376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75" t="s">
        <v>114</v>
      </c>
      <c r="D74" s="375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1">A74+1</f>
        <v>3</v>
      </c>
      <c r="B75" s="476"/>
      <c r="C75" s="375"/>
      <c r="D75" s="375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1"/>
        <v>4</v>
      </c>
      <c r="B76" s="476"/>
      <c r="C76" s="375"/>
      <c r="D76" s="375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1"/>
        <v>5</v>
      </c>
      <c r="B77" s="476"/>
      <c r="C77" s="375"/>
      <c r="D77" s="375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1"/>
        <v>6</v>
      </c>
      <c r="B78" s="476"/>
      <c r="C78" s="375"/>
      <c r="D78" s="375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1"/>
        <v>7</v>
      </c>
      <c r="B79" s="476"/>
      <c r="C79" s="375"/>
      <c r="D79" s="375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1"/>
        <v>8</v>
      </c>
      <c r="B80" s="476"/>
      <c r="C80" s="375"/>
      <c r="D80" s="375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1"/>
        <v>9</v>
      </c>
      <c r="B81" s="476"/>
      <c r="C81" s="375"/>
      <c r="D81" s="375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1064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9" sqref="K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1065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88" t="s">
        <v>17</v>
      </c>
      <c r="L5" s="388" t="s">
        <v>18</v>
      </c>
      <c r="M5" s="388" t="s">
        <v>19</v>
      </c>
      <c r="N5" s="38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813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0.23885540837783026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161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0.23885540837783026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524</v>
      </c>
      <c r="D8" s="55" t="s">
        <v>509</v>
      </c>
      <c r="E8" s="57" t="s">
        <v>750</v>
      </c>
      <c r="F8" s="33" t="s">
        <v>526</v>
      </c>
      <c r="G8" s="12" t="s">
        <v>751</v>
      </c>
      <c r="H8" s="13">
        <v>25</v>
      </c>
      <c r="I8" s="34">
        <v>10000</v>
      </c>
      <c r="J8" s="5">
        <v>1095</v>
      </c>
      <c r="K8" s="15">
        <f>L8+3024+3374+3254+1094</f>
        <v>10746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0.23885540837783026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129</v>
      </c>
      <c r="D9" s="55" t="s">
        <v>142</v>
      </c>
      <c r="E9" s="57" t="s">
        <v>952</v>
      </c>
      <c r="F9" s="33" t="s">
        <v>960</v>
      </c>
      <c r="G9" s="36">
        <v>2</v>
      </c>
      <c r="H9" s="38">
        <v>25</v>
      </c>
      <c r="I9" s="7">
        <v>30000</v>
      </c>
      <c r="J9" s="5">
        <v>9670</v>
      </c>
      <c r="K9" s="15">
        <f>L9+3546+9086+9662</f>
        <v>22294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0.23885540837783026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11" t="s">
        <v>129</v>
      </c>
      <c r="D10" s="55" t="s">
        <v>142</v>
      </c>
      <c r="E10" s="57" t="s">
        <v>143</v>
      </c>
      <c r="F10" s="12" t="s">
        <v>127</v>
      </c>
      <c r="G10" s="12">
        <v>2</v>
      </c>
      <c r="H10" s="13">
        <v>20</v>
      </c>
      <c r="I10" s="34">
        <v>149000</v>
      </c>
      <c r="J10" s="14">
        <v>2390</v>
      </c>
      <c r="K10" s="15">
        <f>L10+6534+16360+16954+16456+16062+8812+14136+16892+17050+7992+16146+16782+15458</f>
        <v>188024</v>
      </c>
      <c r="L10" s="15">
        <f>1195*2</f>
        <v>2390</v>
      </c>
      <c r="M10" s="16">
        <f t="shared" si="0"/>
        <v>2390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/>
      <c r="W10" s="19">
        <v>16</v>
      </c>
      <c r="X10" s="17"/>
      <c r="Y10" s="20"/>
      <c r="Z10" s="20"/>
      <c r="AA10" s="21"/>
      <c r="AB10" s="8">
        <f t="shared" si="4"/>
        <v>1</v>
      </c>
      <c r="AC10" s="9">
        <f t="shared" si="5"/>
        <v>0.33333333333333331</v>
      </c>
      <c r="AD10" s="10">
        <f t="shared" si="6"/>
        <v>0.33333333333333331</v>
      </c>
      <c r="AE10" s="39">
        <f t="shared" si="7"/>
        <v>0.23885540837783026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576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0.23885540837783026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237</v>
      </c>
      <c r="D12" s="55" t="s">
        <v>1036</v>
      </c>
      <c r="E12" s="57" t="s">
        <v>712</v>
      </c>
      <c r="F12" s="12" t="s">
        <v>1038</v>
      </c>
      <c r="G12" s="12">
        <v>1</v>
      </c>
      <c r="H12" s="13">
        <v>25</v>
      </c>
      <c r="I12" s="7">
        <v>3500</v>
      </c>
      <c r="J12" s="14">
        <v>2140</v>
      </c>
      <c r="K12" s="15">
        <f>L12+4725</f>
        <v>6865</v>
      </c>
      <c r="L12" s="15">
        <v>2140</v>
      </c>
      <c r="M12" s="16">
        <f t="shared" si="0"/>
        <v>2140</v>
      </c>
      <c r="N12" s="16">
        <v>0</v>
      </c>
      <c r="O12" s="62">
        <f t="shared" si="1"/>
        <v>0</v>
      </c>
      <c r="P12" s="42">
        <f t="shared" si="2"/>
        <v>13</v>
      </c>
      <c r="Q12" s="43">
        <f t="shared" si="3"/>
        <v>11</v>
      </c>
      <c r="R12" s="7"/>
      <c r="S12" s="6"/>
      <c r="T12" s="17"/>
      <c r="U12" s="17"/>
      <c r="V12" s="18"/>
      <c r="W12" s="19">
        <v>11</v>
      </c>
      <c r="X12" s="17"/>
      <c r="Y12" s="20"/>
      <c r="Z12" s="20"/>
      <c r="AA12" s="21"/>
      <c r="AB12" s="8">
        <f t="shared" si="4"/>
        <v>1</v>
      </c>
      <c r="AC12" s="9">
        <f t="shared" si="5"/>
        <v>0.54166666666666663</v>
      </c>
      <c r="AD12" s="10">
        <f t="shared" si="6"/>
        <v>0.54166666666666663</v>
      </c>
      <c r="AE12" s="39">
        <f t="shared" si="7"/>
        <v>0.23885540837783026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894</v>
      </c>
      <c r="E13" s="57" t="s">
        <v>895</v>
      </c>
      <c r="F13" s="12" t="s">
        <v>161</v>
      </c>
      <c r="G13" s="12">
        <v>2</v>
      </c>
      <c r="H13" s="13">
        <v>25</v>
      </c>
      <c r="I13" s="7">
        <v>40000</v>
      </c>
      <c r="J13" s="14">
        <v>11070</v>
      </c>
      <c r="K13" s="15">
        <f>L13+8464+6700+13152+11068</f>
        <v>39384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0.23885540837783026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340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0.23885540837783026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406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0.23885540837783026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146</v>
      </c>
      <c r="D16" s="55" t="s">
        <v>172</v>
      </c>
      <c r="E16" s="57" t="s">
        <v>471</v>
      </c>
      <c r="F16" s="12" t="s">
        <v>493</v>
      </c>
      <c r="G16" s="12">
        <v>2</v>
      </c>
      <c r="H16" s="13">
        <v>24</v>
      </c>
      <c r="I16" s="34">
        <v>140000</v>
      </c>
      <c r="J16" s="14">
        <v>1740</v>
      </c>
      <c r="K16" s="15">
        <f>L16+8022+9598+11782+11798+11816+11788+12090+6818+11506+11028+9460+5364+10984+11682+10692</f>
        <v>156168</v>
      </c>
      <c r="L16" s="15">
        <f>870*2</f>
        <v>1740</v>
      </c>
      <c r="M16" s="16">
        <f t="shared" si="0"/>
        <v>1740</v>
      </c>
      <c r="N16" s="16">
        <v>0</v>
      </c>
      <c r="O16" s="62">
        <f t="shared" si="1"/>
        <v>0</v>
      </c>
      <c r="P16" s="42">
        <f t="shared" si="2"/>
        <v>5</v>
      </c>
      <c r="Q16" s="43">
        <f t="shared" si="3"/>
        <v>19</v>
      </c>
      <c r="R16" s="7"/>
      <c r="S16" s="6">
        <v>19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0.20833333333333334</v>
      </c>
      <c r="AD16" s="10">
        <f t="shared" si="6"/>
        <v>0.20833333333333334</v>
      </c>
      <c r="AE16" s="39">
        <f t="shared" si="7"/>
        <v>0.23885540837783026</v>
      </c>
      <c r="AF16" s="94">
        <f t="shared" si="8"/>
        <v>11</v>
      </c>
    </row>
    <row r="17" spans="1:32" ht="27" customHeight="1">
      <c r="A17" s="109">
        <v>11</v>
      </c>
      <c r="B17" s="11" t="s">
        <v>57</v>
      </c>
      <c r="C17" s="11" t="s">
        <v>114</v>
      </c>
      <c r="D17" s="55" t="s">
        <v>1066</v>
      </c>
      <c r="E17" s="57" t="s">
        <v>1067</v>
      </c>
      <c r="F17" s="12">
        <v>7301</v>
      </c>
      <c r="G17" s="12">
        <v>1</v>
      </c>
      <c r="H17" s="13">
        <v>24</v>
      </c>
      <c r="I17" s="34">
        <v>10000</v>
      </c>
      <c r="J17" s="14">
        <v>3770</v>
      </c>
      <c r="K17" s="15">
        <f>L17</f>
        <v>3768</v>
      </c>
      <c r="L17" s="15">
        <f>2656+1112</f>
        <v>3768</v>
      </c>
      <c r="M17" s="16">
        <f t="shared" ref="M17" si="9">L17-N17</f>
        <v>3768</v>
      </c>
      <c r="N17" s="16">
        <v>0</v>
      </c>
      <c r="O17" s="62">
        <f t="shared" ref="O17" si="10">IF(L17=0,"0",N17/L17)</f>
        <v>0</v>
      </c>
      <c r="P17" s="42">
        <f t="shared" ref="P17" si="11">IF(L17=0,"0",(24-Q17))</f>
        <v>18</v>
      </c>
      <c r="Q17" s="43">
        <f t="shared" ref="Q17" si="12">SUM(R17:AA17)</f>
        <v>6</v>
      </c>
      <c r="R17" s="7"/>
      <c r="S17" s="6"/>
      <c r="T17" s="17">
        <v>6</v>
      </c>
      <c r="U17" s="17"/>
      <c r="V17" s="18"/>
      <c r="W17" s="19"/>
      <c r="X17" s="17"/>
      <c r="Y17" s="20"/>
      <c r="Z17" s="20"/>
      <c r="AA17" s="21"/>
      <c r="AB17" s="8">
        <f t="shared" ref="AB17" si="13">IF(J17=0,"0",(L17/J17))</f>
        <v>0.99946949602122015</v>
      </c>
      <c r="AC17" s="9">
        <f t="shared" ref="AC17" si="14">IF(P17=0,"0",(P17/24))</f>
        <v>0.75</v>
      </c>
      <c r="AD17" s="10">
        <f t="shared" ref="AD17" si="15">AC17*AB17*(1-O17)</f>
        <v>0.74960212201591514</v>
      </c>
      <c r="AE17" s="39">
        <f t="shared" si="7"/>
        <v>0.23885540837783026</v>
      </c>
      <c r="AF17" s="94">
        <f t="shared" ref="AF17" si="16">A17</f>
        <v>11</v>
      </c>
    </row>
    <row r="18" spans="1:32" ht="27" customHeight="1">
      <c r="A18" s="109">
        <v>12</v>
      </c>
      <c r="B18" s="11" t="s">
        <v>57</v>
      </c>
      <c r="C18" s="37" t="s">
        <v>121</v>
      </c>
      <c r="D18" s="55" t="s">
        <v>131</v>
      </c>
      <c r="E18" s="57" t="s">
        <v>699</v>
      </c>
      <c r="F18" s="12" t="s">
        <v>417</v>
      </c>
      <c r="G18" s="12">
        <v>1</v>
      </c>
      <c r="H18" s="13">
        <v>25</v>
      </c>
      <c r="I18" s="34">
        <v>1700</v>
      </c>
      <c r="J18" s="5">
        <v>416</v>
      </c>
      <c r="K18" s="15">
        <f>L18+416</f>
        <v>416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0.23885540837783026</v>
      </c>
      <c r="AF18" s="94">
        <f t="shared" si="8"/>
        <v>12</v>
      </c>
    </row>
    <row r="19" spans="1:32" ht="27" customHeight="1">
      <c r="A19" s="110">
        <v>13</v>
      </c>
      <c r="B19" s="11" t="s">
        <v>57</v>
      </c>
      <c r="C19" s="11" t="s">
        <v>146</v>
      </c>
      <c r="D19" s="55" t="s">
        <v>172</v>
      </c>
      <c r="E19" s="57" t="s">
        <v>471</v>
      </c>
      <c r="F19" s="12" t="s">
        <v>493</v>
      </c>
      <c r="G19" s="12">
        <v>2</v>
      </c>
      <c r="H19" s="13">
        <v>24</v>
      </c>
      <c r="I19" s="34">
        <v>140000</v>
      </c>
      <c r="J19" s="14">
        <v>7600</v>
      </c>
      <c r="K19" s="15">
        <f>L19+8022+9598+11782+11798+11816+11788+12090+6818+11506+11028+9460+5364+10984+11682+10692+1740</f>
        <v>163768</v>
      </c>
      <c r="L19" s="15">
        <f>3004*2+796*2</f>
        <v>7600</v>
      </c>
      <c r="M19" s="16">
        <f t="shared" ref="M19" si="17">L19-N19</f>
        <v>7600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18</v>
      </c>
      <c r="Q19" s="43">
        <f t="shared" ref="Q19" si="20">SUM(R19:AA19)</f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21">IF(J19=0,"0",(L19/J19))</f>
        <v>1</v>
      </c>
      <c r="AC19" s="9">
        <f t="shared" ref="AC19" si="22">IF(P19=0,"0",(P19/24))</f>
        <v>0.75</v>
      </c>
      <c r="AD19" s="10">
        <f t="shared" ref="AD19" si="23">AC19*AB19*(1-O19)</f>
        <v>0.75</v>
      </c>
      <c r="AE19" s="39">
        <f t="shared" si="7"/>
        <v>0.23885540837783026</v>
      </c>
      <c r="AF19" s="94">
        <f t="shared" ref="AF19" si="24">A19</f>
        <v>13</v>
      </c>
    </row>
    <row r="20" spans="1:32" ht="27" customHeight="1">
      <c r="A20" s="110">
        <v>14</v>
      </c>
      <c r="B20" s="11" t="s">
        <v>57</v>
      </c>
      <c r="C20" s="11" t="s">
        <v>121</v>
      </c>
      <c r="D20" s="55" t="s">
        <v>1004</v>
      </c>
      <c r="E20" s="57" t="s">
        <v>1005</v>
      </c>
      <c r="F20" s="12" t="s">
        <v>963</v>
      </c>
      <c r="G20" s="12">
        <v>1</v>
      </c>
      <c r="H20" s="13">
        <v>25</v>
      </c>
      <c r="I20" s="7">
        <v>3500</v>
      </c>
      <c r="J20" s="14">
        <v>2270</v>
      </c>
      <c r="K20" s="15">
        <f>L20+3767+2262</f>
        <v>6029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0.23885540837783026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123</v>
      </c>
      <c r="D21" s="55"/>
      <c r="E21" s="56" t="s">
        <v>138</v>
      </c>
      <c r="F21" s="12" t="s">
        <v>124</v>
      </c>
      <c r="G21" s="12">
        <v>4</v>
      </c>
      <c r="H21" s="38">
        <v>20</v>
      </c>
      <c r="I21" s="7">
        <v>800000</v>
      </c>
      <c r="J21" s="14">
        <v>38340</v>
      </c>
      <c r="K21" s="15">
        <f>L21+29128+42972+45096+45728+43064+5640+29816+42972+44600</f>
        <v>367352</v>
      </c>
      <c r="L21" s="15">
        <f>5052*4+4532*4</f>
        <v>38336</v>
      </c>
      <c r="M21" s="16">
        <f t="shared" si="0"/>
        <v>38336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0.99989567031820548</v>
      </c>
      <c r="AC21" s="9">
        <f t="shared" si="5"/>
        <v>1</v>
      </c>
      <c r="AD21" s="10">
        <f t="shared" si="6"/>
        <v>0.99989567031820548</v>
      </c>
      <c r="AE21" s="39">
        <f t="shared" si="7"/>
        <v>0.23885540837783026</v>
      </c>
      <c r="AF21" s="94">
        <f t="shared" si="8"/>
        <v>15</v>
      </c>
    </row>
    <row r="22" spans="1:32" ht="31.5" customHeight="1" thickBot="1">
      <c r="A22" s="416" t="s">
        <v>34</v>
      </c>
      <c r="B22" s="417"/>
      <c r="C22" s="417"/>
      <c r="D22" s="417"/>
      <c r="E22" s="417"/>
      <c r="F22" s="417"/>
      <c r="G22" s="417"/>
      <c r="H22" s="418"/>
      <c r="I22" s="25">
        <f t="shared" ref="I22:N22" si="25">SUM(I6:I21)</f>
        <v>1358050</v>
      </c>
      <c r="J22" s="22">
        <f t="shared" si="25"/>
        <v>88421</v>
      </c>
      <c r="K22" s="23">
        <f t="shared" si="25"/>
        <v>1000041</v>
      </c>
      <c r="L22" s="24">
        <f t="shared" si="25"/>
        <v>55974</v>
      </c>
      <c r="M22" s="23">
        <f t="shared" si="25"/>
        <v>55974</v>
      </c>
      <c r="N22" s="24">
        <f t="shared" si="25"/>
        <v>0</v>
      </c>
      <c r="O22" s="44">
        <f t="shared" si="1"/>
        <v>0</v>
      </c>
      <c r="P22" s="45">
        <f t="shared" ref="P22:AA22" si="26">SUM(P6:P21)</f>
        <v>86</v>
      </c>
      <c r="Q22" s="46">
        <f t="shared" si="26"/>
        <v>298</v>
      </c>
      <c r="R22" s="26">
        <f t="shared" si="26"/>
        <v>0</v>
      </c>
      <c r="S22" s="27">
        <f t="shared" si="26"/>
        <v>73</v>
      </c>
      <c r="T22" s="27">
        <f t="shared" si="26"/>
        <v>6</v>
      </c>
      <c r="U22" s="27">
        <f t="shared" si="26"/>
        <v>0</v>
      </c>
      <c r="V22" s="28">
        <f t="shared" si="26"/>
        <v>0</v>
      </c>
      <c r="W22" s="29">
        <f t="shared" si="26"/>
        <v>195</v>
      </c>
      <c r="X22" s="30">
        <f t="shared" si="26"/>
        <v>0</v>
      </c>
      <c r="Y22" s="30">
        <f t="shared" si="26"/>
        <v>0</v>
      </c>
      <c r="Z22" s="30">
        <f t="shared" si="26"/>
        <v>0</v>
      </c>
      <c r="AA22" s="30">
        <f t="shared" si="26"/>
        <v>24</v>
      </c>
      <c r="AB22" s="31">
        <f>SUM(AB6:AB21)/15</f>
        <v>0.39995767775596175</v>
      </c>
      <c r="AC22" s="4">
        <f>SUM(AC6:AC21)/15</f>
        <v>0.23888888888888887</v>
      </c>
      <c r="AD22" s="4">
        <f>SUM(AD6:AD21)/15</f>
        <v>0.23885540837783026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19" t="s">
        <v>45</v>
      </c>
      <c r="B49" s="419"/>
      <c r="C49" s="419"/>
      <c r="D49" s="419"/>
      <c r="E49" s="419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20" t="s">
        <v>1068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2"/>
      <c r="N50" s="423" t="s">
        <v>1078</v>
      </c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5"/>
    </row>
    <row r="51" spans="1:32" ht="27" customHeight="1">
      <c r="A51" s="426" t="s">
        <v>2</v>
      </c>
      <c r="B51" s="427"/>
      <c r="C51" s="387" t="s">
        <v>46</v>
      </c>
      <c r="D51" s="387" t="s">
        <v>47</v>
      </c>
      <c r="E51" s="387" t="s">
        <v>108</v>
      </c>
      <c r="F51" s="427" t="s">
        <v>107</v>
      </c>
      <c r="G51" s="427"/>
      <c r="H51" s="427"/>
      <c r="I51" s="427"/>
      <c r="J51" s="427"/>
      <c r="K51" s="427"/>
      <c r="L51" s="427"/>
      <c r="M51" s="428"/>
      <c r="N51" s="73" t="s">
        <v>112</v>
      </c>
      <c r="O51" s="387" t="s">
        <v>46</v>
      </c>
      <c r="P51" s="429" t="s">
        <v>47</v>
      </c>
      <c r="Q51" s="430"/>
      <c r="R51" s="429" t="s">
        <v>38</v>
      </c>
      <c r="S51" s="431"/>
      <c r="T51" s="431"/>
      <c r="U51" s="430"/>
      <c r="V51" s="429" t="s">
        <v>48</v>
      </c>
      <c r="W51" s="431"/>
      <c r="X51" s="431"/>
      <c r="Y51" s="431"/>
      <c r="Z51" s="431"/>
      <c r="AA51" s="431"/>
      <c r="AB51" s="431"/>
      <c r="AC51" s="431"/>
      <c r="AD51" s="432"/>
    </row>
    <row r="52" spans="1:32" ht="27" customHeight="1">
      <c r="A52" s="459" t="s">
        <v>129</v>
      </c>
      <c r="B52" s="447"/>
      <c r="C52" s="383" t="s">
        <v>397</v>
      </c>
      <c r="D52" s="383"/>
      <c r="E52" s="383" t="s">
        <v>1043</v>
      </c>
      <c r="F52" s="445" t="s">
        <v>1069</v>
      </c>
      <c r="G52" s="445"/>
      <c r="H52" s="445"/>
      <c r="I52" s="445"/>
      <c r="J52" s="445"/>
      <c r="K52" s="445"/>
      <c r="L52" s="445"/>
      <c r="M52" s="446"/>
      <c r="N52" s="382" t="s">
        <v>114</v>
      </c>
      <c r="O52" s="74" t="s">
        <v>300</v>
      </c>
      <c r="P52" s="447" t="s">
        <v>1079</v>
      </c>
      <c r="Q52" s="447"/>
      <c r="R52" s="447" t="s">
        <v>1080</v>
      </c>
      <c r="S52" s="447"/>
      <c r="T52" s="447"/>
      <c r="U52" s="447"/>
      <c r="V52" s="445" t="s">
        <v>1081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1070</v>
      </c>
      <c r="B53" s="447"/>
      <c r="C53" s="383" t="s">
        <v>1071</v>
      </c>
      <c r="D53" s="383" t="s">
        <v>327</v>
      </c>
      <c r="E53" s="383" t="s">
        <v>1072</v>
      </c>
      <c r="F53" s="445" t="s">
        <v>1073</v>
      </c>
      <c r="G53" s="445"/>
      <c r="H53" s="445"/>
      <c r="I53" s="445"/>
      <c r="J53" s="445"/>
      <c r="K53" s="445"/>
      <c r="L53" s="445"/>
      <c r="M53" s="446"/>
      <c r="N53" s="382" t="s">
        <v>1083</v>
      </c>
      <c r="O53" s="74" t="s">
        <v>226</v>
      </c>
      <c r="P53" s="447" t="s">
        <v>1084</v>
      </c>
      <c r="Q53" s="447"/>
      <c r="R53" s="447" t="s">
        <v>1082</v>
      </c>
      <c r="S53" s="447"/>
      <c r="T53" s="447"/>
      <c r="U53" s="447"/>
      <c r="V53" s="445" t="s">
        <v>1081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 t="s">
        <v>1074</v>
      </c>
      <c r="B54" s="447"/>
      <c r="C54" s="383" t="s">
        <v>1075</v>
      </c>
      <c r="D54" s="383" t="s">
        <v>1076</v>
      </c>
      <c r="E54" s="383" t="s">
        <v>1067</v>
      </c>
      <c r="F54" s="445" t="s">
        <v>1077</v>
      </c>
      <c r="G54" s="445"/>
      <c r="H54" s="445"/>
      <c r="I54" s="445"/>
      <c r="J54" s="445"/>
      <c r="K54" s="445"/>
      <c r="L54" s="445"/>
      <c r="M54" s="446"/>
      <c r="N54" s="382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83"/>
      <c r="D55" s="383"/>
      <c r="E55" s="383"/>
      <c r="F55" s="445"/>
      <c r="G55" s="445"/>
      <c r="H55" s="445"/>
      <c r="I55" s="445"/>
      <c r="J55" s="445"/>
      <c r="K55" s="445"/>
      <c r="L55" s="445"/>
      <c r="M55" s="446"/>
      <c r="N55" s="382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59"/>
      <c r="B56" s="447"/>
      <c r="C56" s="383"/>
      <c r="D56" s="383"/>
      <c r="E56" s="383"/>
      <c r="F56" s="445"/>
      <c r="G56" s="445"/>
      <c r="H56" s="445"/>
      <c r="I56" s="445"/>
      <c r="J56" s="445"/>
      <c r="K56" s="445"/>
      <c r="L56" s="445"/>
      <c r="M56" s="446"/>
      <c r="N56" s="382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86"/>
      <c r="D57" s="383"/>
      <c r="E57" s="386"/>
      <c r="F57" s="445"/>
      <c r="G57" s="445"/>
      <c r="H57" s="445"/>
      <c r="I57" s="445"/>
      <c r="J57" s="445"/>
      <c r="K57" s="445"/>
      <c r="L57" s="445"/>
      <c r="M57" s="446"/>
      <c r="N57" s="382"/>
      <c r="O57" s="74"/>
      <c r="P57" s="447"/>
      <c r="Q57" s="447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86"/>
      <c r="D58" s="383"/>
      <c r="E58" s="386"/>
      <c r="F58" s="445"/>
      <c r="G58" s="445"/>
      <c r="H58" s="445"/>
      <c r="I58" s="445"/>
      <c r="J58" s="445"/>
      <c r="K58" s="445"/>
      <c r="L58" s="445"/>
      <c r="M58" s="446"/>
      <c r="N58" s="382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43"/>
      <c r="B59" s="444"/>
      <c r="C59" s="386"/>
      <c r="D59" s="383"/>
      <c r="E59" s="386"/>
      <c r="F59" s="445"/>
      <c r="G59" s="445"/>
      <c r="H59" s="445"/>
      <c r="I59" s="445"/>
      <c r="J59" s="445"/>
      <c r="K59" s="445"/>
      <c r="L59" s="445"/>
      <c r="M59" s="446"/>
      <c r="N59" s="382"/>
      <c r="O59" s="74"/>
      <c r="P59" s="448"/>
      <c r="Q59" s="449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</row>
    <row r="60" spans="1:32" ht="27" customHeight="1">
      <c r="A60" s="459"/>
      <c r="B60" s="447"/>
      <c r="C60" s="383"/>
      <c r="D60" s="383"/>
      <c r="E60" s="383"/>
      <c r="F60" s="445"/>
      <c r="G60" s="445"/>
      <c r="H60" s="445"/>
      <c r="I60" s="445"/>
      <c r="J60" s="445"/>
      <c r="K60" s="445"/>
      <c r="L60" s="445"/>
      <c r="M60" s="446"/>
      <c r="N60" s="382"/>
      <c r="O60" s="74"/>
      <c r="P60" s="447"/>
      <c r="Q60" s="447"/>
      <c r="R60" s="447"/>
      <c r="S60" s="447"/>
      <c r="T60" s="447"/>
      <c r="U60" s="447"/>
      <c r="V60" s="445"/>
      <c r="W60" s="445"/>
      <c r="X60" s="445"/>
      <c r="Y60" s="445"/>
      <c r="Z60" s="445"/>
      <c r="AA60" s="445"/>
      <c r="AB60" s="445"/>
      <c r="AC60" s="445"/>
      <c r="AD60" s="446"/>
      <c r="AF60" s="94">
        <f>8*3000</f>
        <v>24000</v>
      </c>
    </row>
    <row r="61" spans="1:32" ht="27" customHeight="1" thickBot="1">
      <c r="A61" s="450"/>
      <c r="B61" s="451"/>
      <c r="C61" s="385"/>
      <c r="D61" s="385"/>
      <c r="E61" s="385"/>
      <c r="F61" s="452"/>
      <c r="G61" s="452"/>
      <c r="H61" s="452"/>
      <c r="I61" s="452"/>
      <c r="J61" s="452"/>
      <c r="K61" s="452"/>
      <c r="L61" s="452"/>
      <c r="M61" s="453"/>
      <c r="N61" s="384"/>
      <c r="O61" s="121"/>
      <c r="P61" s="451"/>
      <c r="Q61" s="451"/>
      <c r="R61" s="451"/>
      <c r="S61" s="451"/>
      <c r="T61" s="451"/>
      <c r="U61" s="451"/>
      <c r="V61" s="452"/>
      <c r="W61" s="452"/>
      <c r="X61" s="452"/>
      <c r="Y61" s="452"/>
      <c r="Z61" s="452"/>
      <c r="AA61" s="452"/>
      <c r="AB61" s="452"/>
      <c r="AC61" s="452"/>
      <c r="AD61" s="453"/>
      <c r="AF61" s="94">
        <f>16*3000</f>
        <v>48000</v>
      </c>
    </row>
    <row r="62" spans="1:32" ht="27.75" thickBot="1">
      <c r="A62" s="454" t="s">
        <v>1085</v>
      </c>
      <c r="B62" s="454"/>
      <c r="C62" s="454"/>
      <c r="D62" s="454"/>
      <c r="E62" s="454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55" t="s">
        <v>113</v>
      </c>
      <c r="B63" s="456"/>
      <c r="C63" s="381" t="s">
        <v>2</v>
      </c>
      <c r="D63" s="381" t="s">
        <v>37</v>
      </c>
      <c r="E63" s="381" t="s">
        <v>3</v>
      </c>
      <c r="F63" s="456" t="s">
        <v>110</v>
      </c>
      <c r="G63" s="456"/>
      <c r="H63" s="456"/>
      <c r="I63" s="456"/>
      <c r="J63" s="456"/>
      <c r="K63" s="456" t="s">
        <v>39</v>
      </c>
      <c r="L63" s="456"/>
      <c r="M63" s="381" t="s">
        <v>40</v>
      </c>
      <c r="N63" s="456" t="s">
        <v>41</v>
      </c>
      <c r="O63" s="456"/>
      <c r="P63" s="457" t="s">
        <v>42</v>
      </c>
      <c r="Q63" s="458"/>
      <c r="R63" s="457" t="s">
        <v>43</v>
      </c>
      <c r="S63" s="460"/>
      <c r="T63" s="460"/>
      <c r="U63" s="460"/>
      <c r="V63" s="460"/>
      <c r="W63" s="460"/>
      <c r="X63" s="460"/>
      <c r="Y63" s="460"/>
      <c r="Z63" s="460"/>
      <c r="AA63" s="458"/>
      <c r="AB63" s="456" t="s">
        <v>44</v>
      </c>
      <c r="AC63" s="456"/>
      <c r="AD63" s="461"/>
      <c r="AF63" s="94">
        <f>SUM(AF60:AF62)</f>
        <v>96000</v>
      </c>
    </row>
    <row r="64" spans="1:32" ht="25.5" customHeight="1">
      <c r="A64" s="462">
        <v>1</v>
      </c>
      <c r="B64" s="463"/>
      <c r="C64" s="124" t="s">
        <v>167</v>
      </c>
      <c r="D64" s="377"/>
      <c r="E64" s="380" t="s">
        <v>131</v>
      </c>
      <c r="F64" s="464" t="s">
        <v>1086</v>
      </c>
      <c r="G64" s="465"/>
      <c r="H64" s="465"/>
      <c r="I64" s="465"/>
      <c r="J64" s="465"/>
      <c r="K64" s="465" t="s">
        <v>1061</v>
      </c>
      <c r="L64" s="465"/>
      <c r="M64" s="54" t="s">
        <v>1087</v>
      </c>
      <c r="N64" s="465">
        <v>12</v>
      </c>
      <c r="O64" s="465"/>
      <c r="P64" s="466">
        <v>50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2</v>
      </c>
      <c r="B65" s="463"/>
      <c r="C65" s="124" t="s">
        <v>167</v>
      </c>
      <c r="D65" s="377"/>
      <c r="E65" s="380" t="s">
        <v>1088</v>
      </c>
      <c r="F65" s="464" t="s">
        <v>1089</v>
      </c>
      <c r="G65" s="465"/>
      <c r="H65" s="465"/>
      <c r="I65" s="465"/>
      <c r="J65" s="465"/>
      <c r="K65" s="465" t="s">
        <v>1090</v>
      </c>
      <c r="L65" s="465"/>
      <c r="M65" s="54" t="s">
        <v>1087</v>
      </c>
      <c r="N65" s="465">
        <v>8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3</v>
      </c>
      <c r="B66" s="463"/>
      <c r="C66" s="124"/>
      <c r="D66" s="377"/>
      <c r="E66" s="380"/>
      <c r="F66" s="464"/>
      <c r="G66" s="465"/>
      <c r="H66" s="465"/>
      <c r="I66" s="465"/>
      <c r="J66" s="465"/>
      <c r="K66" s="465"/>
      <c r="L66" s="465"/>
      <c r="M66" s="54"/>
      <c r="N66" s="465"/>
      <c r="O66" s="465"/>
      <c r="P66" s="466"/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4</v>
      </c>
      <c r="B67" s="463"/>
      <c r="C67" s="124"/>
      <c r="D67" s="377"/>
      <c r="E67" s="380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5</v>
      </c>
      <c r="B68" s="463"/>
      <c r="C68" s="124"/>
      <c r="D68" s="377"/>
      <c r="E68" s="380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6</v>
      </c>
      <c r="B69" s="463"/>
      <c r="C69" s="124"/>
      <c r="D69" s="377"/>
      <c r="E69" s="380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7</v>
      </c>
      <c r="B70" s="463"/>
      <c r="C70" s="124"/>
      <c r="D70" s="377"/>
      <c r="E70" s="380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5.5" customHeight="1">
      <c r="A71" s="462">
        <v>8</v>
      </c>
      <c r="B71" s="463"/>
      <c r="C71" s="124"/>
      <c r="D71" s="377"/>
      <c r="E71" s="380"/>
      <c r="F71" s="464"/>
      <c r="G71" s="465"/>
      <c r="H71" s="465"/>
      <c r="I71" s="465"/>
      <c r="J71" s="465"/>
      <c r="K71" s="465"/>
      <c r="L71" s="465"/>
      <c r="M71" s="54"/>
      <c r="N71" s="465"/>
      <c r="O71" s="465"/>
      <c r="P71" s="466"/>
      <c r="Q71" s="466"/>
      <c r="R71" s="445"/>
      <c r="S71" s="445"/>
      <c r="T71" s="445"/>
      <c r="U71" s="445"/>
      <c r="V71" s="445"/>
      <c r="W71" s="445"/>
      <c r="X71" s="445"/>
      <c r="Y71" s="445"/>
      <c r="Z71" s="445"/>
      <c r="AA71" s="445"/>
      <c r="AB71" s="465"/>
      <c r="AC71" s="465"/>
      <c r="AD71" s="467"/>
      <c r="AF71" s="53"/>
    </row>
    <row r="72" spans="1:32" ht="26.25" customHeight="1" thickBot="1">
      <c r="A72" s="468" t="s">
        <v>1091</v>
      </c>
      <c r="B72" s="468"/>
      <c r="C72" s="468"/>
      <c r="D72" s="468"/>
      <c r="E72" s="468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69" t="s">
        <v>113</v>
      </c>
      <c r="B73" s="470"/>
      <c r="C73" s="379" t="s">
        <v>2</v>
      </c>
      <c r="D73" s="379" t="s">
        <v>37</v>
      </c>
      <c r="E73" s="379" t="s">
        <v>3</v>
      </c>
      <c r="F73" s="470" t="s">
        <v>38</v>
      </c>
      <c r="G73" s="470"/>
      <c r="H73" s="470"/>
      <c r="I73" s="470"/>
      <c r="J73" s="470"/>
      <c r="K73" s="471" t="s">
        <v>58</v>
      </c>
      <c r="L73" s="472"/>
      <c r="M73" s="472"/>
      <c r="N73" s="472"/>
      <c r="O73" s="472"/>
      <c r="P73" s="472"/>
      <c r="Q73" s="472"/>
      <c r="R73" s="472"/>
      <c r="S73" s="473"/>
      <c r="T73" s="470" t="s">
        <v>49</v>
      </c>
      <c r="U73" s="470"/>
      <c r="V73" s="471" t="s">
        <v>50</v>
      </c>
      <c r="W73" s="473"/>
      <c r="X73" s="472" t="s">
        <v>51</v>
      </c>
      <c r="Y73" s="472"/>
      <c r="Z73" s="472"/>
      <c r="AA73" s="472"/>
      <c r="AB73" s="472"/>
      <c r="AC73" s="472"/>
      <c r="AD73" s="474"/>
      <c r="AF73" s="53"/>
    </row>
    <row r="74" spans="1:32" ht="33.75" customHeight="1">
      <c r="A74" s="483">
        <v>1</v>
      </c>
      <c r="B74" s="484"/>
      <c r="C74" s="378" t="s">
        <v>114</v>
      </c>
      <c r="D74" s="378"/>
      <c r="E74" s="71" t="s">
        <v>119</v>
      </c>
      <c r="F74" s="485" t="s">
        <v>120</v>
      </c>
      <c r="G74" s="486"/>
      <c r="H74" s="486"/>
      <c r="I74" s="486"/>
      <c r="J74" s="487"/>
      <c r="K74" s="488" t="s">
        <v>115</v>
      </c>
      <c r="L74" s="489"/>
      <c r="M74" s="489"/>
      <c r="N74" s="489"/>
      <c r="O74" s="489"/>
      <c r="P74" s="489"/>
      <c r="Q74" s="489"/>
      <c r="R74" s="489"/>
      <c r="S74" s="490"/>
      <c r="T74" s="491">
        <v>42901</v>
      </c>
      <c r="U74" s="492"/>
      <c r="V74" s="493"/>
      <c r="W74" s="493"/>
      <c r="X74" s="494"/>
      <c r="Y74" s="494"/>
      <c r="Z74" s="494"/>
      <c r="AA74" s="494"/>
      <c r="AB74" s="494"/>
      <c r="AC74" s="494"/>
      <c r="AD74" s="495"/>
      <c r="AF74" s="53"/>
    </row>
    <row r="75" spans="1:32" ht="30" customHeight="1">
      <c r="A75" s="475">
        <f>A74+1</f>
        <v>2</v>
      </c>
      <c r="B75" s="476"/>
      <c r="C75" s="377" t="s">
        <v>114</v>
      </c>
      <c r="D75" s="377"/>
      <c r="E75" s="35" t="s">
        <v>116</v>
      </c>
      <c r="F75" s="476" t="s">
        <v>117</v>
      </c>
      <c r="G75" s="476"/>
      <c r="H75" s="476"/>
      <c r="I75" s="476"/>
      <c r="J75" s="476"/>
      <c r="K75" s="477" t="s">
        <v>118</v>
      </c>
      <c r="L75" s="478"/>
      <c r="M75" s="478"/>
      <c r="N75" s="478"/>
      <c r="O75" s="478"/>
      <c r="P75" s="478"/>
      <c r="Q75" s="478"/>
      <c r="R75" s="478"/>
      <c r="S75" s="479"/>
      <c r="T75" s="480">
        <v>42867</v>
      </c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ref="A76:A82" si="27">A75+1</f>
        <v>3</v>
      </c>
      <c r="B76" s="476"/>
      <c r="C76" s="377"/>
      <c r="D76" s="377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27"/>
        <v>4</v>
      </c>
      <c r="B77" s="476"/>
      <c r="C77" s="377"/>
      <c r="D77" s="377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27"/>
        <v>5</v>
      </c>
      <c r="B78" s="476"/>
      <c r="C78" s="377"/>
      <c r="D78" s="377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27"/>
        <v>6</v>
      </c>
      <c r="B79" s="476"/>
      <c r="C79" s="377"/>
      <c r="D79" s="377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27"/>
        <v>7</v>
      </c>
      <c r="B80" s="476"/>
      <c r="C80" s="377"/>
      <c r="D80" s="377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27"/>
        <v>8</v>
      </c>
      <c r="B81" s="476"/>
      <c r="C81" s="377"/>
      <c r="D81" s="377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0" customHeight="1">
      <c r="A82" s="475">
        <f t="shared" si="27"/>
        <v>9</v>
      </c>
      <c r="B82" s="476"/>
      <c r="C82" s="377"/>
      <c r="D82" s="377"/>
      <c r="E82" s="35"/>
      <c r="F82" s="476"/>
      <c r="G82" s="476"/>
      <c r="H82" s="476"/>
      <c r="I82" s="476"/>
      <c r="J82" s="476"/>
      <c r="K82" s="477"/>
      <c r="L82" s="478"/>
      <c r="M82" s="478"/>
      <c r="N82" s="478"/>
      <c r="O82" s="478"/>
      <c r="P82" s="478"/>
      <c r="Q82" s="478"/>
      <c r="R82" s="478"/>
      <c r="S82" s="479"/>
      <c r="T82" s="480"/>
      <c r="U82" s="480"/>
      <c r="V82" s="480"/>
      <c r="W82" s="480"/>
      <c r="X82" s="481"/>
      <c r="Y82" s="481"/>
      <c r="Z82" s="481"/>
      <c r="AA82" s="481"/>
      <c r="AB82" s="481"/>
      <c r="AC82" s="481"/>
      <c r="AD82" s="482"/>
      <c r="AF82" s="53"/>
    </row>
    <row r="83" spans="1:32" ht="36" thickBot="1">
      <c r="A83" s="468" t="s">
        <v>1092</v>
      </c>
      <c r="B83" s="468"/>
      <c r="C83" s="468"/>
      <c r="D83" s="468"/>
      <c r="E83" s="468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69" t="s">
        <v>113</v>
      </c>
      <c r="B84" s="470"/>
      <c r="C84" s="496" t="s">
        <v>52</v>
      </c>
      <c r="D84" s="496"/>
      <c r="E84" s="496" t="s">
        <v>53</v>
      </c>
      <c r="F84" s="496"/>
      <c r="G84" s="496"/>
      <c r="H84" s="496"/>
      <c r="I84" s="496"/>
      <c r="J84" s="496"/>
      <c r="K84" s="496" t="s">
        <v>54</v>
      </c>
      <c r="L84" s="496"/>
      <c r="M84" s="496"/>
      <c r="N84" s="496"/>
      <c r="O84" s="496"/>
      <c r="P84" s="496"/>
      <c r="Q84" s="496"/>
      <c r="R84" s="496"/>
      <c r="S84" s="496"/>
      <c r="T84" s="496" t="s">
        <v>55</v>
      </c>
      <c r="U84" s="496"/>
      <c r="V84" s="496" t="s">
        <v>56</v>
      </c>
      <c r="W84" s="496"/>
      <c r="X84" s="496"/>
      <c r="Y84" s="496" t="s">
        <v>51</v>
      </c>
      <c r="Z84" s="496"/>
      <c r="AA84" s="496"/>
      <c r="AB84" s="496"/>
      <c r="AC84" s="496"/>
      <c r="AD84" s="497"/>
      <c r="AF84" s="53"/>
    </row>
    <row r="85" spans="1:32" ht="30.75" customHeight="1">
      <c r="A85" s="483">
        <v>1</v>
      </c>
      <c r="B85" s="484"/>
      <c r="C85" s="498"/>
      <c r="D85" s="498"/>
      <c r="E85" s="498"/>
      <c r="F85" s="498"/>
      <c r="G85" s="498"/>
      <c r="H85" s="498"/>
      <c r="I85" s="498"/>
      <c r="J85" s="498"/>
      <c r="K85" s="498"/>
      <c r="L85" s="498"/>
      <c r="M85" s="498"/>
      <c r="N85" s="498"/>
      <c r="O85" s="498"/>
      <c r="P85" s="498"/>
      <c r="Q85" s="498"/>
      <c r="R85" s="498"/>
      <c r="S85" s="498"/>
      <c r="T85" s="498"/>
      <c r="U85" s="498"/>
      <c r="V85" s="499"/>
      <c r="W85" s="499"/>
      <c r="X85" s="499"/>
      <c r="Y85" s="500"/>
      <c r="Z85" s="500"/>
      <c r="AA85" s="500"/>
      <c r="AB85" s="500"/>
      <c r="AC85" s="500"/>
      <c r="AD85" s="501"/>
      <c r="AF85" s="53"/>
    </row>
    <row r="86" spans="1:32" ht="30.75" customHeight="1">
      <c r="A86" s="475">
        <v>2</v>
      </c>
      <c r="B86" s="476"/>
      <c r="C86" s="509"/>
      <c r="D86" s="509"/>
      <c r="E86" s="509"/>
      <c r="F86" s="509"/>
      <c r="G86" s="509"/>
      <c r="H86" s="509"/>
      <c r="I86" s="509"/>
      <c r="J86" s="509"/>
      <c r="K86" s="509"/>
      <c r="L86" s="509"/>
      <c r="M86" s="509"/>
      <c r="N86" s="509"/>
      <c r="O86" s="509"/>
      <c r="P86" s="509"/>
      <c r="Q86" s="509"/>
      <c r="R86" s="509"/>
      <c r="S86" s="509"/>
      <c r="T86" s="510"/>
      <c r="U86" s="510"/>
      <c r="V86" s="511"/>
      <c r="W86" s="511"/>
      <c r="X86" s="511"/>
      <c r="Y86" s="502"/>
      <c r="Z86" s="502"/>
      <c r="AA86" s="502"/>
      <c r="AB86" s="502"/>
      <c r="AC86" s="502"/>
      <c r="AD86" s="503"/>
      <c r="AF86" s="53"/>
    </row>
    <row r="87" spans="1:32" ht="30.75" customHeight="1" thickBot="1">
      <c r="A87" s="504">
        <v>3</v>
      </c>
      <c r="B87" s="505"/>
      <c r="C87" s="506"/>
      <c r="D87" s="506"/>
      <c r="E87" s="506"/>
      <c r="F87" s="506"/>
      <c r="G87" s="506"/>
      <c r="H87" s="506"/>
      <c r="I87" s="506"/>
      <c r="J87" s="506"/>
      <c r="K87" s="506"/>
      <c r="L87" s="506"/>
      <c r="M87" s="506"/>
      <c r="N87" s="506"/>
      <c r="O87" s="506"/>
      <c r="P87" s="506"/>
      <c r="Q87" s="506"/>
      <c r="R87" s="506"/>
      <c r="S87" s="506"/>
      <c r="T87" s="506"/>
      <c r="U87" s="506"/>
      <c r="V87" s="506"/>
      <c r="W87" s="506"/>
      <c r="X87" s="506"/>
      <c r="Y87" s="507"/>
      <c r="Z87" s="507"/>
      <c r="AA87" s="507"/>
      <c r="AB87" s="507"/>
      <c r="AC87" s="507"/>
      <c r="AD87" s="508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abSelected="1"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02" t="s">
        <v>1093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02"/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03"/>
      <c r="B3" s="403"/>
      <c r="C3" s="403"/>
      <c r="D3" s="403"/>
      <c r="E3" s="403"/>
      <c r="F3" s="403"/>
      <c r="G3" s="40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04" t="s">
        <v>0</v>
      </c>
      <c r="B4" s="406" t="s">
        <v>1</v>
      </c>
      <c r="C4" s="406" t="s">
        <v>2</v>
      </c>
      <c r="D4" s="409" t="s">
        <v>3</v>
      </c>
      <c r="E4" s="411" t="s">
        <v>4</v>
      </c>
      <c r="F4" s="409" t="s">
        <v>5</v>
      </c>
      <c r="G4" s="406" t="s">
        <v>6</v>
      </c>
      <c r="H4" s="412" t="s">
        <v>7</v>
      </c>
      <c r="I4" s="433" t="s">
        <v>8</v>
      </c>
      <c r="J4" s="434"/>
      <c r="K4" s="434"/>
      <c r="L4" s="434"/>
      <c r="M4" s="434"/>
      <c r="N4" s="434"/>
      <c r="O4" s="435"/>
      <c r="P4" s="436" t="s">
        <v>9</v>
      </c>
      <c r="Q4" s="437"/>
      <c r="R4" s="438" t="s">
        <v>10</v>
      </c>
      <c r="S4" s="438"/>
      <c r="T4" s="438"/>
      <c r="U4" s="438"/>
      <c r="V4" s="438"/>
      <c r="W4" s="439" t="s">
        <v>11</v>
      </c>
      <c r="X4" s="438"/>
      <c r="Y4" s="438"/>
      <c r="Z4" s="438"/>
      <c r="AA4" s="440"/>
      <c r="AB4" s="441" t="s">
        <v>12</v>
      </c>
      <c r="AC4" s="414" t="s">
        <v>13</v>
      </c>
      <c r="AD4" s="414" t="s">
        <v>14</v>
      </c>
      <c r="AE4" s="58"/>
    </row>
    <row r="5" spans="1:32" ht="51" customHeight="1" thickBot="1">
      <c r="A5" s="405"/>
      <c r="B5" s="407"/>
      <c r="C5" s="408"/>
      <c r="D5" s="410"/>
      <c r="E5" s="410"/>
      <c r="F5" s="410"/>
      <c r="G5" s="407"/>
      <c r="H5" s="413"/>
      <c r="I5" s="59" t="s">
        <v>15</v>
      </c>
      <c r="J5" s="60" t="s">
        <v>16</v>
      </c>
      <c r="K5" s="389" t="s">
        <v>17</v>
      </c>
      <c r="L5" s="389" t="s">
        <v>18</v>
      </c>
      <c r="M5" s="389" t="s">
        <v>19</v>
      </c>
      <c r="N5" s="38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42"/>
      <c r="AC5" s="415"/>
      <c r="AD5" s="415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246</v>
      </c>
      <c r="E6" s="57" t="s">
        <v>813</v>
      </c>
      <c r="F6" s="33" t="s">
        <v>161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9.1504248930090626E-2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837</v>
      </c>
      <c r="D7" s="55"/>
      <c r="E7" s="57" t="s">
        <v>838</v>
      </c>
      <c r="F7" s="33" t="s">
        <v>161</v>
      </c>
      <c r="G7" s="12" t="s">
        <v>840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9.1504248930090626E-2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1094</v>
      </c>
      <c r="D8" s="55" t="s">
        <v>1095</v>
      </c>
      <c r="E8" s="57" t="s">
        <v>1096</v>
      </c>
      <c r="F8" s="33" t="s">
        <v>526</v>
      </c>
      <c r="G8" s="12">
        <v>1</v>
      </c>
      <c r="H8" s="13">
        <v>25</v>
      </c>
      <c r="I8" s="34">
        <v>16000</v>
      </c>
      <c r="J8" s="5">
        <v>80</v>
      </c>
      <c r="K8" s="15">
        <f>L8</f>
        <v>78</v>
      </c>
      <c r="L8" s="15">
        <v>78</v>
      </c>
      <c r="M8" s="16">
        <f t="shared" si="0"/>
        <v>78</v>
      </c>
      <c r="N8" s="16">
        <v>0</v>
      </c>
      <c r="O8" s="62">
        <f t="shared" si="1"/>
        <v>0</v>
      </c>
      <c r="P8" s="42">
        <f t="shared" si="2"/>
        <v>1</v>
      </c>
      <c r="Q8" s="43">
        <f t="shared" si="3"/>
        <v>23</v>
      </c>
      <c r="R8" s="7"/>
      <c r="S8" s="6">
        <v>7</v>
      </c>
      <c r="T8" s="17"/>
      <c r="U8" s="17"/>
      <c r="V8" s="18">
        <v>16</v>
      </c>
      <c r="W8" s="19"/>
      <c r="X8" s="17"/>
      <c r="Y8" s="20"/>
      <c r="Z8" s="20"/>
      <c r="AA8" s="21"/>
      <c r="AB8" s="8">
        <f t="shared" si="4"/>
        <v>0.97499999999999998</v>
      </c>
      <c r="AC8" s="9">
        <f t="shared" si="5"/>
        <v>4.1666666666666664E-2</v>
      </c>
      <c r="AD8" s="10">
        <f t="shared" si="6"/>
        <v>4.0624999999999994E-2</v>
      </c>
      <c r="AE8" s="39">
        <f t="shared" si="7"/>
        <v>9.1504248930090626E-2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129</v>
      </c>
      <c r="D9" s="55" t="s">
        <v>142</v>
      </c>
      <c r="E9" s="57" t="s">
        <v>952</v>
      </c>
      <c r="F9" s="33" t="s">
        <v>207</v>
      </c>
      <c r="G9" s="36">
        <v>2</v>
      </c>
      <c r="H9" s="38">
        <v>25</v>
      </c>
      <c r="I9" s="7">
        <v>30000</v>
      </c>
      <c r="J9" s="5">
        <v>80</v>
      </c>
      <c r="K9" s="15">
        <f>L9+3546+9086+9662</f>
        <v>22294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9.1504248930090626E-2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129</v>
      </c>
      <c r="D10" s="55" t="s">
        <v>142</v>
      </c>
      <c r="E10" s="57" t="s">
        <v>952</v>
      </c>
      <c r="F10" s="33" t="s">
        <v>207</v>
      </c>
      <c r="G10" s="36">
        <v>2</v>
      </c>
      <c r="H10" s="38">
        <v>25</v>
      </c>
      <c r="I10" s="7">
        <v>30000</v>
      </c>
      <c r="J10" s="5">
        <v>1112</v>
      </c>
      <c r="K10" s="15">
        <f>L10+3546+9086+9662</f>
        <v>23406</v>
      </c>
      <c r="L10" s="15">
        <f>556*2</f>
        <v>1112</v>
      </c>
      <c r="M10" s="16">
        <f t="shared" ref="M10" si="9">L10-N10</f>
        <v>1112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3</v>
      </c>
      <c r="Q10" s="43">
        <f t="shared" ref="Q10" si="12">SUM(R10:AA10)</f>
        <v>21</v>
      </c>
      <c r="R10" s="7"/>
      <c r="S10" s="6">
        <v>5</v>
      </c>
      <c r="T10" s="17"/>
      <c r="U10" s="17"/>
      <c r="V10" s="18">
        <v>16</v>
      </c>
      <c r="W10" s="19"/>
      <c r="X10" s="17"/>
      <c r="Y10" s="20"/>
      <c r="Z10" s="20"/>
      <c r="AA10" s="21"/>
      <c r="AB10" s="8">
        <f t="shared" ref="AB10" si="13">IF(J10=0,"0",(L10/J10))</f>
        <v>1</v>
      </c>
      <c r="AC10" s="9">
        <f t="shared" ref="AC10" si="14">IF(P10=0,"0",(P10/24))</f>
        <v>0.125</v>
      </c>
      <c r="AD10" s="10">
        <f t="shared" ref="AD10" si="15">AC10*AB10*(1-O10)</f>
        <v>0.125</v>
      </c>
      <c r="AE10" s="39">
        <f t="shared" si="7"/>
        <v>9.1504248930090626E-2</v>
      </c>
      <c r="AF10" s="94">
        <f t="shared" ref="AF10" si="16">A10</f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576</v>
      </c>
      <c r="E11" s="57" t="s">
        <v>599</v>
      </c>
      <c r="F11" s="12" t="s">
        <v>417</v>
      </c>
      <c r="G11" s="12">
        <v>1</v>
      </c>
      <c r="H11" s="13">
        <v>25</v>
      </c>
      <c r="I11" s="34">
        <v>250</v>
      </c>
      <c r="J11" s="14">
        <v>540</v>
      </c>
      <c r="K11" s="15">
        <f>L11+540</f>
        <v>540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/>
      <c r="X11" s="17"/>
      <c r="Y11" s="20"/>
      <c r="Z11" s="20"/>
      <c r="AA11" s="21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9.1504248930090626E-2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237</v>
      </c>
      <c r="D12" s="55" t="s">
        <v>1036</v>
      </c>
      <c r="E12" s="57" t="s">
        <v>153</v>
      </c>
      <c r="F12" s="12" t="s">
        <v>348</v>
      </c>
      <c r="G12" s="12">
        <v>1</v>
      </c>
      <c r="H12" s="13">
        <v>25</v>
      </c>
      <c r="I12" s="7">
        <v>3500</v>
      </c>
      <c r="J12" s="14">
        <v>2140</v>
      </c>
      <c r="K12" s="15">
        <f>L12+4725+2140</f>
        <v>6865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11</v>
      </c>
      <c r="R12" s="7"/>
      <c r="S12" s="6"/>
      <c r="T12" s="17"/>
      <c r="U12" s="17"/>
      <c r="V12" s="18"/>
      <c r="W12" s="19">
        <v>11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9.1504248930090626E-2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182</v>
      </c>
      <c r="D13" s="55" t="s">
        <v>1097</v>
      </c>
      <c r="E13" s="57" t="s">
        <v>1098</v>
      </c>
      <c r="F13" s="12" t="s">
        <v>1099</v>
      </c>
      <c r="G13" s="12">
        <v>1</v>
      </c>
      <c r="H13" s="13">
        <v>25</v>
      </c>
      <c r="I13" s="7">
        <v>1000</v>
      </c>
      <c r="J13" s="14">
        <v>1270</v>
      </c>
      <c r="K13" s="15">
        <f>L13</f>
        <v>1265</v>
      </c>
      <c r="L13" s="15">
        <f>1265</f>
        <v>1265</v>
      </c>
      <c r="M13" s="16">
        <f t="shared" si="0"/>
        <v>1265</v>
      </c>
      <c r="N13" s="16">
        <v>0</v>
      </c>
      <c r="O13" s="62">
        <f t="shared" si="1"/>
        <v>0</v>
      </c>
      <c r="P13" s="42">
        <f t="shared" si="2"/>
        <v>7</v>
      </c>
      <c r="Q13" s="43">
        <f t="shared" si="3"/>
        <v>17</v>
      </c>
      <c r="R13" s="7"/>
      <c r="S13" s="6"/>
      <c r="T13" s="17"/>
      <c r="U13" s="17"/>
      <c r="V13" s="18">
        <v>16</v>
      </c>
      <c r="W13" s="19"/>
      <c r="X13" s="17"/>
      <c r="Y13" s="20"/>
      <c r="Z13" s="20"/>
      <c r="AA13" s="21">
        <v>1</v>
      </c>
      <c r="AB13" s="8">
        <f t="shared" si="4"/>
        <v>0.99606299212598426</v>
      </c>
      <c r="AC13" s="9">
        <f t="shared" si="5"/>
        <v>0.29166666666666669</v>
      </c>
      <c r="AD13" s="10">
        <f t="shared" si="6"/>
        <v>0.29051837270341208</v>
      </c>
      <c r="AE13" s="39">
        <f t="shared" si="7"/>
        <v>9.1504248930090626E-2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125</v>
      </c>
      <c r="E14" s="57" t="s">
        <v>320</v>
      </c>
      <c r="F14" s="33" t="s">
        <v>139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9.1504248930090626E-2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524</v>
      </c>
      <c r="D15" s="55" t="s">
        <v>368</v>
      </c>
      <c r="E15" s="57" t="s">
        <v>753</v>
      </c>
      <c r="F15" s="12">
        <v>8301</v>
      </c>
      <c r="G15" s="12">
        <v>1</v>
      </c>
      <c r="H15" s="13">
        <v>24</v>
      </c>
      <c r="I15" s="34">
        <v>15000</v>
      </c>
      <c r="J15" s="14">
        <v>2780</v>
      </c>
      <c r="K15" s="15">
        <f>L15+3581+4538+4548+2775</f>
        <v>15442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9.1504248930090626E-2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114</v>
      </c>
      <c r="D16" s="55" t="s">
        <v>434</v>
      </c>
      <c r="E16" s="57" t="s">
        <v>1067</v>
      </c>
      <c r="F16" s="12">
        <v>7301</v>
      </c>
      <c r="G16" s="12">
        <v>1</v>
      </c>
      <c r="H16" s="13">
        <v>24</v>
      </c>
      <c r="I16" s="34">
        <v>10000</v>
      </c>
      <c r="J16" s="14">
        <v>2510</v>
      </c>
      <c r="K16" s="15">
        <f>L16+3768</f>
        <v>6278</v>
      </c>
      <c r="L16" s="15">
        <f>2510</f>
        <v>2510</v>
      </c>
      <c r="M16" s="16">
        <f t="shared" si="0"/>
        <v>2510</v>
      </c>
      <c r="N16" s="16">
        <v>0</v>
      </c>
      <c r="O16" s="62">
        <f t="shared" si="1"/>
        <v>0</v>
      </c>
      <c r="P16" s="42">
        <f t="shared" si="2"/>
        <v>8</v>
      </c>
      <c r="Q16" s="43">
        <f t="shared" si="3"/>
        <v>16</v>
      </c>
      <c r="R16" s="7"/>
      <c r="S16" s="6"/>
      <c r="T16" s="17"/>
      <c r="U16" s="17"/>
      <c r="V16" s="18">
        <v>16</v>
      </c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0.33333333333333331</v>
      </c>
      <c r="AD16" s="10">
        <f t="shared" si="6"/>
        <v>0.33333333333333331</v>
      </c>
      <c r="AE16" s="39">
        <f t="shared" si="7"/>
        <v>9.1504248930090626E-2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131</v>
      </c>
      <c r="E17" s="57" t="s">
        <v>699</v>
      </c>
      <c r="F17" s="12" t="s">
        <v>417</v>
      </c>
      <c r="G17" s="12">
        <v>1</v>
      </c>
      <c r="H17" s="13">
        <v>25</v>
      </c>
      <c r="I17" s="34">
        <v>1700</v>
      </c>
      <c r="J17" s="5">
        <v>416</v>
      </c>
      <c r="K17" s="15">
        <f>L17+416</f>
        <v>416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9.1504248930090626E-2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146</v>
      </c>
      <c r="D18" s="55" t="s">
        <v>172</v>
      </c>
      <c r="E18" s="57" t="s">
        <v>471</v>
      </c>
      <c r="F18" s="12" t="s">
        <v>493</v>
      </c>
      <c r="G18" s="12">
        <v>2</v>
      </c>
      <c r="H18" s="13">
        <v>24</v>
      </c>
      <c r="I18" s="34">
        <v>140000</v>
      </c>
      <c r="J18" s="14">
        <v>5610</v>
      </c>
      <c r="K18" s="15">
        <f>L18+8022+9598+11782+11798+11816+11788+12090+6818+11506+11028+9460+5364+10984+11682+10692+1740+7600</f>
        <v>169378</v>
      </c>
      <c r="L18" s="15">
        <f>2805*2</f>
        <v>5610</v>
      </c>
      <c r="M18" s="16">
        <f t="shared" si="0"/>
        <v>5610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>
        <v>16</v>
      </c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9">
        <f t="shared" si="7"/>
        <v>9.1504248930090626E-2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121</v>
      </c>
      <c r="D19" s="55" t="s">
        <v>165</v>
      </c>
      <c r="E19" s="57" t="s">
        <v>1005</v>
      </c>
      <c r="F19" s="12" t="s">
        <v>151</v>
      </c>
      <c r="G19" s="12">
        <v>1</v>
      </c>
      <c r="H19" s="13">
        <v>25</v>
      </c>
      <c r="I19" s="7">
        <v>3500</v>
      </c>
      <c r="J19" s="14">
        <v>2270</v>
      </c>
      <c r="K19" s="15">
        <f>L19+3767+2262</f>
        <v>6029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9.1504248930090626E-2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123</v>
      </c>
      <c r="D20" s="55"/>
      <c r="E20" s="56" t="s">
        <v>138</v>
      </c>
      <c r="F20" s="12" t="s">
        <v>124</v>
      </c>
      <c r="G20" s="12">
        <v>4</v>
      </c>
      <c r="H20" s="38">
        <v>20</v>
      </c>
      <c r="I20" s="7">
        <v>800000</v>
      </c>
      <c r="J20" s="14">
        <v>6090</v>
      </c>
      <c r="K20" s="15">
        <f>L20+29128+42972+45096+45728+43064+5640+29816+42972+44600+38336</f>
        <v>373436</v>
      </c>
      <c r="L20" s="15">
        <f>1521*4</f>
        <v>6084</v>
      </c>
      <c r="M20" s="16">
        <f t="shared" si="0"/>
        <v>6084</v>
      </c>
      <c r="N20" s="16">
        <v>0</v>
      </c>
      <c r="O20" s="62">
        <f t="shared" si="1"/>
        <v>0</v>
      </c>
      <c r="P20" s="42">
        <f t="shared" si="2"/>
        <v>6</v>
      </c>
      <c r="Q20" s="43">
        <f t="shared" si="3"/>
        <v>18</v>
      </c>
      <c r="R20" s="7"/>
      <c r="S20" s="6"/>
      <c r="T20" s="17"/>
      <c r="U20" s="17"/>
      <c r="V20" s="18">
        <v>18</v>
      </c>
      <c r="W20" s="19"/>
      <c r="X20" s="17"/>
      <c r="Y20" s="20"/>
      <c r="Z20" s="20"/>
      <c r="AA20" s="21"/>
      <c r="AB20" s="8">
        <f t="shared" si="4"/>
        <v>0.9990147783251232</v>
      </c>
      <c r="AC20" s="9">
        <f t="shared" si="5"/>
        <v>0.25</v>
      </c>
      <c r="AD20" s="10">
        <f t="shared" si="6"/>
        <v>0.2497536945812808</v>
      </c>
      <c r="AE20" s="39">
        <f t="shared" si="7"/>
        <v>9.1504248930090626E-2</v>
      </c>
      <c r="AF20" s="94">
        <f t="shared" si="8"/>
        <v>15</v>
      </c>
    </row>
    <row r="21" spans="1:32" ht="31.5" customHeight="1" thickBot="1">
      <c r="A21" s="416" t="s">
        <v>34</v>
      </c>
      <c r="B21" s="417"/>
      <c r="C21" s="417"/>
      <c r="D21" s="417"/>
      <c r="E21" s="417"/>
      <c r="F21" s="417"/>
      <c r="G21" s="417"/>
      <c r="H21" s="418"/>
      <c r="I21" s="25">
        <f t="shared" ref="I21:N21" si="17">SUM(I6:I20)</f>
        <v>1066050</v>
      </c>
      <c r="J21" s="22">
        <f t="shared" si="17"/>
        <v>29498</v>
      </c>
      <c r="K21" s="23">
        <f t="shared" si="17"/>
        <v>644672</v>
      </c>
      <c r="L21" s="24">
        <f t="shared" si="17"/>
        <v>16659</v>
      </c>
      <c r="M21" s="23">
        <f t="shared" si="17"/>
        <v>16659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33</v>
      </c>
      <c r="Q21" s="46">
        <f t="shared" si="18"/>
        <v>314</v>
      </c>
      <c r="R21" s="26">
        <f t="shared" si="18"/>
        <v>0</v>
      </c>
      <c r="S21" s="27">
        <f t="shared" si="18"/>
        <v>36</v>
      </c>
      <c r="T21" s="27">
        <f t="shared" si="18"/>
        <v>0</v>
      </c>
      <c r="U21" s="27">
        <f t="shared" si="18"/>
        <v>0</v>
      </c>
      <c r="V21" s="28">
        <f t="shared" si="18"/>
        <v>98</v>
      </c>
      <c r="W21" s="29">
        <f t="shared" si="18"/>
        <v>131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49</v>
      </c>
      <c r="AB21" s="31">
        <f>SUM(AB6:AB20)/15</f>
        <v>0.39800518469674057</v>
      </c>
      <c r="AC21" s="4">
        <f>SUM(AC6:AC20)/15</f>
        <v>9.166666666666666E-2</v>
      </c>
      <c r="AD21" s="4">
        <f>SUM(AD6:AD20)/15</f>
        <v>9.1504248930090626E-2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19" t="s">
        <v>45</v>
      </c>
      <c r="B48" s="419"/>
      <c r="C48" s="419"/>
      <c r="D48" s="419"/>
      <c r="E48" s="419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20" t="s">
        <v>1100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2"/>
      <c r="N49" s="423" t="s">
        <v>1103</v>
      </c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5"/>
    </row>
    <row r="50" spans="1:32" ht="27" customHeight="1">
      <c r="A50" s="426" t="s">
        <v>2</v>
      </c>
      <c r="B50" s="427"/>
      <c r="C50" s="390" t="s">
        <v>46</v>
      </c>
      <c r="D50" s="390" t="s">
        <v>47</v>
      </c>
      <c r="E50" s="390" t="s">
        <v>108</v>
      </c>
      <c r="F50" s="427" t="s">
        <v>107</v>
      </c>
      <c r="G50" s="427"/>
      <c r="H50" s="427"/>
      <c r="I50" s="427"/>
      <c r="J50" s="427"/>
      <c r="K50" s="427"/>
      <c r="L50" s="427"/>
      <c r="M50" s="428"/>
      <c r="N50" s="73" t="s">
        <v>112</v>
      </c>
      <c r="O50" s="390" t="s">
        <v>46</v>
      </c>
      <c r="P50" s="429" t="s">
        <v>47</v>
      </c>
      <c r="Q50" s="430"/>
      <c r="R50" s="429" t="s">
        <v>38</v>
      </c>
      <c r="S50" s="431"/>
      <c r="T50" s="431"/>
      <c r="U50" s="430"/>
      <c r="V50" s="429" t="s">
        <v>48</v>
      </c>
      <c r="W50" s="431"/>
      <c r="X50" s="431"/>
      <c r="Y50" s="431"/>
      <c r="Z50" s="431"/>
      <c r="AA50" s="431"/>
      <c r="AB50" s="431"/>
      <c r="AC50" s="431"/>
      <c r="AD50" s="432"/>
    </row>
    <row r="51" spans="1:32" ht="27" customHeight="1">
      <c r="A51" s="459" t="s">
        <v>129</v>
      </c>
      <c r="B51" s="447"/>
      <c r="C51" s="392" t="s">
        <v>463</v>
      </c>
      <c r="D51" s="392"/>
      <c r="E51" s="392" t="s">
        <v>952</v>
      </c>
      <c r="F51" s="445" t="s">
        <v>1101</v>
      </c>
      <c r="G51" s="445"/>
      <c r="H51" s="445"/>
      <c r="I51" s="445"/>
      <c r="J51" s="445"/>
      <c r="K51" s="445"/>
      <c r="L51" s="445"/>
      <c r="M51" s="446"/>
      <c r="N51" s="396" t="s">
        <v>114</v>
      </c>
      <c r="O51" s="74" t="s">
        <v>253</v>
      </c>
      <c r="P51" s="447" t="s">
        <v>1104</v>
      </c>
      <c r="Q51" s="447"/>
      <c r="R51" s="447" t="s">
        <v>1105</v>
      </c>
      <c r="S51" s="447"/>
      <c r="T51" s="447"/>
      <c r="U51" s="447"/>
      <c r="V51" s="445" t="s">
        <v>166</v>
      </c>
      <c r="W51" s="445"/>
      <c r="X51" s="445"/>
      <c r="Y51" s="445"/>
      <c r="Z51" s="445"/>
      <c r="AA51" s="445"/>
      <c r="AB51" s="445"/>
      <c r="AC51" s="445"/>
      <c r="AD51" s="446"/>
    </row>
    <row r="52" spans="1:32" ht="27" customHeight="1">
      <c r="A52" s="459" t="s">
        <v>1102</v>
      </c>
      <c r="B52" s="447"/>
      <c r="C52" s="392" t="s">
        <v>300</v>
      </c>
      <c r="D52" s="392" t="s">
        <v>172</v>
      </c>
      <c r="E52" s="392" t="s">
        <v>1098</v>
      </c>
      <c r="F52" s="445" t="s">
        <v>166</v>
      </c>
      <c r="G52" s="445"/>
      <c r="H52" s="445"/>
      <c r="I52" s="445"/>
      <c r="J52" s="445"/>
      <c r="K52" s="445"/>
      <c r="L52" s="445"/>
      <c r="M52" s="446"/>
      <c r="N52" s="396" t="s">
        <v>1110</v>
      </c>
      <c r="O52" s="74" t="s">
        <v>304</v>
      </c>
      <c r="P52" s="447" t="s">
        <v>1108</v>
      </c>
      <c r="Q52" s="447"/>
      <c r="R52" s="447" t="s">
        <v>1106</v>
      </c>
      <c r="S52" s="447"/>
      <c r="T52" s="447"/>
      <c r="U52" s="447"/>
      <c r="V52" s="445" t="s">
        <v>166</v>
      </c>
      <c r="W52" s="445"/>
      <c r="X52" s="445"/>
      <c r="Y52" s="445"/>
      <c r="Z52" s="445"/>
      <c r="AA52" s="445"/>
      <c r="AB52" s="445"/>
      <c r="AC52" s="445"/>
      <c r="AD52" s="446"/>
    </row>
    <row r="53" spans="1:32" ht="27" customHeight="1">
      <c r="A53" s="459" t="s">
        <v>1094</v>
      </c>
      <c r="B53" s="447"/>
      <c r="C53" s="392" t="s">
        <v>250</v>
      </c>
      <c r="D53" s="392" t="s">
        <v>1095</v>
      </c>
      <c r="E53" s="392" t="s">
        <v>1082</v>
      </c>
      <c r="F53" s="445" t="s">
        <v>166</v>
      </c>
      <c r="G53" s="445"/>
      <c r="H53" s="445"/>
      <c r="I53" s="445"/>
      <c r="J53" s="445"/>
      <c r="K53" s="445"/>
      <c r="L53" s="445"/>
      <c r="M53" s="446"/>
      <c r="N53" s="396" t="s">
        <v>146</v>
      </c>
      <c r="O53" s="74" t="s">
        <v>1111</v>
      </c>
      <c r="P53" s="447" t="s">
        <v>1109</v>
      </c>
      <c r="Q53" s="447"/>
      <c r="R53" s="447" t="s">
        <v>1107</v>
      </c>
      <c r="S53" s="447"/>
      <c r="T53" s="447"/>
      <c r="U53" s="447"/>
      <c r="V53" s="445" t="s">
        <v>166</v>
      </c>
      <c r="W53" s="445"/>
      <c r="X53" s="445"/>
      <c r="Y53" s="445"/>
      <c r="Z53" s="445"/>
      <c r="AA53" s="445"/>
      <c r="AB53" s="445"/>
      <c r="AC53" s="445"/>
      <c r="AD53" s="446"/>
    </row>
    <row r="54" spans="1:32" ht="27" customHeight="1">
      <c r="A54" s="459"/>
      <c r="B54" s="447"/>
      <c r="C54" s="392"/>
      <c r="D54" s="392"/>
      <c r="E54" s="392"/>
      <c r="F54" s="445"/>
      <c r="G54" s="445"/>
      <c r="H54" s="445"/>
      <c r="I54" s="445"/>
      <c r="J54" s="445"/>
      <c r="K54" s="445"/>
      <c r="L54" s="445"/>
      <c r="M54" s="446"/>
      <c r="N54" s="396"/>
      <c r="O54" s="74"/>
      <c r="P54" s="447"/>
      <c r="Q54" s="447"/>
      <c r="R54" s="447"/>
      <c r="S54" s="447"/>
      <c r="T54" s="447"/>
      <c r="U54" s="447"/>
      <c r="V54" s="445"/>
      <c r="W54" s="445"/>
      <c r="X54" s="445"/>
      <c r="Y54" s="445"/>
      <c r="Z54" s="445"/>
      <c r="AA54" s="445"/>
      <c r="AB54" s="445"/>
      <c r="AC54" s="445"/>
      <c r="AD54" s="446"/>
    </row>
    <row r="55" spans="1:32" ht="27" customHeight="1">
      <c r="A55" s="459"/>
      <c r="B55" s="447"/>
      <c r="C55" s="392"/>
      <c r="D55" s="392"/>
      <c r="E55" s="392"/>
      <c r="F55" s="445"/>
      <c r="G55" s="445"/>
      <c r="H55" s="445"/>
      <c r="I55" s="445"/>
      <c r="J55" s="445"/>
      <c r="K55" s="445"/>
      <c r="L55" s="445"/>
      <c r="M55" s="446"/>
      <c r="N55" s="396"/>
      <c r="O55" s="74"/>
      <c r="P55" s="447"/>
      <c r="Q55" s="447"/>
      <c r="R55" s="447"/>
      <c r="S55" s="447"/>
      <c r="T55" s="447"/>
      <c r="U55" s="447"/>
      <c r="V55" s="445"/>
      <c r="W55" s="445"/>
      <c r="X55" s="445"/>
      <c r="Y55" s="445"/>
      <c r="Z55" s="445"/>
      <c r="AA55" s="445"/>
      <c r="AB55" s="445"/>
      <c r="AC55" s="445"/>
      <c r="AD55" s="446"/>
    </row>
    <row r="56" spans="1:32" ht="27" customHeight="1">
      <c r="A56" s="443"/>
      <c r="B56" s="444"/>
      <c r="C56" s="391"/>
      <c r="D56" s="392"/>
      <c r="E56" s="391"/>
      <c r="F56" s="445"/>
      <c r="G56" s="445"/>
      <c r="H56" s="445"/>
      <c r="I56" s="445"/>
      <c r="J56" s="445"/>
      <c r="K56" s="445"/>
      <c r="L56" s="445"/>
      <c r="M56" s="446"/>
      <c r="N56" s="396"/>
      <c r="O56" s="74"/>
      <c r="P56" s="447"/>
      <c r="Q56" s="447"/>
      <c r="R56" s="447"/>
      <c r="S56" s="447"/>
      <c r="T56" s="447"/>
      <c r="U56" s="447"/>
      <c r="V56" s="445"/>
      <c r="W56" s="445"/>
      <c r="X56" s="445"/>
      <c r="Y56" s="445"/>
      <c r="Z56" s="445"/>
      <c r="AA56" s="445"/>
      <c r="AB56" s="445"/>
      <c r="AC56" s="445"/>
      <c r="AD56" s="446"/>
    </row>
    <row r="57" spans="1:32" ht="27" customHeight="1">
      <c r="A57" s="443"/>
      <c r="B57" s="444"/>
      <c r="C57" s="391"/>
      <c r="D57" s="392"/>
      <c r="E57" s="391"/>
      <c r="F57" s="445"/>
      <c r="G57" s="445"/>
      <c r="H57" s="445"/>
      <c r="I57" s="445"/>
      <c r="J57" s="445"/>
      <c r="K57" s="445"/>
      <c r="L57" s="445"/>
      <c r="M57" s="446"/>
      <c r="N57" s="396"/>
      <c r="O57" s="74"/>
      <c r="P57" s="448"/>
      <c r="Q57" s="449"/>
      <c r="R57" s="447"/>
      <c r="S57" s="447"/>
      <c r="T57" s="447"/>
      <c r="U57" s="447"/>
      <c r="V57" s="445"/>
      <c r="W57" s="445"/>
      <c r="X57" s="445"/>
      <c r="Y57" s="445"/>
      <c r="Z57" s="445"/>
      <c r="AA57" s="445"/>
      <c r="AB57" s="445"/>
      <c r="AC57" s="445"/>
      <c r="AD57" s="446"/>
    </row>
    <row r="58" spans="1:32" ht="27" customHeight="1">
      <c r="A58" s="443"/>
      <c r="B58" s="444"/>
      <c r="C58" s="391"/>
      <c r="D58" s="392"/>
      <c r="E58" s="391"/>
      <c r="F58" s="445"/>
      <c r="G58" s="445"/>
      <c r="H58" s="445"/>
      <c r="I58" s="445"/>
      <c r="J58" s="445"/>
      <c r="K58" s="445"/>
      <c r="L58" s="445"/>
      <c r="M58" s="446"/>
      <c r="N58" s="396"/>
      <c r="O58" s="74"/>
      <c r="P58" s="448"/>
      <c r="Q58" s="449"/>
      <c r="R58" s="447"/>
      <c r="S58" s="447"/>
      <c r="T58" s="447"/>
      <c r="U58" s="447"/>
      <c r="V58" s="445"/>
      <c r="W58" s="445"/>
      <c r="X58" s="445"/>
      <c r="Y58" s="445"/>
      <c r="Z58" s="445"/>
      <c r="AA58" s="445"/>
      <c r="AB58" s="445"/>
      <c r="AC58" s="445"/>
      <c r="AD58" s="446"/>
    </row>
    <row r="59" spans="1:32" ht="27" customHeight="1">
      <c r="A59" s="459"/>
      <c r="B59" s="447"/>
      <c r="C59" s="392"/>
      <c r="D59" s="392"/>
      <c r="E59" s="392"/>
      <c r="F59" s="445"/>
      <c r="G59" s="445"/>
      <c r="H59" s="445"/>
      <c r="I59" s="445"/>
      <c r="J59" s="445"/>
      <c r="K59" s="445"/>
      <c r="L59" s="445"/>
      <c r="M59" s="446"/>
      <c r="N59" s="396"/>
      <c r="O59" s="74"/>
      <c r="P59" s="447"/>
      <c r="Q59" s="447"/>
      <c r="R59" s="447"/>
      <c r="S59" s="447"/>
      <c r="T59" s="447"/>
      <c r="U59" s="447"/>
      <c r="V59" s="445"/>
      <c r="W59" s="445"/>
      <c r="X59" s="445"/>
      <c r="Y59" s="445"/>
      <c r="Z59" s="445"/>
      <c r="AA59" s="445"/>
      <c r="AB59" s="445"/>
      <c r="AC59" s="445"/>
      <c r="AD59" s="446"/>
      <c r="AF59" s="94">
        <f>8*3000</f>
        <v>24000</v>
      </c>
    </row>
    <row r="60" spans="1:32" ht="27" customHeight="1" thickBot="1">
      <c r="A60" s="450"/>
      <c r="B60" s="451"/>
      <c r="C60" s="394"/>
      <c r="D60" s="394"/>
      <c r="E60" s="394"/>
      <c r="F60" s="452"/>
      <c r="G60" s="452"/>
      <c r="H60" s="452"/>
      <c r="I60" s="452"/>
      <c r="J60" s="452"/>
      <c r="K60" s="452"/>
      <c r="L60" s="452"/>
      <c r="M60" s="453"/>
      <c r="N60" s="393"/>
      <c r="O60" s="121"/>
      <c r="P60" s="451"/>
      <c r="Q60" s="451"/>
      <c r="R60" s="451"/>
      <c r="S60" s="451"/>
      <c r="T60" s="451"/>
      <c r="U60" s="451"/>
      <c r="V60" s="452"/>
      <c r="W60" s="452"/>
      <c r="X60" s="452"/>
      <c r="Y60" s="452"/>
      <c r="Z60" s="452"/>
      <c r="AA60" s="452"/>
      <c r="AB60" s="452"/>
      <c r="AC60" s="452"/>
      <c r="AD60" s="453"/>
      <c r="AF60" s="94">
        <f>16*3000</f>
        <v>48000</v>
      </c>
    </row>
    <row r="61" spans="1:32" ht="27.75" thickBot="1">
      <c r="A61" s="454" t="s">
        <v>1112</v>
      </c>
      <c r="B61" s="454"/>
      <c r="C61" s="454"/>
      <c r="D61" s="454"/>
      <c r="E61" s="454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55" t="s">
        <v>113</v>
      </c>
      <c r="B62" s="456"/>
      <c r="C62" s="395" t="s">
        <v>2</v>
      </c>
      <c r="D62" s="395" t="s">
        <v>37</v>
      </c>
      <c r="E62" s="395" t="s">
        <v>3</v>
      </c>
      <c r="F62" s="456" t="s">
        <v>110</v>
      </c>
      <c r="G62" s="456"/>
      <c r="H62" s="456"/>
      <c r="I62" s="456"/>
      <c r="J62" s="456"/>
      <c r="K62" s="456" t="s">
        <v>39</v>
      </c>
      <c r="L62" s="456"/>
      <c r="M62" s="395" t="s">
        <v>40</v>
      </c>
      <c r="N62" s="456" t="s">
        <v>41</v>
      </c>
      <c r="O62" s="456"/>
      <c r="P62" s="457" t="s">
        <v>42</v>
      </c>
      <c r="Q62" s="458"/>
      <c r="R62" s="457" t="s">
        <v>43</v>
      </c>
      <c r="S62" s="460"/>
      <c r="T62" s="460"/>
      <c r="U62" s="460"/>
      <c r="V62" s="460"/>
      <c r="W62" s="460"/>
      <c r="X62" s="460"/>
      <c r="Y62" s="460"/>
      <c r="Z62" s="460"/>
      <c r="AA62" s="458"/>
      <c r="AB62" s="456" t="s">
        <v>44</v>
      </c>
      <c r="AC62" s="456"/>
      <c r="AD62" s="461"/>
      <c r="AF62" s="94">
        <f>SUM(AF59:AF61)</f>
        <v>96000</v>
      </c>
    </row>
    <row r="63" spans="1:32" ht="25.5" customHeight="1">
      <c r="A63" s="462">
        <v>1</v>
      </c>
      <c r="B63" s="463"/>
      <c r="C63" s="124" t="s">
        <v>167</v>
      </c>
      <c r="D63" s="399"/>
      <c r="E63" s="397" t="s">
        <v>131</v>
      </c>
      <c r="F63" s="464" t="s">
        <v>699</v>
      </c>
      <c r="G63" s="465"/>
      <c r="H63" s="465"/>
      <c r="I63" s="465"/>
      <c r="J63" s="465"/>
      <c r="K63" s="465" t="s">
        <v>417</v>
      </c>
      <c r="L63" s="465"/>
      <c r="M63" s="54" t="s">
        <v>370</v>
      </c>
      <c r="N63" s="465">
        <v>12</v>
      </c>
      <c r="O63" s="465"/>
      <c r="P63" s="466">
        <v>50</v>
      </c>
      <c r="Q63" s="466"/>
      <c r="R63" s="445"/>
      <c r="S63" s="445"/>
      <c r="T63" s="445"/>
      <c r="U63" s="445"/>
      <c r="V63" s="445"/>
      <c r="W63" s="445"/>
      <c r="X63" s="445"/>
      <c r="Y63" s="445"/>
      <c r="Z63" s="445"/>
      <c r="AA63" s="445"/>
      <c r="AB63" s="465"/>
      <c r="AC63" s="465"/>
      <c r="AD63" s="467"/>
      <c r="AF63" s="53"/>
    </row>
    <row r="64" spans="1:32" ht="25.5" customHeight="1">
      <c r="A64" s="462">
        <v>2</v>
      </c>
      <c r="B64" s="463"/>
      <c r="C64" s="124" t="s">
        <v>237</v>
      </c>
      <c r="D64" s="399"/>
      <c r="E64" s="397" t="s">
        <v>254</v>
      </c>
      <c r="F64" s="464" t="s">
        <v>1113</v>
      </c>
      <c r="G64" s="465"/>
      <c r="H64" s="465"/>
      <c r="I64" s="465"/>
      <c r="J64" s="465"/>
      <c r="K64" s="465" t="s">
        <v>1114</v>
      </c>
      <c r="L64" s="465"/>
      <c r="M64" s="54" t="s">
        <v>1115</v>
      </c>
      <c r="N64" s="465">
        <v>4</v>
      </c>
      <c r="O64" s="465"/>
      <c r="P64" s="466">
        <v>100</v>
      </c>
      <c r="Q64" s="466"/>
      <c r="R64" s="445"/>
      <c r="S64" s="445"/>
      <c r="T64" s="445"/>
      <c r="U64" s="445"/>
      <c r="V64" s="445"/>
      <c r="W64" s="445"/>
      <c r="X64" s="445"/>
      <c r="Y64" s="445"/>
      <c r="Z64" s="445"/>
      <c r="AA64" s="445"/>
      <c r="AB64" s="465"/>
      <c r="AC64" s="465"/>
      <c r="AD64" s="467"/>
      <c r="AF64" s="53"/>
    </row>
    <row r="65" spans="1:32" ht="25.5" customHeight="1">
      <c r="A65" s="462">
        <v>3</v>
      </c>
      <c r="B65" s="463"/>
      <c r="C65" s="124" t="s">
        <v>237</v>
      </c>
      <c r="D65" s="399"/>
      <c r="E65" s="397" t="s">
        <v>1109</v>
      </c>
      <c r="F65" s="464" t="s">
        <v>1116</v>
      </c>
      <c r="G65" s="465"/>
      <c r="H65" s="465"/>
      <c r="I65" s="465"/>
      <c r="J65" s="465"/>
      <c r="K65" s="465" t="s">
        <v>1117</v>
      </c>
      <c r="L65" s="465"/>
      <c r="M65" s="54" t="s">
        <v>1118</v>
      </c>
      <c r="N65" s="465">
        <v>8</v>
      </c>
      <c r="O65" s="465"/>
      <c r="P65" s="466">
        <v>50</v>
      </c>
      <c r="Q65" s="466"/>
      <c r="R65" s="445"/>
      <c r="S65" s="445"/>
      <c r="T65" s="445"/>
      <c r="U65" s="445"/>
      <c r="V65" s="445"/>
      <c r="W65" s="445"/>
      <c r="X65" s="445"/>
      <c r="Y65" s="445"/>
      <c r="Z65" s="445"/>
      <c r="AA65" s="445"/>
      <c r="AB65" s="465"/>
      <c r="AC65" s="465"/>
      <c r="AD65" s="467"/>
      <c r="AF65" s="53"/>
    </row>
    <row r="66" spans="1:32" ht="25.5" customHeight="1">
      <c r="A66" s="462">
        <v>4</v>
      </c>
      <c r="B66" s="463"/>
      <c r="C66" s="124" t="s">
        <v>1119</v>
      </c>
      <c r="D66" s="399"/>
      <c r="E66" s="397" t="s">
        <v>1120</v>
      </c>
      <c r="F66" s="464" t="s">
        <v>1121</v>
      </c>
      <c r="G66" s="465"/>
      <c r="H66" s="465"/>
      <c r="I66" s="465"/>
      <c r="J66" s="465"/>
      <c r="K66" s="465" t="s">
        <v>1122</v>
      </c>
      <c r="L66" s="465"/>
      <c r="M66" s="54" t="s">
        <v>1123</v>
      </c>
      <c r="N66" s="465">
        <v>14</v>
      </c>
      <c r="O66" s="465"/>
      <c r="P66" s="466" t="s">
        <v>1124</v>
      </c>
      <c r="Q66" s="466"/>
      <c r="R66" s="445"/>
      <c r="S66" s="445"/>
      <c r="T66" s="445"/>
      <c r="U66" s="445"/>
      <c r="V66" s="445"/>
      <c r="W66" s="445"/>
      <c r="X66" s="445"/>
      <c r="Y66" s="445"/>
      <c r="Z66" s="445"/>
      <c r="AA66" s="445"/>
      <c r="AB66" s="465"/>
      <c r="AC66" s="465"/>
      <c r="AD66" s="467"/>
      <c r="AF66" s="53"/>
    </row>
    <row r="67" spans="1:32" ht="25.5" customHeight="1">
      <c r="A67" s="462">
        <v>5</v>
      </c>
      <c r="B67" s="463"/>
      <c r="C67" s="124"/>
      <c r="D67" s="399"/>
      <c r="E67" s="397"/>
      <c r="F67" s="464"/>
      <c r="G67" s="465"/>
      <c r="H67" s="465"/>
      <c r="I67" s="465"/>
      <c r="J67" s="465"/>
      <c r="K67" s="465"/>
      <c r="L67" s="465"/>
      <c r="M67" s="54"/>
      <c r="N67" s="465"/>
      <c r="O67" s="465"/>
      <c r="P67" s="466"/>
      <c r="Q67" s="466"/>
      <c r="R67" s="445"/>
      <c r="S67" s="445"/>
      <c r="T67" s="445"/>
      <c r="U67" s="445"/>
      <c r="V67" s="445"/>
      <c r="W67" s="445"/>
      <c r="X67" s="445"/>
      <c r="Y67" s="445"/>
      <c r="Z67" s="445"/>
      <c r="AA67" s="445"/>
      <c r="AB67" s="465"/>
      <c r="AC67" s="465"/>
      <c r="AD67" s="467"/>
      <c r="AF67" s="53"/>
    </row>
    <row r="68" spans="1:32" ht="25.5" customHeight="1">
      <c r="A68" s="462">
        <v>6</v>
      </c>
      <c r="B68" s="463"/>
      <c r="C68" s="124"/>
      <c r="D68" s="399"/>
      <c r="E68" s="397"/>
      <c r="F68" s="464"/>
      <c r="G68" s="465"/>
      <c r="H68" s="465"/>
      <c r="I68" s="465"/>
      <c r="J68" s="465"/>
      <c r="K68" s="465"/>
      <c r="L68" s="465"/>
      <c r="M68" s="54"/>
      <c r="N68" s="465"/>
      <c r="O68" s="465"/>
      <c r="P68" s="466"/>
      <c r="Q68" s="466"/>
      <c r="R68" s="445"/>
      <c r="S68" s="445"/>
      <c r="T68" s="445"/>
      <c r="U68" s="445"/>
      <c r="V68" s="445"/>
      <c r="W68" s="445"/>
      <c r="X68" s="445"/>
      <c r="Y68" s="445"/>
      <c r="Z68" s="445"/>
      <c r="AA68" s="445"/>
      <c r="AB68" s="465"/>
      <c r="AC68" s="465"/>
      <c r="AD68" s="467"/>
      <c r="AF68" s="53"/>
    </row>
    <row r="69" spans="1:32" ht="25.5" customHeight="1">
      <c r="A69" s="462">
        <v>7</v>
      </c>
      <c r="B69" s="463"/>
      <c r="C69" s="124"/>
      <c r="D69" s="399"/>
      <c r="E69" s="397"/>
      <c r="F69" s="464"/>
      <c r="G69" s="465"/>
      <c r="H69" s="465"/>
      <c r="I69" s="465"/>
      <c r="J69" s="465"/>
      <c r="K69" s="465"/>
      <c r="L69" s="465"/>
      <c r="M69" s="54"/>
      <c r="N69" s="465"/>
      <c r="O69" s="465"/>
      <c r="P69" s="466"/>
      <c r="Q69" s="466"/>
      <c r="R69" s="445"/>
      <c r="S69" s="445"/>
      <c r="T69" s="445"/>
      <c r="U69" s="445"/>
      <c r="V69" s="445"/>
      <c r="W69" s="445"/>
      <c r="X69" s="445"/>
      <c r="Y69" s="445"/>
      <c r="Z69" s="445"/>
      <c r="AA69" s="445"/>
      <c r="AB69" s="465"/>
      <c r="AC69" s="465"/>
      <c r="AD69" s="467"/>
      <c r="AF69" s="53"/>
    </row>
    <row r="70" spans="1:32" ht="25.5" customHeight="1">
      <c r="A70" s="462">
        <v>8</v>
      </c>
      <c r="B70" s="463"/>
      <c r="C70" s="124"/>
      <c r="D70" s="399"/>
      <c r="E70" s="397"/>
      <c r="F70" s="464"/>
      <c r="G70" s="465"/>
      <c r="H70" s="465"/>
      <c r="I70" s="465"/>
      <c r="J70" s="465"/>
      <c r="K70" s="465"/>
      <c r="L70" s="465"/>
      <c r="M70" s="54"/>
      <c r="N70" s="465"/>
      <c r="O70" s="465"/>
      <c r="P70" s="466"/>
      <c r="Q70" s="466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65"/>
      <c r="AC70" s="465"/>
      <c r="AD70" s="467"/>
      <c r="AF70" s="53"/>
    </row>
    <row r="71" spans="1:32" ht="26.25" customHeight="1" thickBot="1">
      <c r="A71" s="468" t="s">
        <v>1125</v>
      </c>
      <c r="B71" s="468"/>
      <c r="C71" s="468"/>
      <c r="D71" s="468"/>
      <c r="E71" s="468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69" t="s">
        <v>113</v>
      </c>
      <c r="B72" s="470"/>
      <c r="C72" s="398" t="s">
        <v>2</v>
      </c>
      <c r="D72" s="398" t="s">
        <v>37</v>
      </c>
      <c r="E72" s="398" t="s">
        <v>3</v>
      </c>
      <c r="F72" s="470" t="s">
        <v>38</v>
      </c>
      <c r="G72" s="470"/>
      <c r="H72" s="470"/>
      <c r="I72" s="470"/>
      <c r="J72" s="470"/>
      <c r="K72" s="471" t="s">
        <v>58</v>
      </c>
      <c r="L72" s="472"/>
      <c r="M72" s="472"/>
      <c r="N72" s="472"/>
      <c r="O72" s="472"/>
      <c r="P72" s="472"/>
      <c r="Q72" s="472"/>
      <c r="R72" s="472"/>
      <c r="S72" s="473"/>
      <c r="T72" s="470" t="s">
        <v>49</v>
      </c>
      <c r="U72" s="470"/>
      <c r="V72" s="471" t="s">
        <v>50</v>
      </c>
      <c r="W72" s="473"/>
      <c r="X72" s="472" t="s">
        <v>51</v>
      </c>
      <c r="Y72" s="472"/>
      <c r="Z72" s="472"/>
      <c r="AA72" s="472"/>
      <c r="AB72" s="472"/>
      <c r="AC72" s="472"/>
      <c r="AD72" s="474"/>
      <c r="AF72" s="53"/>
    </row>
    <row r="73" spans="1:32" ht="33.75" customHeight="1">
      <c r="A73" s="483">
        <v>1</v>
      </c>
      <c r="B73" s="484"/>
      <c r="C73" s="400" t="s">
        <v>114</v>
      </c>
      <c r="D73" s="400"/>
      <c r="E73" s="71" t="s">
        <v>119</v>
      </c>
      <c r="F73" s="485" t="s">
        <v>120</v>
      </c>
      <c r="G73" s="486"/>
      <c r="H73" s="486"/>
      <c r="I73" s="486"/>
      <c r="J73" s="487"/>
      <c r="K73" s="488" t="s">
        <v>115</v>
      </c>
      <c r="L73" s="489"/>
      <c r="M73" s="489"/>
      <c r="N73" s="489"/>
      <c r="O73" s="489"/>
      <c r="P73" s="489"/>
      <c r="Q73" s="489"/>
      <c r="R73" s="489"/>
      <c r="S73" s="490"/>
      <c r="T73" s="491">
        <v>42901</v>
      </c>
      <c r="U73" s="492"/>
      <c r="V73" s="493"/>
      <c r="W73" s="493"/>
      <c r="X73" s="494"/>
      <c r="Y73" s="494"/>
      <c r="Z73" s="494"/>
      <c r="AA73" s="494"/>
      <c r="AB73" s="494"/>
      <c r="AC73" s="494"/>
      <c r="AD73" s="495"/>
      <c r="AF73" s="53"/>
    </row>
    <row r="74" spans="1:32" ht="30" customHeight="1">
      <c r="A74" s="475">
        <f>A73+1</f>
        <v>2</v>
      </c>
      <c r="B74" s="476"/>
      <c r="C74" s="399" t="s">
        <v>114</v>
      </c>
      <c r="D74" s="399"/>
      <c r="E74" s="35" t="s">
        <v>116</v>
      </c>
      <c r="F74" s="476" t="s">
        <v>117</v>
      </c>
      <c r="G74" s="476"/>
      <c r="H74" s="476"/>
      <c r="I74" s="476"/>
      <c r="J74" s="476"/>
      <c r="K74" s="477" t="s">
        <v>118</v>
      </c>
      <c r="L74" s="478"/>
      <c r="M74" s="478"/>
      <c r="N74" s="478"/>
      <c r="O74" s="478"/>
      <c r="P74" s="478"/>
      <c r="Q74" s="478"/>
      <c r="R74" s="478"/>
      <c r="S74" s="479"/>
      <c r="T74" s="480">
        <v>42867</v>
      </c>
      <c r="U74" s="480"/>
      <c r="V74" s="480"/>
      <c r="W74" s="480"/>
      <c r="X74" s="481"/>
      <c r="Y74" s="481"/>
      <c r="Z74" s="481"/>
      <c r="AA74" s="481"/>
      <c r="AB74" s="481"/>
      <c r="AC74" s="481"/>
      <c r="AD74" s="482"/>
      <c r="AF74" s="53"/>
    </row>
    <row r="75" spans="1:32" ht="30" customHeight="1">
      <c r="A75" s="475">
        <f t="shared" ref="A75:A81" si="19">A74+1</f>
        <v>3</v>
      </c>
      <c r="B75" s="476"/>
      <c r="C75" s="399"/>
      <c r="D75" s="399"/>
      <c r="E75" s="35"/>
      <c r="F75" s="476"/>
      <c r="G75" s="476"/>
      <c r="H75" s="476"/>
      <c r="I75" s="476"/>
      <c r="J75" s="476"/>
      <c r="K75" s="477"/>
      <c r="L75" s="478"/>
      <c r="M75" s="478"/>
      <c r="N75" s="478"/>
      <c r="O75" s="478"/>
      <c r="P75" s="478"/>
      <c r="Q75" s="478"/>
      <c r="R75" s="478"/>
      <c r="S75" s="479"/>
      <c r="T75" s="480"/>
      <c r="U75" s="480"/>
      <c r="V75" s="480"/>
      <c r="W75" s="480"/>
      <c r="X75" s="481"/>
      <c r="Y75" s="481"/>
      <c r="Z75" s="481"/>
      <c r="AA75" s="481"/>
      <c r="AB75" s="481"/>
      <c r="AC75" s="481"/>
      <c r="AD75" s="482"/>
      <c r="AF75" s="53"/>
    </row>
    <row r="76" spans="1:32" ht="30" customHeight="1">
      <c r="A76" s="475">
        <f t="shared" si="19"/>
        <v>4</v>
      </c>
      <c r="B76" s="476"/>
      <c r="C76" s="399"/>
      <c r="D76" s="399"/>
      <c r="E76" s="35"/>
      <c r="F76" s="476"/>
      <c r="G76" s="476"/>
      <c r="H76" s="476"/>
      <c r="I76" s="476"/>
      <c r="J76" s="476"/>
      <c r="K76" s="477"/>
      <c r="L76" s="478"/>
      <c r="M76" s="478"/>
      <c r="N76" s="478"/>
      <c r="O76" s="478"/>
      <c r="P76" s="478"/>
      <c r="Q76" s="478"/>
      <c r="R76" s="478"/>
      <c r="S76" s="479"/>
      <c r="T76" s="480"/>
      <c r="U76" s="480"/>
      <c r="V76" s="480"/>
      <c r="W76" s="480"/>
      <c r="X76" s="481"/>
      <c r="Y76" s="481"/>
      <c r="Z76" s="481"/>
      <c r="AA76" s="481"/>
      <c r="AB76" s="481"/>
      <c r="AC76" s="481"/>
      <c r="AD76" s="482"/>
      <c r="AF76" s="53"/>
    </row>
    <row r="77" spans="1:32" ht="30" customHeight="1">
      <c r="A77" s="475">
        <f t="shared" si="19"/>
        <v>5</v>
      </c>
      <c r="B77" s="476"/>
      <c r="C77" s="399"/>
      <c r="D77" s="399"/>
      <c r="E77" s="35"/>
      <c r="F77" s="476"/>
      <c r="G77" s="476"/>
      <c r="H77" s="476"/>
      <c r="I77" s="476"/>
      <c r="J77" s="476"/>
      <c r="K77" s="477"/>
      <c r="L77" s="478"/>
      <c r="M77" s="478"/>
      <c r="N77" s="478"/>
      <c r="O77" s="478"/>
      <c r="P77" s="478"/>
      <c r="Q77" s="478"/>
      <c r="R77" s="478"/>
      <c r="S77" s="479"/>
      <c r="T77" s="480"/>
      <c r="U77" s="480"/>
      <c r="V77" s="480"/>
      <c r="W77" s="480"/>
      <c r="X77" s="481"/>
      <c r="Y77" s="481"/>
      <c r="Z77" s="481"/>
      <c r="AA77" s="481"/>
      <c r="AB77" s="481"/>
      <c r="AC77" s="481"/>
      <c r="AD77" s="482"/>
      <c r="AF77" s="53"/>
    </row>
    <row r="78" spans="1:32" ht="30" customHeight="1">
      <c r="A78" s="475">
        <f t="shared" si="19"/>
        <v>6</v>
      </c>
      <c r="B78" s="476"/>
      <c r="C78" s="399"/>
      <c r="D78" s="399"/>
      <c r="E78" s="35"/>
      <c r="F78" s="476"/>
      <c r="G78" s="476"/>
      <c r="H78" s="476"/>
      <c r="I78" s="476"/>
      <c r="J78" s="476"/>
      <c r="K78" s="477"/>
      <c r="L78" s="478"/>
      <c r="M78" s="478"/>
      <c r="N78" s="478"/>
      <c r="O78" s="478"/>
      <c r="P78" s="478"/>
      <c r="Q78" s="478"/>
      <c r="R78" s="478"/>
      <c r="S78" s="479"/>
      <c r="T78" s="480"/>
      <c r="U78" s="480"/>
      <c r="V78" s="480"/>
      <c r="W78" s="480"/>
      <c r="X78" s="481"/>
      <c r="Y78" s="481"/>
      <c r="Z78" s="481"/>
      <c r="AA78" s="481"/>
      <c r="AB78" s="481"/>
      <c r="AC78" s="481"/>
      <c r="AD78" s="482"/>
      <c r="AF78" s="53"/>
    </row>
    <row r="79" spans="1:32" ht="30" customHeight="1">
      <c r="A79" s="475">
        <f t="shared" si="19"/>
        <v>7</v>
      </c>
      <c r="B79" s="476"/>
      <c r="C79" s="399"/>
      <c r="D79" s="399"/>
      <c r="E79" s="35"/>
      <c r="F79" s="476"/>
      <c r="G79" s="476"/>
      <c r="H79" s="476"/>
      <c r="I79" s="476"/>
      <c r="J79" s="476"/>
      <c r="K79" s="477"/>
      <c r="L79" s="478"/>
      <c r="M79" s="478"/>
      <c r="N79" s="478"/>
      <c r="O79" s="478"/>
      <c r="P79" s="478"/>
      <c r="Q79" s="478"/>
      <c r="R79" s="478"/>
      <c r="S79" s="479"/>
      <c r="T79" s="480"/>
      <c r="U79" s="480"/>
      <c r="V79" s="480"/>
      <c r="W79" s="480"/>
      <c r="X79" s="481"/>
      <c r="Y79" s="481"/>
      <c r="Z79" s="481"/>
      <c r="AA79" s="481"/>
      <c r="AB79" s="481"/>
      <c r="AC79" s="481"/>
      <c r="AD79" s="482"/>
      <c r="AF79" s="53"/>
    </row>
    <row r="80" spans="1:32" ht="30" customHeight="1">
      <c r="A80" s="475">
        <f t="shared" si="19"/>
        <v>8</v>
      </c>
      <c r="B80" s="476"/>
      <c r="C80" s="399"/>
      <c r="D80" s="399"/>
      <c r="E80" s="35"/>
      <c r="F80" s="476"/>
      <c r="G80" s="476"/>
      <c r="H80" s="476"/>
      <c r="I80" s="476"/>
      <c r="J80" s="476"/>
      <c r="K80" s="477"/>
      <c r="L80" s="478"/>
      <c r="M80" s="478"/>
      <c r="N80" s="478"/>
      <c r="O80" s="478"/>
      <c r="P80" s="478"/>
      <c r="Q80" s="478"/>
      <c r="R80" s="478"/>
      <c r="S80" s="479"/>
      <c r="T80" s="480"/>
      <c r="U80" s="480"/>
      <c r="V80" s="480"/>
      <c r="W80" s="480"/>
      <c r="X80" s="481"/>
      <c r="Y80" s="481"/>
      <c r="Z80" s="481"/>
      <c r="AA80" s="481"/>
      <c r="AB80" s="481"/>
      <c r="AC80" s="481"/>
      <c r="AD80" s="482"/>
      <c r="AF80" s="53"/>
    </row>
    <row r="81" spans="1:32" ht="30" customHeight="1">
      <c r="A81" s="475">
        <f t="shared" si="19"/>
        <v>9</v>
      </c>
      <c r="B81" s="476"/>
      <c r="C81" s="399"/>
      <c r="D81" s="399"/>
      <c r="E81" s="35"/>
      <c r="F81" s="476"/>
      <c r="G81" s="476"/>
      <c r="H81" s="476"/>
      <c r="I81" s="476"/>
      <c r="J81" s="476"/>
      <c r="K81" s="477"/>
      <c r="L81" s="478"/>
      <c r="M81" s="478"/>
      <c r="N81" s="478"/>
      <c r="O81" s="478"/>
      <c r="P81" s="478"/>
      <c r="Q81" s="478"/>
      <c r="R81" s="478"/>
      <c r="S81" s="479"/>
      <c r="T81" s="480"/>
      <c r="U81" s="480"/>
      <c r="V81" s="480"/>
      <c r="W81" s="480"/>
      <c r="X81" s="481"/>
      <c r="Y81" s="481"/>
      <c r="Z81" s="481"/>
      <c r="AA81" s="481"/>
      <c r="AB81" s="481"/>
      <c r="AC81" s="481"/>
      <c r="AD81" s="482"/>
      <c r="AF81" s="53"/>
    </row>
    <row r="82" spans="1:32" ht="36" thickBot="1">
      <c r="A82" s="468" t="s">
        <v>1126</v>
      </c>
      <c r="B82" s="468"/>
      <c r="C82" s="468"/>
      <c r="D82" s="468"/>
      <c r="E82" s="468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69" t="s">
        <v>113</v>
      </c>
      <c r="B83" s="470"/>
      <c r="C83" s="496" t="s">
        <v>52</v>
      </c>
      <c r="D83" s="496"/>
      <c r="E83" s="496" t="s">
        <v>53</v>
      </c>
      <c r="F83" s="496"/>
      <c r="G83" s="496"/>
      <c r="H83" s="496"/>
      <c r="I83" s="496"/>
      <c r="J83" s="496"/>
      <c r="K83" s="496" t="s">
        <v>54</v>
      </c>
      <c r="L83" s="496"/>
      <c r="M83" s="496"/>
      <c r="N83" s="496"/>
      <c r="O83" s="496"/>
      <c r="P83" s="496"/>
      <c r="Q83" s="496"/>
      <c r="R83" s="496"/>
      <c r="S83" s="496"/>
      <c r="T83" s="496" t="s">
        <v>55</v>
      </c>
      <c r="U83" s="496"/>
      <c r="V83" s="496" t="s">
        <v>56</v>
      </c>
      <c r="W83" s="496"/>
      <c r="X83" s="496"/>
      <c r="Y83" s="496" t="s">
        <v>51</v>
      </c>
      <c r="Z83" s="496"/>
      <c r="AA83" s="496"/>
      <c r="AB83" s="496"/>
      <c r="AC83" s="496"/>
      <c r="AD83" s="497"/>
      <c r="AF83" s="53"/>
    </row>
    <row r="84" spans="1:32" ht="30.75" customHeight="1">
      <c r="A84" s="483">
        <v>1</v>
      </c>
      <c r="B84" s="484"/>
      <c r="C84" s="498"/>
      <c r="D84" s="498"/>
      <c r="E84" s="498"/>
      <c r="F84" s="498"/>
      <c r="G84" s="498"/>
      <c r="H84" s="498"/>
      <c r="I84" s="498"/>
      <c r="J84" s="498"/>
      <c r="K84" s="498"/>
      <c r="L84" s="498"/>
      <c r="M84" s="498"/>
      <c r="N84" s="498"/>
      <c r="O84" s="498"/>
      <c r="P84" s="498"/>
      <c r="Q84" s="498"/>
      <c r="R84" s="498"/>
      <c r="S84" s="498"/>
      <c r="T84" s="498"/>
      <c r="U84" s="498"/>
      <c r="V84" s="499"/>
      <c r="W84" s="499"/>
      <c r="X84" s="499"/>
      <c r="Y84" s="500"/>
      <c r="Z84" s="500"/>
      <c r="AA84" s="500"/>
      <c r="AB84" s="500"/>
      <c r="AC84" s="500"/>
      <c r="AD84" s="501"/>
      <c r="AF84" s="53"/>
    </row>
    <row r="85" spans="1:32" ht="30.75" customHeight="1">
      <c r="A85" s="475">
        <v>2</v>
      </c>
      <c r="B85" s="476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10"/>
      <c r="U85" s="510"/>
      <c r="V85" s="511"/>
      <c r="W85" s="511"/>
      <c r="X85" s="511"/>
      <c r="Y85" s="502"/>
      <c r="Z85" s="502"/>
      <c r="AA85" s="502"/>
      <c r="AB85" s="502"/>
      <c r="AC85" s="502"/>
      <c r="AD85" s="503"/>
      <c r="AF85" s="53"/>
    </row>
    <row r="86" spans="1:32" ht="30.75" customHeight="1" thickBot="1">
      <c r="A86" s="504">
        <v>3</v>
      </c>
      <c r="B86" s="505"/>
      <c r="C86" s="506"/>
      <c r="D86" s="506"/>
      <c r="E86" s="506"/>
      <c r="F86" s="506"/>
      <c r="G86" s="506"/>
      <c r="H86" s="506"/>
      <c r="I86" s="506"/>
      <c r="J86" s="506"/>
      <c r="K86" s="506"/>
      <c r="L86" s="506"/>
      <c r="M86" s="506"/>
      <c r="N86" s="506"/>
      <c r="O86" s="506"/>
      <c r="P86" s="506"/>
      <c r="Q86" s="506"/>
      <c r="R86" s="506"/>
      <c r="S86" s="506"/>
      <c r="T86" s="506"/>
      <c r="U86" s="506"/>
      <c r="V86" s="506"/>
      <c r="W86" s="506"/>
      <c r="X86" s="506"/>
      <c r="Y86" s="507"/>
      <c r="Z86" s="507"/>
      <c r="AA86" s="507"/>
      <c r="AB86" s="507"/>
      <c r="AC86" s="507"/>
      <c r="AD86" s="508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23</vt:i4>
      </vt:variant>
    </vt:vector>
  </HeadingPairs>
  <TitlesOfParts>
    <vt:vector size="47" baseType="lpstr">
      <vt:lpstr>총괄</vt:lpstr>
      <vt:lpstr>01</vt:lpstr>
      <vt:lpstr>05</vt:lpstr>
      <vt:lpstr>06</vt:lpstr>
      <vt:lpstr>07</vt:lpstr>
      <vt:lpstr>08</vt:lpstr>
      <vt:lpstr>09</vt:lpstr>
      <vt:lpstr>10</vt:lpstr>
      <vt:lpstr>12</vt:lpstr>
      <vt:lpstr>13</vt:lpstr>
      <vt:lpstr>14</vt:lpstr>
      <vt:lpstr>15</vt:lpstr>
      <vt:lpstr>16</vt:lpstr>
      <vt:lpstr>17</vt:lpstr>
      <vt:lpstr>19</vt:lpstr>
      <vt:lpstr>20</vt:lpstr>
      <vt:lpstr>21</vt:lpstr>
      <vt:lpstr>22</vt:lpstr>
      <vt:lpstr>23</vt:lpstr>
      <vt:lpstr>26</vt:lpstr>
      <vt:lpstr>27</vt:lpstr>
      <vt:lpstr>28</vt:lpstr>
      <vt:lpstr>29</vt:lpstr>
      <vt:lpstr>30</vt:lpstr>
      <vt:lpstr>'01'!Print_Area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'19'!Print_Area</vt:lpstr>
      <vt:lpstr>'20'!Print_Area</vt:lpstr>
      <vt:lpstr>'21'!Print_Area</vt:lpstr>
      <vt:lpstr>'22'!Print_Area</vt:lpstr>
      <vt:lpstr>'23'!Print_Area</vt:lpstr>
      <vt:lpstr>'26'!Print_Area</vt:lpstr>
      <vt:lpstr>'27'!Print_Area</vt:lpstr>
      <vt:lpstr>'28'!Print_Area</vt:lpstr>
      <vt:lpstr>'29'!Print_Area</vt:lpstr>
      <vt:lpstr>'30'!Print_Area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2018-04-02T23:46:27Z</dcterms:modified>
</cp:coreProperties>
</file>